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7AAEBBC2-DD43-4DC5-AE8B-52AE6F653EB2}" xr6:coauthVersionLast="47" xr6:coauthVersionMax="47" xr10:uidLastSave="{00000000-0000-0000-0000-000000000000}"/>
  <bookViews>
    <workbookView xWindow="-108" yWindow="-108" windowWidth="23256" windowHeight="13896" tabRatio="611" activeTab="1" xr2:uid="{EAC23EE3-0CA0-4FF8-990D-9B21A59FA3E0}"/>
  </bookViews>
  <sheets>
    <sheet name="Notes" sheetId="23" r:id="rId1"/>
    <sheet name="Prototype" sheetId="2" r:id="rId2"/>
    <sheet name="Zones" sheetId="13" r:id="rId3"/>
    <sheet name="Envelope" sheetId="1" r:id="rId4"/>
    <sheet name="HVAC System" sheetId="14" r:id="rId5"/>
    <sheet name="Ventilation" sheetId="18" r:id="rId6"/>
    <sheet name="Thermostat" sheetId="31" r:id="rId7"/>
    <sheet name="Water Heater" sheetId="33" r:id="rId8"/>
    <sheet name="Interior Lights" sheetId="25" r:id="rId9"/>
    <sheet name="Ext Lighting" sheetId="9"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2" state="hidden" r:id="rId17"/>
  </sheets>
  <definedNames>
    <definedName name="_xlnm._FilterDatabase" localSheetId="16" hidden="1">Data!$D$1:$G$1</definedName>
    <definedName name="_xlnm._FilterDatabase" localSheetId="11" hidden="1">Schedules!$A$2:$D$3</definedName>
    <definedName name="_xlnm._FilterDatabase" localSheetId="5" hidden="1">Ventilation!$A$2:$M$62</definedName>
    <definedName name="_xlnm._FilterDatabase" localSheetId="2" hidden="1">Zones!$C$2:$AC$62</definedName>
    <definedName name="nonparticipating_forecastzone_scale_factor" localSheetId="16">#REF!</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9" l="1"/>
  <c r="G330" i="28"/>
  <c r="H330" i="28"/>
  <c r="I330" i="28"/>
  <c r="J330" i="28"/>
  <c r="K330" i="28"/>
  <c r="L330" i="28"/>
  <c r="M330" i="28"/>
  <c r="N330" i="28"/>
  <c r="O330" i="28"/>
  <c r="P330" i="28"/>
  <c r="Q330" i="28"/>
  <c r="R330" i="28"/>
  <c r="S330" i="28"/>
  <c r="T330" i="28"/>
  <c r="U330" i="28"/>
  <c r="V330" i="28"/>
  <c r="W330" i="28"/>
  <c r="X330" i="28"/>
  <c r="Y330" i="28"/>
  <c r="Z330" i="28"/>
  <c r="AA330" i="28"/>
  <c r="AB330" i="28"/>
  <c r="AC330" i="28"/>
  <c r="G331" i="28"/>
  <c r="H331" i="28"/>
  <c r="I331" i="28"/>
  <c r="J331" i="28"/>
  <c r="K331" i="28"/>
  <c r="L331" i="28"/>
  <c r="M331" i="28"/>
  <c r="N331" i="28"/>
  <c r="O331" i="28"/>
  <c r="P331" i="28"/>
  <c r="Q331" i="28"/>
  <c r="R331" i="28"/>
  <c r="S331" i="28"/>
  <c r="T331" i="28"/>
  <c r="U331" i="28"/>
  <c r="V331" i="28"/>
  <c r="W331" i="28"/>
  <c r="X331" i="28"/>
  <c r="Y331" i="28"/>
  <c r="Z331" i="28"/>
  <c r="AA331" i="28"/>
  <c r="AB331" i="28"/>
  <c r="AC331" i="28"/>
  <c r="G332" i="28"/>
  <c r="H332" i="28"/>
  <c r="I332" i="28"/>
  <c r="J332" i="28"/>
  <c r="K332" i="28"/>
  <c r="L332" i="28"/>
  <c r="M332" i="28"/>
  <c r="N332" i="28"/>
  <c r="O332" i="28"/>
  <c r="P332" i="28"/>
  <c r="Q332" i="28"/>
  <c r="R332" i="28"/>
  <c r="S332" i="28"/>
  <c r="T332" i="28"/>
  <c r="U332" i="28"/>
  <c r="V332" i="28"/>
  <c r="W332" i="28"/>
  <c r="X332" i="28"/>
  <c r="Y332" i="28"/>
  <c r="Z332" i="28"/>
  <c r="AA332" i="28"/>
  <c r="AB332" i="28"/>
  <c r="AC332" i="28"/>
  <c r="F331" i="28"/>
  <c r="F332" i="28"/>
  <c r="F330" i="28"/>
  <c r="F310" i="28"/>
  <c r="F313" i="28"/>
  <c r="G311" i="28"/>
  <c r="H311" i="28"/>
  <c r="I311" i="28"/>
  <c r="J311" i="28"/>
  <c r="K311" i="28"/>
  <c r="L311" i="28"/>
  <c r="M311" i="28"/>
  <c r="N311" i="28"/>
  <c r="O311" i="28"/>
  <c r="P311" i="28"/>
  <c r="Q311" i="28"/>
  <c r="R311" i="28"/>
  <c r="S311" i="28"/>
  <c r="T311" i="28"/>
  <c r="U311" i="28"/>
  <c r="V311" i="28"/>
  <c r="W311" i="28"/>
  <c r="X311" i="28"/>
  <c r="Y311" i="28"/>
  <c r="Z311" i="28"/>
  <c r="AA311" i="28"/>
  <c r="AB311" i="28"/>
  <c r="AC311" i="28"/>
  <c r="G312" i="28"/>
  <c r="H312" i="28"/>
  <c r="I312" i="28"/>
  <c r="J312" i="28"/>
  <c r="K312" i="28"/>
  <c r="L312" i="28"/>
  <c r="M312" i="28"/>
  <c r="N312" i="28"/>
  <c r="O312" i="28"/>
  <c r="P312" i="28"/>
  <c r="Q312" i="28"/>
  <c r="R312" i="28"/>
  <c r="S312" i="28"/>
  <c r="T312" i="28"/>
  <c r="U312" i="28"/>
  <c r="V312" i="28"/>
  <c r="W312" i="28"/>
  <c r="X312" i="28"/>
  <c r="Y312" i="28"/>
  <c r="Z312" i="28"/>
  <c r="AA312" i="28"/>
  <c r="AB312" i="28"/>
  <c r="AC312" i="28"/>
  <c r="G313" i="28"/>
  <c r="H313" i="28"/>
  <c r="I313" i="28"/>
  <c r="J313" i="28"/>
  <c r="K313" i="28"/>
  <c r="L313" i="28"/>
  <c r="M313" i="28"/>
  <c r="N313" i="28"/>
  <c r="O313" i="28"/>
  <c r="P313" i="28"/>
  <c r="Q313" i="28"/>
  <c r="R313" i="28"/>
  <c r="S313" i="28"/>
  <c r="T313" i="28"/>
  <c r="U313" i="28"/>
  <c r="V313" i="28"/>
  <c r="W313" i="28"/>
  <c r="X313" i="28"/>
  <c r="Y313" i="28"/>
  <c r="Z313" i="28"/>
  <c r="AA313" i="28"/>
  <c r="AB313" i="28"/>
  <c r="AC313" i="28"/>
  <c r="F312" i="28"/>
  <c r="F311" i="28"/>
  <c r="G308" i="28"/>
  <c r="H308" i="28"/>
  <c r="I308" i="28"/>
  <c r="J308" i="28"/>
  <c r="K308" i="28"/>
  <c r="L308" i="28"/>
  <c r="M308" i="28"/>
  <c r="N308" i="28"/>
  <c r="O308" i="28"/>
  <c r="P308" i="28"/>
  <c r="Q308" i="28"/>
  <c r="R308" i="28"/>
  <c r="S308" i="28"/>
  <c r="T308" i="28"/>
  <c r="U308" i="28"/>
  <c r="V308" i="28"/>
  <c r="W308" i="28"/>
  <c r="X308" i="28"/>
  <c r="Y308" i="28"/>
  <c r="Z308" i="28"/>
  <c r="AA308" i="28"/>
  <c r="AB308" i="28"/>
  <c r="AC308" i="28"/>
  <c r="G309" i="28"/>
  <c r="H309" i="28"/>
  <c r="I309" i="28"/>
  <c r="J309" i="28"/>
  <c r="K309" i="28"/>
  <c r="L309" i="28"/>
  <c r="M309" i="28"/>
  <c r="N309" i="28"/>
  <c r="O309" i="28"/>
  <c r="P309" i="28"/>
  <c r="Q309" i="28"/>
  <c r="R309" i="28"/>
  <c r="S309" i="28"/>
  <c r="T309" i="28"/>
  <c r="U309" i="28"/>
  <c r="V309" i="28"/>
  <c r="W309" i="28"/>
  <c r="X309" i="28"/>
  <c r="Y309" i="28"/>
  <c r="Z309" i="28"/>
  <c r="AA309" i="28"/>
  <c r="AB309" i="28"/>
  <c r="AC309" i="28"/>
  <c r="G310" i="28"/>
  <c r="H310" i="28"/>
  <c r="I310" i="28"/>
  <c r="J310" i="28"/>
  <c r="K310" i="28"/>
  <c r="L310" i="28"/>
  <c r="M310" i="28"/>
  <c r="N310" i="28"/>
  <c r="O310" i="28"/>
  <c r="P310" i="28"/>
  <c r="Q310" i="28"/>
  <c r="R310" i="28"/>
  <c r="S310" i="28"/>
  <c r="T310" i="28"/>
  <c r="U310" i="28"/>
  <c r="V310" i="28"/>
  <c r="W310" i="28"/>
  <c r="X310" i="28"/>
  <c r="Y310" i="28"/>
  <c r="Z310" i="28"/>
  <c r="AA310" i="28"/>
  <c r="AB310" i="28"/>
  <c r="AC310" i="28"/>
  <c r="F309" i="28"/>
  <c r="F308" i="28"/>
  <c r="B330" i="28"/>
  <c r="A330" i="28"/>
  <c r="B327" i="28"/>
  <c r="A327" i="28"/>
  <c r="B324" i="28"/>
  <c r="A324" i="28"/>
  <c r="B321" i="28"/>
  <c r="A321" i="28"/>
  <c r="B318" i="28"/>
  <c r="A318" i="28"/>
  <c r="A311" i="28"/>
  <c r="A308" i="28"/>
  <c r="A302" i="28"/>
  <c r="A299" i="28"/>
  <c r="A296" i="28"/>
  <c r="A293" i="28"/>
  <c r="D290" i="28"/>
  <c r="D293" i="28" s="1"/>
  <c r="D296" i="28" s="1"/>
  <c r="D299" i="28" s="1"/>
  <c r="D302" i="28" s="1"/>
  <c r="D305" i="28" s="1"/>
  <c r="D308" i="28" s="1"/>
  <c r="D311" i="28" s="1"/>
  <c r="B290" i="28"/>
  <c r="B293" i="28" s="1"/>
  <c r="B296" i="28" s="1"/>
  <c r="B299" i="28" s="1"/>
  <c r="B302" i="28" s="1"/>
  <c r="B305" i="28" s="1"/>
  <c r="B308" i="28" s="1"/>
  <c r="B311" i="28" s="1"/>
  <c r="A290" i="28"/>
  <c r="C20" i="9"/>
  <c r="K62" i="13"/>
  <c r="C19" i="9"/>
  <c r="J4" i="1"/>
  <c r="K4" i="1"/>
  <c r="L4" i="1"/>
  <c r="M4" i="1"/>
  <c r="N4" i="1"/>
  <c r="O4" i="1"/>
  <c r="P4" i="1"/>
  <c r="Q4" i="1"/>
  <c r="R4" i="1"/>
  <c r="S4" i="1"/>
  <c r="T4" i="1"/>
  <c r="U4" i="1"/>
  <c r="V4" i="1"/>
  <c r="W4" i="1"/>
  <c r="X4" i="1"/>
  <c r="I4" i="1"/>
  <c r="J3" i="1"/>
  <c r="K3" i="1"/>
  <c r="L3" i="1"/>
  <c r="M3" i="1"/>
  <c r="N3" i="1"/>
  <c r="O3" i="1"/>
  <c r="P3" i="1"/>
  <c r="Q3" i="1"/>
  <c r="R3" i="1"/>
  <c r="S3" i="1"/>
  <c r="T3" i="1"/>
  <c r="U3" i="1"/>
  <c r="V3" i="1"/>
  <c r="W3" i="1"/>
  <c r="X3" i="1"/>
  <c r="I3" i="1"/>
  <c r="I7" i="1" s="1" a="1"/>
  <c r="I7" i="1" s="1"/>
  <c r="C5" i="25"/>
  <c r="F6" i="25"/>
  <c r="C6" i="25"/>
  <c r="AC276" i="28"/>
  <c r="AB276" i="28"/>
  <c r="AA276" i="28"/>
  <c r="Z276" i="28"/>
  <c r="Y276" i="28"/>
  <c r="X276" i="28"/>
  <c r="W276" i="28"/>
  <c r="V276" i="28"/>
  <c r="U276" i="28"/>
  <c r="T276" i="28"/>
  <c r="S276" i="28"/>
  <c r="R276" i="28"/>
  <c r="Q276" i="28"/>
  <c r="P276" i="28"/>
  <c r="O276" i="28"/>
  <c r="N276" i="28"/>
  <c r="M276" i="28"/>
  <c r="L276" i="28"/>
  <c r="K276" i="28"/>
  <c r="J276" i="28"/>
  <c r="I276" i="28"/>
  <c r="H276" i="28"/>
  <c r="G276" i="28"/>
  <c r="F276" i="28"/>
  <c r="AC275" i="28"/>
  <c r="AB275" i="28"/>
  <c r="AA275" i="28"/>
  <c r="Z275" i="28"/>
  <c r="Y275" i="28"/>
  <c r="X275" i="28"/>
  <c r="W275" i="28"/>
  <c r="V275" i="28"/>
  <c r="U275" i="28"/>
  <c r="T275" i="28"/>
  <c r="S275" i="28"/>
  <c r="R275" i="28"/>
  <c r="Q275" i="28"/>
  <c r="P275" i="28"/>
  <c r="O275" i="28"/>
  <c r="N275" i="28"/>
  <c r="M275" i="28"/>
  <c r="L275" i="28"/>
  <c r="K275" i="28"/>
  <c r="J275" i="28"/>
  <c r="I275" i="28"/>
  <c r="H275" i="28"/>
  <c r="G275" i="28"/>
  <c r="F275" i="28"/>
  <c r="AC274" i="28"/>
  <c r="AB274" i="28"/>
  <c r="AA274" i="28"/>
  <c r="Z274" i="28"/>
  <c r="Y274" i="28"/>
  <c r="X274" i="28"/>
  <c r="W274" i="28"/>
  <c r="V274" i="28"/>
  <c r="U274" i="28"/>
  <c r="T274" i="28"/>
  <c r="S274" i="28"/>
  <c r="R274" i="28"/>
  <c r="Q274" i="28"/>
  <c r="P274" i="28"/>
  <c r="O274" i="28"/>
  <c r="N274" i="28"/>
  <c r="M274" i="28"/>
  <c r="L274" i="28"/>
  <c r="K274" i="28"/>
  <c r="J274" i="28"/>
  <c r="I274" i="28"/>
  <c r="H274" i="28"/>
  <c r="G274" i="28"/>
  <c r="F274" i="28"/>
  <c r="I35" i="1"/>
  <c r="I13" i="1" a="1"/>
  <c r="I13" i="1" s="1"/>
  <c r="A20" i="29"/>
  <c r="C9" i="33"/>
  <c r="K16" i="13"/>
  <c r="K3" i="13"/>
  <c r="Q8" i="18"/>
  <c r="O7" i="18"/>
  <c r="O8" i="18"/>
  <c r="Q7" i="18"/>
  <c r="Q6" i="18"/>
  <c r="O6" i="18"/>
  <c r="Q5" i="18"/>
  <c r="Q4" i="18"/>
  <c r="Q3" i="18"/>
  <c r="O5" i="18"/>
  <c r="O4" i="18"/>
  <c r="O3" i="18"/>
  <c r="C18" i="25"/>
  <c r="C19" i="25"/>
  <c r="G4" i="33"/>
  <c r="F4" i="33"/>
  <c r="E4" i="33"/>
  <c r="A199" i="33" l="1"/>
  <c r="A198" i="33"/>
  <c r="C197" i="33"/>
  <c r="A197" i="33"/>
  <c r="C196" i="33"/>
  <c r="A196" i="33"/>
  <c r="C193" i="33"/>
  <c r="A193" i="33"/>
  <c r="C67" i="33"/>
  <c r="C66" i="33"/>
  <c r="E65" i="33"/>
  <c r="C65" i="33"/>
  <c r="E64" i="33"/>
  <c r="C64" i="33"/>
  <c r="C63" i="33"/>
  <c r="C62" i="33"/>
  <c r="E61" i="33"/>
  <c r="C61" i="33"/>
  <c r="E60" i="33"/>
  <c r="C60" i="33"/>
  <c r="C59" i="33"/>
  <c r="C58" i="33"/>
  <c r="E57" i="33"/>
  <c r="C57" i="33"/>
  <c r="E56" i="33"/>
  <c r="C56" i="33"/>
  <c r="C55" i="33"/>
  <c r="C54" i="33"/>
  <c r="E53" i="33"/>
  <c r="C53" i="33"/>
  <c r="E52" i="33"/>
  <c r="C52" i="33"/>
  <c r="C51" i="33"/>
  <c r="C50" i="33"/>
  <c r="C49" i="33"/>
  <c r="C48" i="33"/>
  <c r="C47" i="33"/>
  <c r="C46" i="33"/>
  <c r="C45" i="33"/>
  <c r="C44" i="33"/>
  <c r="C43" i="33"/>
  <c r="C42" i="33"/>
  <c r="C41" i="33"/>
  <c r="C40" i="33"/>
  <c r="C39" i="33"/>
  <c r="C38" i="33"/>
  <c r="C37" i="33"/>
  <c r="C36" i="33"/>
  <c r="C35" i="33"/>
  <c r="C34" i="33"/>
  <c r="C33" i="33"/>
  <c r="C32" i="33"/>
  <c r="C31" i="33"/>
  <c r="C30" i="33"/>
  <c r="C29" i="33"/>
  <c r="C28" i="33"/>
  <c r="C27" i="33"/>
  <c r="C26" i="33"/>
  <c r="C25" i="33"/>
  <c r="C24" i="33"/>
  <c r="C23" i="33"/>
  <c r="C22" i="33"/>
  <c r="C21" i="33"/>
  <c r="C20" i="33"/>
  <c r="C19" i="33"/>
  <c r="C18" i="33"/>
  <c r="C17" i="33"/>
  <c r="C16" i="33"/>
  <c r="C15" i="33"/>
  <c r="C14" i="33"/>
  <c r="C13" i="33"/>
  <c r="C12" i="33"/>
  <c r="C11" i="33"/>
  <c r="C10" i="33"/>
  <c r="A1" i="33"/>
  <c r="G199" i="33"/>
  <c r="H199" i="33" s="1"/>
  <c r="G198" i="33"/>
  <c r="H198" i="33" s="1"/>
  <c r="J101" i="33"/>
  <c r="G68" i="33"/>
  <c r="H68" i="33" s="1"/>
  <c r="L44" i="13"/>
  <c r="L45" i="13"/>
  <c r="E51" i="33" s="1"/>
  <c r="L48" i="13"/>
  <c r="E54" i="33" s="1"/>
  <c r="L49" i="13"/>
  <c r="E55" i="33" s="1"/>
  <c r="L52" i="13"/>
  <c r="E58" i="33" s="1"/>
  <c r="L53" i="13"/>
  <c r="E59" i="33" s="1"/>
  <c r="L56" i="13"/>
  <c r="E62" i="33" s="1"/>
  <c r="L57" i="13"/>
  <c r="E63" i="33" s="1"/>
  <c r="L60" i="13"/>
  <c r="E66" i="33" s="1"/>
  <c r="L61" i="13"/>
  <c r="E67" i="33" s="1"/>
  <c r="L31" i="13"/>
  <c r="E37" i="33" s="1"/>
  <c r="L32" i="13"/>
  <c r="E38" i="33" s="1"/>
  <c r="L33" i="13"/>
  <c r="E39" i="33" s="1"/>
  <c r="L34" i="13"/>
  <c r="E40" i="33" s="1"/>
  <c r="L35" i="13"/>
  <c r="E41" i="33" s="1"/>
  <c r="G41" i="33" s="1"/>
  <c r="H41" i="33" s="1"/>
  <c r="L36" i="13"/>
  <c r="E42" i="33" s="1"/>
  <c r="L37" i="13"/>
  <c r="E43" i="33" s="1"/>
  <c r="L38" i="13"/>
  <c r="E44" i="33" s="1"/>
  <c r="G44" i="33" s="1"/>
  <c r="H44" i="33" s="1"/>
  <c r="L39" i="13"/>
  <c r="E45" i="33" s="1"/>
  <c r="L40" i="13"/>
  <c r="E46" i="33" s="1"/>
  <c r="L41" i="13"/>
  <c r="E47" i="33" s="1"/>
  <c r="L42" i="13"/>
  <c r="E48" i="33" s="1"/>
  <c r="L43" i="13"/>
  <c r="E49" i="33" s="1"/>
  <c r="L25" i="13"/>
  <c r="E31" i="33" s="1"/>
  <c r="L26" i="13"/>
  <c r="E32" i="33" s="1"/>
  <c r="L27" i="13"/>
  <c r="E33" i="33" s="1"/>
  <c r="L28" i="13"/>
  <c r="E34" i="33" s="1"/>
  <c r="L29" i="13"/>
  <c r="E35" i="33" s="1"/>
  <c r="L30" i="13"/>
  <c r="E36" i="33" s="1"/>
  <c r="L20" i="13"/>
  <c r="E26" i="33" s="1"/>
  <c r="L21" i="13"/>
  <c r="E27" i="33" s="1"/>
  <c r="L22" i="13"/>
  <c r="E28" i="33" s="1"/>
  <c r="L23" i="13"/>
  <c r="E29" i="33" s="1"/>
  <c r="L24" i="13"/>
  <c r="E30" i="33" s="1"/>
  <c r="L7" i="13"/>
  <c r="E13" i="33" s="1"/>
  <c r="L8" i="13"/>
  <c r="E14" i="33" s="1"/>
  <c r="L9" i="13"/>
  <c r="E15" i="33" s="1"/>
  <c r="L10" i="13"/>
  <c r="E16" i="33" s="1"/>
  <c r="L11" i="13"/>
  <c r="E17" i="33" s="1"/>
  <c r="L12" i="13"/>
  <c r="E18" i="33" s="1"/>
  <c r="L13" i="13"/>
  <c r="E19" i="33" s="1"/>
  <c r="L14" i="13"/>
  <c r="E20" i="33" s="1"/>
  <c r="L15" i="13"/>
  <c r="E21" i="33" s="1"/>
  <c r="L16" i="13"/>
  <c r="E22" i="33" s="1"/>
  <c r="L17" i="13"/>
  <c r="E23" i="33" s="1"/>
  <c r="L18" i="13"/>
  <c r="E24" i="33" s="1"/>
  <c r="L19" i="13"/>
  <c r="E25" i="33" s="1"/>
  <c r="L4" i="13"/>
  <c r="E197" i="33" s="1"/>
  <c r="G197" i="33" s="1"/>
  <c r="H197" i="33" s="1"/>
  <c r="L5" i="13"/>
  <c r="E11" i="33" s="1"/>
  <c r="L6" i="13"/>
  <c r="E196" i="33" s="1"/>
  <c r="G196" i="33" s="1"/>
  <c r="H196" i="33" s="1"/>
  <c r="L3" i="13"/>
  <c r="C12" i="9"/>
  <c r="B20" i="9"/>
  <c r="E12" i="33" l="1"/>
  <c r="E193" i="33"/>
  <c r="G193" i="33" s="1"/>
  <c r="H193" i="33" s="1"/>
  <c r="E10" i="33"/>
  <c r="E9" i="33"/>
  <c r="C3" i="18"/>
  <c r="E50" i="33"/>
  <c r="AC245" i="28" l="1"/>
  <c r="AB245" i="28"/>
  <c r="AA245" i="28"/>
  <c r="Z245" i="28"/>
  <c r="Y245" i="28"/>
  <c r="X245" i="28"/>
  <c r="W245" i="28"/>
  <c r="V245" i="28"/>
  <c r="U245" i="28"/>
  <c r="T245" i="28"/>
  <c r="S245" i="28"/>
  <c r="R245" i="28"/>
  <c r="Q245" i="28"/>
  <c r="P245" i="28"/>
  <c r="O245" i="28"/>
  <c r="N245" i="28"/>
  <c r="M245" i="28"/>
  <c r="L245" i="28"/>
  <c r="K245" i="28"/>
  <c r="J245" i="28"/>
  <c r="I245" i="28"/>
  <c r="H245" i="28"/>
  <c r="G245" i="28"/>
  <c r="F245" i="28"/>
  <c r="AC244" i="28"/>
  <c r="AB244" i="28"/>
  <c r="AA244" i="28"/>
  <c r="Z244" i="28"/>
  <c r="Y244" i="28"/>
  <c r="X244" i="28"/>
  <c r="W244" i="28"/>
  <c r="V244" i="28"/>
  <c r="U244" i="28"/>
  <c r="T244" i="28"/>
  <c r="S244" i="28"/>
  <c r="R244" i="28"/>
  <c r="Q244" i="28"/>
  <c r="P244" i="28"/>
  <c r="O244" i="28"/>
  <c r="N244" i="28"/>
  <c r="M244" i="28"/>
  <c r="L244" i="28"/>
  <c r="K244" i="28"/>
  <c r="J244" i="28"/>
  <c r="I244" i="28"/>
  <c r="H244" i="28"/>
  <c r="G244" i="28"/>
  <c r="F244" i="28"/>
  <c r="AC243" i="28"/>
  <c r="AB243" i="28"/>
  <c r="AA243" i="28"/>
  <c r="Z243" i="28"/>
  <c r="Y243" i="28"/>
  <c r="X243" i="28"/>
  <c r="W243" i="28"/>
  <c r="V243" i="28"/>
  <c r="U243" i="28"/>
  <c r="T243" i="28"/>
  <c r="S243" i="28"/>
  <c r="R243" i="28"/>
  <c r="Q243" i="28"/>
  <c r="P243" i="28"/>
  <c r="O243" i="28"/>
  <c r="N243" i="28"/>
  <c r="M243" i="28"/>
  <c r="L243" i="28"/>
  <c r="K243" i="28"/>
  <c r="J243" i="28"/>
  <c r="I243" i="28"/>
  <c r="H243" i="28"/>
  <c r="G243" i="28"/>
  <c r="F243" i="28"/>
  <c r="V11" i="18"/>
  <c r="K45" i="13"/>
  <c r="B4" i="18"/>
  <c r="B5" i="18"/>
  <c r="B6" i="18"/>
  <c r="B7" i="18"/>
  <c r="B3" i="18"/>
  <c r="A19" i="29"/>
  <c r="A18" i="29"/>
  <c r="A17" i="29"/>
  <c r="A20" i="25"/>
  <c r="A19" i="25"/>
  <c r="A14" i="29" l="1"/>
  <c r="A15" i="25"/>
  <c r="A21" i="25"/>
  <c r="K4" i="13"/>
  <c r="K5" i="13"/>
  <c r="K6" i="13"/>
  <c r="K7" i="13"/>
  <c r="AD203" i="28"/>
  <c r="C52" i="29" s="1"/>
  <c r="I25" i="29"/>
  <c r="H25" i="29"/>
  <c r="I24" i="29"/>
  <c r="H24" i="29"/>
  <c r="V3" i="20"/>
  <c r="D5" i="18" l="1"/>
  <c r="J5" i="18" s="1"/>
  <c r="D7" i="18"/>
  <c r="K7" i="18" s="1"/>
  <c r="P6" i="18"/>
  <c r="R6" i="18" s="1"/>
  <c r="W6" i="18" s="1"/>
  <c r="D4" i="18"/>
  <c r="J4" i="18" s="1"/>
  <c r="P4" i="18"/>
  <c r="R4" i="18" s="1"/>
  <c r="W4" i="18" s="1"/>
  <c r="D6" i="18"/>
  <c r="J6" i="18" s="1"/>
  <c r="P5" i="18"/>
  <c r="R5" i="18" s="1"/>
  <c r="C7" i="18"/>
  <c r="I7" i="18" s="1"/>
  <c r="C6" i="18"/>
  <c r="I6" i="18" s="1"/>
  <c r="G24" i="29"/>
  <c r="J24" i="29" s="1"/>
  <c r="G25" i="29"/>
  <c r="J25" i="29" s="1"/>
  <c r="T4" i="20"/>
  <c r="U4" i="20"/>
  <c r="T5" i="20"/>
  <c r="U5" i="20"/>
  <c r="T6" i="20"/>
  <c r="U6" i="20"/>
  <c r="T7" i="20"/>
  <c r="U7" i="20"/>
  <c r="T8" i="20"/>
  <c r="U8" i="20"/>
  <c r="T9" i="20"/>
  <c r="U9" i="20"/>
  <c r="T10" i="20"/>
  <c r="U10" i="20"/>
  <c r="T11" i="20"/>
  <c r="U11" i="20"/>
  <c r="T12" i="20"/>
  <c r="U12" i="20"/>
  <c r="T13" i="20"/>
  <c r="U13" i="20"/>
  <c r="T14" i="20"/>
  <c r="U14" i="20"/>
  <c r="T15" i="20"/>
  <c r="U15" i="20"/>
  <c r="T16" i="20"/>
  <c r="U16" i="20"/>
  <c r="T17" i="20"/>
  <c r="U17" i="20"/>
  <c r="T18" i="20"/>
  <c r="U18" i="20"/>
  <c r="U3" i="20"/>
  <c r="T3" i="20"/>
  <c r="K3" i="20"/>
  <c r="K4" i="18" l="1"/>
  <c r="J7" i="18"/>
  <c r="K5" i="18"/>
  <c r="K6" i="18"/>
  <c r="L6" i="18" s="1"/>
  <c r="L7" i="18"/>
  <c r="J4" i="20"/>
  <c r="L4" i="20" s="1"/>
  <c r="K4" i="20"/>
  <c r="J5" i="20"/>
  <c r="K5" i="20"/>
  <c r="J6" i="20"/>
  <c r="K6" i="20"/>
  <c r="J7" i="20"/>
  <c r="K7" i="20"/>
  <c r="J8" i="20"/>
  <c r="K8" i="20"/>
  <c r="J9" i="20"/>
  <c r="K9" i="20"/>
  <c r="J10" i="20"/>
  <c r="K10" i="20"/>
  <c r="L10" i="20" s="1"/>
  <c r="J11" i="20"/>
  <c r="K11" i="20"/>
  <c r="J12" i="20"/>
  <c r="K12" i="20"/>
  <c r="L12" i="20" s="1"/>
  <c r="J13" i="20"/>
  <c r="K13" i="20"/>
  <c r="J14" i="20"/>
  <c r="K14" i="20"/>
  <c r="J15" i="20"/>
  <c r="K15" i="20"/>
  <c r="J16" i="20"/>
  <c r="K16" i="20"/>
  <c r="J17" i="20"/>
  <c r="K17" i="20"/>
  <c r="J18" i="20"/>
  <c r="K18" i="20"/>
  <c r="J3" i="20"/>
  <c r="L18" i="20"/>
  <c r="L17" i="20"/>
  <c r="L9" i="20"/>
  <c r="L8" i="20"/>
  <c r="L7" i="20"/>
  <c r="L6" i="20"/>
  <c r="L11" i="20" l="1"/>
  <c r="L3" i="20"/>
  <c r="L16" i="20"/>
  <c r="L5" i="20"/>
  <c r="L14" i="20"/>
  <c r="L13" i="20"/>
  <c r="L15" i="20"/>
  <c r="V15" i="20" l="1"/>
  <c r="V16" i="20"/>
  <c r="V17" i="20"/>
  <c r="V18" i="20"/>
  <c r="H20" i="21"/>
  <c r="V10" i="20"/>
  <c r="V11" i="20"/>
  <c r="S4" i="20"/>
  <c r="S5" i="20"/>
  <c r="S6" i="20"/>
  <c r="S7" i="20"/>
  <c r="S8" i="20"/>
  <c r="S9" i="20"/>
  <c r="S10" i="20"/>
  <c r="S11" i="20"/>
  <c r="S12" i="20"/>
  <c r="S13" i="20"/>
  <c r="S14" i="20"/>
  <c r="V14" i="20" s="1"/>
  <c r="S15" i="20"/>
  <c r="S16" i="20"/>
  <c r="S17" i="20"/>
  <c r="S18" i="20"/>
  <c r="S3" i="20"/>
  <c r="K32" i="13"/>
  <c r="G28" i="28"/>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F29" i="28"/>
  <c r="F30" i="28"/>
  <c r="F28" i="28"/>
  <c r="A18" i="25"/>
  <c r="B147" i="28"/>
  <c r="B14" i="31"/>
  <c r="C14" i="31"/>
  <c r="D14" i="31"/>
  <c r="E14" i="31"/>
  <c r="F14" i="31"/>
  <c r="G14" i="31"/>
  <c r="H14" i="31"/>
  <c r="I14" i="31"/>
  <c r="J14" i="31"/>
  <c r="K14" i="31"/>
  <c r="L14" i="31"/>
  <c r="M14" i="31"/>
  <c r="N14" i="31"/>
  <c r="O14" i="31"/>
  <c r="P14" i="31"/>
  <c r="Q14" i="31"/>
  <c r="C13" i="31"/>
  <c r="D13" i="31"/>
  <c r="E13" i="31"/>
  <c r="F13" i="31"/>
  <c r="G13" i="31"/>
  <c r="H13" i="31"/>
  <c r="I13" i="31"/>
  <c r="J13" i="31"/>
  <c r="K13" i="31"/>
  <c r="L13" i="31"/>
  <c r="M13" i="31"/>
  <c r="N13" i="31"/>
  <c r="O13" i="31"/>
  <c r="P13" i="31"/>
  <c r="Q13" i="31"/>
  <c r="B13" i="31"/>
  <c r="B12" i="31"/>
  <c r="C12" i="31"/>
  <c r="D12" i="31"/>
  <c r="E12" i="31"/>
  <c r="F12" i="31"/>
  <c r="G12" i="31"/>
  <c r="H12" i="31"/>
  <c r="I12" i="31"/>
  <c r="J12" i="31"/>
  <c r="K12" i="31"/>
  <c r="L12" i="31"/>
  <c r="M12" i="31"/>
  <c r="N12" i="31"/>
  <c r="O12" i="31"/>
  <c r="P12" i="31"/>
  <c r="Q12" i="31"/>
  <c r="C11" i="31"/>
  <c r="D11" i="31"/>
  <c r="E11" i="31"/>
  <c r="F11" i="31"/>
  <c r="G11" i="31"/>
  <c r="H11" i="31"/>
  <c r="I11" i="31"/>
  <c r="J11" i="31"/>
  <c r="K11" i="31"/>
  <c r="L11" i="31"/>
  <c r="M11" i="31"/>
  <c r="N11" i="31"/>
  <c r="O11" i="31"/>
  <c r="P11" i="31"/>
  <c r="Q11" i="31"/>
  <c r="B11" i="31"/>
  <c r="B109" i="28"/>
  <c r="B106" i="28"/>
  <c r="B103" i="28"/>
  <c r="B97" i="28"/>
  <c r="B94" i="28"/>
  <c r="B91" i="28"/>
  <c r="B100" i="28" s="1"/>
  <c r="T107" i="28" l="1"/>
  <c r="P107" i="28"/>
  <c r="Q107" i="28"/>
  <c r="R107" i="28"/>
  <c r="S107" i="28"/>
  <c r="N108" i="28"/>
  <c r="O108" i="28"/>
  <c r="P108" i="28"/>
  <c r="Q108" i="28"/>
  <c r="M106" i="28"/>
  <c r="N106" i="28"/>
  <c r="O106" i="28"/>
  <c r="P106" i="28"/>
  <c r="F106" i="28"/>
  <c r="M109" i="28"/>
  <c r="F109" i="28"/>
  <c r="F110" i="28"/>
  <c r="F111" i="28"/>
  <c r="G109" i="28"/>
  <c r="H109" i="28"/>
  <c r="I109" i="28"/>
  <c r="J109" i="28"/>
  <c r="K109" i="28"/>
  <c r="L109" i="28"/>
  <c r="P109" i="28"/>
  <c r="Q109" i="28"/>
  <c r="R109" i="28"/>
  <c r="S109" i="28"/>
  <c r="U109" i="28"/>
  <c r="V109" i="28"/>
  <c r="W109" i="28"/>
  <c r="X109" i="28"/>
  <c r="Y109" i="28"/>
  <c r="Z109" i="28"/>
  <c r="AA109" i="28"/>
  <c r="AB109" i="28"/>
  <c r="AC109" i="28"/>
  <c r="G110" i="28"/>
  <c r="H110" i="28"/>
  <c r="I110" i="28"/>
  <c r="J110" i="28"/>
  <c r="K110" i="28"/>
  <c r="O110" i="28"/>
  <c r="P110" i="28"/>
  <c r="Q110" i="28"/>
  <c r="R110" i="28"/>
  <c r="T110" i="28"/>
  <c r="U110" i="28"/>
  <c r="V110" i="28"/>
  <c r="W110" i="28"/>
  <c r="X110" i="28"/>
  <c r="Y110" i="28"/>
  <c r="Z110" i="28"/>
  <c r="AA110" i="28"/>
  <c r="AB110" i="28"/>
  <c r="AC110" i="28"/>
  <c r="G111" i="28"/>
  <c r="H111" i="28"/>
  <c r="I111" i="28"/>
  <c r="J111" i="28"/>
  <c r="N111" i="28"/>
  <c r="O111" i="28"/>
  <c r="P111" i="28"/>
  <c r="Q111" i="28"/>
  <c r="S111" i="28"/>
  <c r="T111" i="28"/>
  <c r="U111" i="28"/>
  <c r="V111" i="28"/>
  <c r="W111" i="28"/>
  <c r="X111" i="28"/>
  <c r="Y111" i="28"/>
  <c r="Z111" i="28"/>
  <c r="AA111" i="28"/>
  <c r="AB111" i="28"/>
  <c r="AC111" i="28"/>
  <c r="J108" i="28"/>
  <c r="J107" i="28"/>
  <c r="L106" i="28"/>
  <c r="I106" i="28"/>
  <c r="N107" i="28"/>
  <c r="K108" i="28"/>
  <c r="G108" i="28"/>
  <c r="G107" i="28"/>
  <c r="M108" i="28"/>
  <c r="O107" i="28"/>
  <c r="H106" i="28"/>
  <c r="I108" i="28"/>
  <c r="K107" i="28"/>
  <c r="AC106" i="28"/>
  <c r="G106" i="28"/>
  <c r="I107" i="28"/>
  <c r="AA106" i="28"/>
  <c r="AB108" i="28"/>
  <c r="F108" i="28"/>
  <c r="H107" i="28"/>
  <c r="Z106" i="28"/>
  <c r="AA108" i="28"/>
  <c r="AC107" i="28"/>
  <c r="Y106" i="28"/>
  <c r="Z108" i="28"/>
  <c r="AB107" i="28"/>
  <c r="F107" i="28"/>
  <c r="R111" i="28"/>
  <c r="S110" i="28"/>
  <c r="T109" i="28"/>
  <c r="X106" i="28"/>
  <c r="Y108" i="28"/>
  <c r="AA107" i="28"/>
  <c r="V107" i="28"/>
  <c r="K106" i="28"/>
  <c r="J106" i="28"/>
  <c r="H108" i="28"/>
  <c r="W106" i="28"/>
  <c r="X108" i="28"/>
  <c r="Z107" i="28"/>
  <c r="V106" i="28"/>
  <c r="V108" i="28"/>
  <c r="U108" i="28"/>
  <c r="M111" i="28"/>
  <c r="S106" i="28"/>
  <c r="L111" i="28"/>
  <c r="N109" i="28"/>
  <c r="R106" i="28"/>
  <c r="U107" i="28"/>
  <c r="L108" i="28"/>
  <c r="M107" i="28"/>
  <c r="L107" i="28"/>
  <c r="AB106" i="28"/>
  <c r="AC108" i="28"/>
  <c r="W108" i="28"/>
  <c r="Y107" i="28"/>
  <c r="U106" i="28"/>
  <c r="X107" i="28"/>
  <c r="T106" i="28"/>
  <c r="W107" i="28"/>
  <c r="N110" i="28"/>
  <c r="O109" i="28"/>
  <c r="T108" i="28"/>
  <c r="M110" i="28"/>
  <c r="S108" i="28"/>
  <c r="K111" i="28"/>
  <c r="L110" i="28"/>
  <c r="Q106" i="28"/>
  <c r="R108" i="28"/>
  <c r="V7" i="20"/>
  <c r="V5" i="20"/>
  <c r="V4" i="20"/>
  <c r="V8" i="20"/>
  <c r="V13" i="20"/>
  <c r="V12" i="20"/>
  <c r="V6" i="20"/>
  <c r="V9" i="20"/>
  <c r="AC86" i="28"/>
  <c r="AB86" i="28"/>
  <c r="AA86" i="28"/>
  <c r="Z86" i="28"/>
  <c r="Y86" i="28"/>
  <c r="X86" i="28"/>
  <c r="W86" i="28"/>
  <c r="V86" i="28"/>
  <c r="U86" i="28"/>
  <c r="T86" i="28"/>
  <c r="S86" i="28"/>
  <c r="R86" i="28"/>
  <c r="Q86" i="28"/>
  <c r="P86" i="28"/>
  <c r="O86" i="28"/>
  <c r="N86" i="28"/>
  <c r="M86" i="28"/>
  <c r="L86" i="28"/>
  <c r="K86" i="28"/>
  <c r="J86" i="28"/>
  <c r="I86" i="28"/>
  <c r="H86" i="28"/>
  <c r="G86" i="28"/>
  <c r="F86" i="28"/>
  <c r="AC85" i="28"/>
  <c r="AB85" i="28"/>
  <c r="AA85" i="28"/>
  <c r="Z85" i="28"/>
  <c r="Y85" i="28"/>
  <c r="X85" i="28"/>
  <c r="W85" i="28"/>
  <c r="V85" i="28"/>
  <c r="U85" i="28"/>
  <c r="T85" i="28"/>
  <c r="S85" i="28"/>
  <c r="R85" i="28"/>
  <c r="Q85" i="28"/>
  <c r="P85" i="28"/>
  <c r="O85" i="28"/>
  <c r="N85" i="28"/>
  <c r="M85" i="28"/>
  <c r="L85" i="28"/>
  <c r="K85" i="28"/>
  <c r="J85" i="28"/>
  <c r="I85" i="28"/>
  <c r="H85" i="28"/>
  <c r="G85" i="28"/>
  <c r="F85" i="28"/>
  <c r="AC84" i="28"/>
  <c r="AB84" i="28"/>
  <c r="AA84" i="28"/>
  <c r="Z84" i="28"/>
  <c r="Y84" i="28"/>
  <c r="X84" i="28"/>
  <c r="W84" i="28"/>
  <c r="V84" i="28"/>
  <c r="U84" i="28"/>
  <c r="T84" i="28"/>
  <c r="S84" i="28"/>
  <c r="R84" i="28"/>
  <c r="Q84" i="28"/>
  <c r="P84" i="28"/>
  <c r="O84" i="28"/>
  <c r="N84" i="28"/>
  <c r="M84" i="28"/>
  <c r="L84" i="28"/>
  <c r="K84" i="28"/>
  <c r="J84" i="28"/>
  <c r="I84" i="28"/>
  <c r="H84" i="28"/>
  <c r="G84" i="28"/>
  <c r="F84" i="28"/>
  <c r="B84" i="28"/>
  <c r="AC83" i="28"/>
  <c r="AB83" i="28"/>
  <c r="AA83" i="28"/>
  <c r="Z83" i="28"/>
  <c r="Y83" i="28"/>
  <c r="X83" i="28"/>
  <c r="W83" i="28"/>
  <c r="V83" i="28"/>
  <c r="U83" i="28"/>
  <c r="T83" i="28"/>
  <c r="S83" i="28"/>
  <c r="R83" i="28"/>
  <c r="Q83" i="28"/>
  <c r="P83" i="28"/>
  <c r="O83" i="28"/>
  <c r="N83" i="28"/>
  <c r="M83" i="28"/>
  <c r="L83" i="28"/>
  <c r="K83" i="28"/>
  <c r="J83" i="28"/>
  <c r="I83" i="28"/>
  <c r="H83" i="28"/>
  <c r="G83" i="28"/>
  <c r="F83" i="28"/>
  <c r="AC82" i="28"/>
  <c r="AB82" i="28"/>
  <c r="AA82" i="28"/>
  <c r="Z82" i="28"/>
  <c r="Y82" i="28"/>
  <c r="X82" i="28"/>
  <c r="W82" i="28"/>
  <c r="V82" i="28"/>
  <c r="U82" i="28"/>
  <c r="T82" i="28"/>
  <c r="S82" i="28"/>
  <c r="R82" i="28"/>
  <c r="Q82" i="28"/>
  <c r="P82" i="28"/>
  <c r="O82" i="28"/>
  <c r="N82" i="28"/>
  <c r="M82" i="28"/>
  <c r="L82" i="28"/>
  <c r="K82" i="28"/>
  <c r="J82" i="28"/>
  <c r="I82" i="28"/>
  <c r="H82" i="28"/>
  <c r="G82" i="28"/>
  <c r="F82" i="28"/>
  <c r="AC81" i="28"/>
  <c r="AB81" i="28"/>
  <c r="AA81" i="28"/>
  <c r="Z81" i="28"/>
  <c r="Y81" i="28"/>
  <c r="X81" i="28"/>
  <c r="W81" i="28"/>
  <c r="V81" i="28"/>
  <c r="U81" i="28"/>
  <c r="T81" i="28"/>
  <c r="S81" i="28"/>
  <c r="R81" i="28"/>
  <c r="Q81" i="28"/>
  <c r="P81" i="28"/>
  <c r="O81" i="28"/>
  <c r="N81" i="28"/>
  <c r="M81" i="28"/>
  <c r="L81" i="28"/>
  <c r="K81" i="28"/>
  <c r="J81" i="28"/>
  <c r="I81" i="28"/>
  <c r="H81" i="28"/>
  <c r="G81" i="28"/>
  <c r="F81" i="28"/>
  <c r="B81" i="28"/>
  <c r="G22" i="28"/>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F23" i="28"/>
  <c r="F24" i="28"/>
  <c r="F22" i="28"/>
  <c r="AC61" i="28" l="1"/>
  <c r="AB61" i="28"/>
  <c r="AA61" i="28"/>
  <c r="Z61" i="28"/>
  <c r="Y61" i="28"/>
  <c r="X61" i="28"/>
  <c r="W61" i="28"/>
  <c r="V61" i="28"/>
  <c r="U61" i="28"/>
  <c r="T61" i="28"/>
  <c r="S61" i="28"/>
  <c r="R61" i="28"/>
  <c r="Q61" i="28"/>
  <c r="P61" i="28"/>
  <c r="O61" i="28"/>
  <c r="N61" i="28"/>
  <c r="M61" i="28"/>
  <c r="L61" i="28"/>
  <c r="K61" i="28"/>
  <c r="J61" i="28"/>
  <c r="I61" i="28"/>
  <c r="H61" i="28"/>
  <c r="G61" i="28"/>
  <c r="F61" i="28"/>
  <c r="AC60" i="28"/>
  <c r="AB60" i="28"/>
  <c r="AA60" i="28"/>
  <c r="Z60" i="28"/>
  <c r="Y60" i="28"/>
  <c r="X60" i="28"/>
  <c r="W60" i="28"/>
  <c r="V60" i="28"/>
  <c r="U60" i="28"/>
  <c r="T60" i="28"/>
  <c r="S60" i="28"/>
  <c r="R60" i="28"/>
  <c r="Q60" i="28"/>
  <c r="P60" i="28"/>
  <c r="O60" i="28"/>
  <c r="N60" i="28"/>
  <c r="M60" i="28"/>
  <c r="L60" i="28"/>
  <c r="K60" i="28"/>
  <c r="J60" i="28"/>
  <c r="I60" i="28"/>
  <c r="H60" i="28"/>
  <c r="G60" i="28"/>
  <c r="F60" i="28"/>
  <c r="AC59" i="28"/>
  <c r="AB59" i="28"/>
  <c r="AA59" i="28"/>
  <c r="Z59" i="28"/>
  <c r="Y59" i="28"/>
  <c r="X59" i="28"/>
  <c r="W59" i="28"/>
  <c r="V59" i="28"/>
  <c r="U59" i="28"/>
  <c r="T59" i="28"/>
  <c r="S59" i="28"/>
  <c r="R59" i="28"/>
  <c r="Q59" i="28"/>
  <c r="P59" i="28"/>
  <c r="O59" i="28"/>
  <c r="N59" i="28"/>
  <c r="M59" i="28"/>
  <c r="L59" i="28"/>
  <c r="K59" i="28"/>
  <c r="J59" i="28"/>
  <c r="I59" i="28"/>
  <c r="H59" i="28"/>
  <c r="G59" i="28"/>
  <c r="F59" i="28"/>
  <c r="AC58" i="28"/>
  <c r="AB58" i="28"/>
  <c r="AA58" i="28"/>
  <c r="Z58" i="28"/>
  <c r="Y58" i="28"/>
  <c r="X58" i="28"/>
  <c r="W58" i="28"/>
  <c r="V58" i="28"/>
  <c r="U58" i="28"/>
  <c r="T58" i="28"/>
  <c r="S58" i="28"/>
  <c r="R58" i="28"/>
  <c r="Q58" i="28"/>
  <c r="P58" i="28"/>
  <c r="O58" i="28"/>
  <c r="N58" i="28"/>
  <c r="M58" i="28"/>
  <c r="L58" i="28"/>
  <c r="K58" i="28"/>
  <c r="J58" i="28"/>
  <c r="I58" i="28"/>
  <c r="H58" i="28"/>
  <c r="G58" i="28"/>
  <c r="F58" i="28"/>
  <c r="AC57" i="28"/>
  <c r="AB57" i="28"/>
  <c r="AA57" i="28"/>
  <c r="Z57" i="28"/>
  <c r="Y57" i="28"/>
  <c r="X57" i="28"/>
  <c r="W57" i="28"/>
  <c r="V57" i="28"/>
  <c r="U57" i="28"/>
  <c r="T57" i="28"/>
  <c r="S57" i="28"/>
  <c r="R57" i="28"/>
  <c r="Q57" i="28"/>
  <c r="P57" i="28"/>
  <c r="O57" i="28"/>
  <c r="N57" i="28"/>
  <c r="M57" i="28"/>
  <c r="L57" i="28"/>
  <c r="K57" i="28"/>
  <c r="J57" i="28"/>
  <c r="I57" i="28"/>
  <c r="H57" i="28"/>
  <c r="G57" i="28"/>
  <c r="F57" i="28"/>
  <c r="AC56" i="28"/>
  <c r="AB56" i="28"/>
  <c r="AA56" i="28"/>
  <c r="Z56" i="28"/>
  <c r="Y56" i="28"/>
  <c r="X56" i="28"/>
  <c r="W56" i="28"/>
  <c r="V56" i="28"/>
  <c r="U56" i="28"/>
  <c r="T56" i="28"/>
  <c r="S56" i="28"/>
  <c r="R56" i="28"/>
  <c r="Q56" i="28"/>
  <c r="P56" i="28"/>
  <c r="O56" i="28"/>
  <c r="N56" i="28"/>
  <c r="M56" i="28"/>
  <c r="L56" i="28"/>
  <c r="K56" i="28"/>
  <c r="J56" i="28"/>
  <c r="I56" i="28"/>
  <c r="H56" i="28"/>
  <c r="G56" i="28"/>
  <c r="F56" i="28"/>
  <c r="C71" i="18"/>
  <c r="C72" i="18"/>
  <c r="G196" i="28" l="1"/>
  <c r="H196" i="28"/>
  <c r="I196" i="28"/>
  <c r="J196" i="28"/>
  <c r="K196" i="28"/>
  <c r="L196" i="28"/>
  <c r="M196" i="28"/>
  <c r="N196" i="28"/>
  <c r="O196" i="28"/>
  <c r="P196" i="28"/>
  <c r="Q196" i="28"/>
  <c r="R196" i="28"/>
  <c r="S196" i="28"/>
  <c r="T196" i="28"/>
  <c r="U196" i="28"/>
  <c r="V196" i="28"/>
  <c r="W196" i="28"/>
  <c r="X196" i="28"/>
  <c r="Y196" i="28"/>
  <c r="Z196" i="28"/>
  <c r="AA196" i="28"/>
  <c r="AB196" i="28"/>
  <c r="AC196" i="28"/>
  <c r="G197" i="28"/>
  <c r="H197" i="28"/>
  <c r="I197" i="28"/>
  <c r="J197" i="28"/>
  <c r="K197" i="28"/>
  <c r="L197" i="28"/>
  <c r="M197" i="28"/>
  <c r="N197" i="28"/>
  <c r="O197" i="28"/>
  <c r="P197" i="28"/>
  <c r="Q197" i="28"/>
  <c r="R197" i="28"/>
  <c r="S197" i="28"/>
  <c r="T197" i="28"/>
  <c r="U197" i="28"/>
  <c r="V197" i="28"/>
  <c r="W197" i="28"/>
  <c r="X197" i="28"/>
  <c r="Y197" i="28"/>
  <c r="Z197" i="28"/>
  <c r="AA197" i="28"/>
  <c r="AB197" i="28"/>
  <c r="AC197" i="28"/>
  <c r="G198" i="28"/>
  <c r="H198" i="28"/>
  <c r="I198" i="28"/>
  <c r="J198" i="28"/>
  <c r="K198" i="28"/>
  <c r="L198" i="28"/>
  <c r="M198" i="28"/>
  <c r="N198" i="28"/>
  <c r="O198" i="28"/>
  <c r="P198" i="28"/>
  <c r="Q198" i="28"/>
  <c r="R198" i="28"/>
  <c r="S198" i="28"/>
  <c r="T198" i="28"/>
  <c r="U198" i="28"/>
  <c r="V198" i="28"/>
  <c r="W198" i="28"/>
  <c r="X198" i="28"/>
  <c r="Y198" i="28"/>
  <c r="Z198" i="28"/>
  <c r="AA198" i="28"/>
  <c r="AB198" i="28"/>
  <c r="AC198" i="28"/>
  <c r="G199" i="28"/>
  <c r="H199" i="28"/>
  <c r="I199" i="28"/>
  <c r="J199" i="28"/>
  <c r="K199" i="28"/>
  <c r="L199" i="28"/>
  <c r="M199" i="28"/>
  <c r="N199" i="28"/>
  <c r="O199" i="28"/>
  <c r="P199" i="28"/>
  <c r="Q199" i="28"/>
  <c r="R199" i="28"/>
  <c r="S199" i="28"/>
  <c r="T199" i="28"/>
  <c r="U199" i="28"/>
  <c r="V199" i="28"/>
  <c r="W199" i="28"/>
  <c r="X199" i="28"/>
  <c r="Y199" i="28"/>
  <c r="Z199" i="28"/>
  <c r="AA199" i="28"/>
  <c r="AB199" i="28"/>
  <c r="AC199" i="28"/>
  <c r="G200" i="28"/>
  <c r="H200" i="28"/>
  <c r="I200" i="28"/>
  <c r="J200" i="28"/>
  <c r="K200" i="28"/>
  <c r="L200" i="28"/>
  <c r="M200" i="28"/>
  <c r="N200" i="28"/>
  <c r="O200" i="28"/>
  <c r="P200" i="28"/>
  <c r="Q200" i="28"/>
  <c r="R200" i="28"/>
  <c r="S200" i="28"/>
  <c r="T200" i="28"/>
  <c r="U200" i="28"/>
  <c r="V200" i="28"/>
  <c r="W200" i="28"/>
  <c r="X200" i="28"/>
  <c r="Y200" i="28"/>
  <c r="Z200" i="28"/>
  <c r="AA200" i="28"/>
  <c r="AB200" i="28"/>
  <c r="AC200" i="28"/>
  <c r="G201" i="28"/>
  <c r="H201" i="28"/>
  <c r="I201" i="28"/>
  <c r="J201" i="28"/>
  <c r="K201" i="28"/>
  <c r="L201" i="28"/>
  <c r="M201" i="28"/>
  <c r="N201" i="28"/>
  <c r="O201" i="28"/>
  <c r="P201" i="28"/>
  <c r="Q201" i="28"/>
  <c r="R201" i="28"/>
  <c r="S201" i="28"/>
  <c r="T201" i="28"/>
  <c r="U201" i="28"/>
  <c r="V201" i="28"/>
  <c r="W201" i="28"/>
  <c r="X201" i="28"/>
  <c r="Y201" i="28"/>
  <c r="Z201" i="28"/>
  <c r="AA201" i="28"/>
  <c r="AB201" i="28"/>
  <c r="AC201" i="28"/>
  <c r="F200" i="28"/>
  <c r="F201" i="28"/>
  <c r="F199" i="28"/>
  <c r="F197" i="28"/>
  <c r="F198" i="28"/>
  <c r="F196" i="28"/>
  <c r="B199" i="28"/>
  <c r="A199" i="28"/>
  <c r="B196" i="28"/>
  <c r="A196" i="28"/>
  <c r="AB171" i="28"/>
  <c r="AA171" i="28"/>
  <c r="Z171" i="28"/>
  <c r="Y171" i="28"/>
  <c r="X171" i="28"/>
  <c r="W171" i="28"/>
  <c r="V171" i="28"/>
  <c r="U171" i="28"/>
  <c r="T171" i="28"/>
  <c r="S171" i="28"/>
  <c r="R171" i="28"/>
  <c r="Q171" i="28"/>
  <c r="P171" i="28"/>
  <c r="O171" i="28"/>
  <c r="N171" i="28"/>
  <c r="M171" i="28"/>
  <c r="AB170" i="28"/>
  <c r="AA170" i="28"/>
  <c r="Z170" i="28"/>
  <c r="Y170" i="28"/>
  <c r="X170" i="28"/>
  <c r="W170" i="28"/>
  <c r="V170" i="28"/>
  <c r="U170" i="28"/>
  <c r="T170" i="28"/>
  <c r="S170" i="28"/>
  <c r="R170" i="28"/>
  <c r="Q170" i="28"/>
  <c r="P170" i="28"/>
  <c r="O170" i="28"/>
  <c r="N170" i="28"/>
  <c r="M170" i="28"/>
  <c r="K170" i="28"/>
  <c r="F170" i="28"/>
  <c r="AB169" i="28"/>
  <c r="AA169" i="28"/>
  <c r="Z169" i="28"/>
  <c r="Y169" i="28"/>
  <c r="X169" i="28"/>
  <c r="W169" i="28"/>
  <c r="V169" i="28"/>
  <c r="U169" i="28"/>
  <c r="T169" i="28"/>
  <c r="S169" i="28"/>
  <c r="R169" i="28"/>
  <c r="Q169" i="28"/>
  <c r="P169" i="28"/>
  <c r="O169" i="28"/>
  <c r="N169" i="28"/>
  <c r="M169" i="28"/>
  <c r="B162" i="28"/>
  <c r="A162" i="28"/>
  <c r="B159" i="28"/>
  <c r="A159" i="28"/>
  <c r="A156" i="28"/>
  <c r="A153" i="28"/>
  <c r="A150" i="28"/>
  <c r="A144" i="28"/>
  <c r="AB143" i="28"/>
  <c r="AA143" i="28"/>
  <c r="Z143" i="28"/>
  <c r="Y143" i="28"/>
  <c r="X143" i="28"/>
  <c r="W143" i="28"/>
  <c r="V143" i="28"/>
  <c r="U143" i="28"/>
  <c r="T143" i="28"/>
  <c r="S143" i="28"/>
  <c r="R143" i="28"/>
  <c r="Q143" i="28"/>
  <c r="P143" i="28"/>
  <c r="O143" i="28"/>
  <c r="N143" i="28"/>
  <c r="M143" i="28"/>
  <c r="AB142" i="28"/>
  <c r="AA142" i="28"/>
  <c r="Z142" i="28"/>
  <c r="Y142" i="28"/>
  <c r="X142" i="28"/>
  <c r="W142" i="28"/>
  <c r="V142" i="28"/>
  <c r="U142" i="28"/>
  <c r="T142" i="28"/>
  <c r="S142" i="28"/>
  <c r="R142" i="28"/>
  <c r="Q142" i="28"/>
  <c r="P142" i="28"/>
  <c r="O142" i="28"/>
  <c r="N142" i="28"/>
  <c r="M142" i="28"/>
  <c r="K142" i="28"/>
  <c r="F142" i="28"/>
  <c r="AB141" i="28"/>
  <c r="AA141" i="28"/>
  <c r="Z141" i="28"/>
  <c r="Y141" i="28"/>
  <c r="X141" i="28"/>
  <c r="W141" i="28"/>
  <c r="V141" i="28"/>
  <c r="U141" i="28"/>
  <c r="T141" i="28"/>
  <c r="S141" i="28"/>
  <c r="R141" i="28"/>
  <c r="Q141" i="28"/>
  <c r="P141" i="28"/>
  <c r="O141" i="28"/>
  <c r="N141" i="28"/>
  <c r="M141" i="28"/>
  <c r="A141" i="28"/>
  <c r="A147" i="28" s="1"/>
  <c r="G31" i="28"/>
  <c r="H31" i="28"/>
  <c r="I31" i="28"/>
  <c r="J31" i="28"/>
  <c r="K31" i="28"/>
  <c r="L31" i="28"/>
  <c r="M31" i="28"/>
  <c r="N31" i="28"/>
  <c r="O31" i="28"/>
  <c r="P31" i="28"/>
  <c r="Q31" i="28"/>
  <c r="R31" i="28"/>
  <c r="S31" i="28"/>
  <c r="T31" i="28"/>
  <c r="U31" i="28"/>
  <c r="V31" i="28"/>
  <c r="W31" i="28"/>
  <c r="X31" i="28"/>
  <c r="Y31" i="28"/>
  <c r="Z31" i="28"/>
  <c r="AA31" i="28"/>
  <c r="AB31" i="28"/>
  <c r="AC31" i="28"/>
  <c r="G32" i="28"/>
  <c r="H32" i="28"/>
  <c r="I32" i="28"/>
  <c r="J32" i="28"/>
  <c r="K32" i="28"/>
  <c r="L32" i="28"/>
  <c r="M32" i="28"/>
  <c r="N32" i="28"/>
  <c r="O32" i="28"/>
  <c r="P32" i="28"/>
  <c r="Q32" i="28"/>
  <c r="R32" i="28"/>
  <c r="S32" i="28"/>
  <c r="T32" i="28"/>
  <c r="U32" i="28"/>
  <c r="V32" i="28"/>
  <c r="W32" i="28"/>
  <c r="X32" i="28"/>
  <c r="Y32" i="28"/>
  <c r="Z32" i="28"/>
  <c r="AA32" i="28"/>
  <c r="AB32" i="28"/>
  <c r="AC32" i="28"/>
  <c r="G33" i="28"/>
  <c r="H33" i="28"/>
  <c r="I33" i="28"/>
  <c r="J33" i="28"/>
  <c r="K33" i="28"/>
  <c r="L33" i="28"/>
  <c r="M33" i="28"/>
  <c r="N33" i="28"/>
  <c r="O33" i="28"/>
  <c r="P33" i="28"/>
  <c r="Q33" i="28"/>
  <c r="R33" i="28"/>
  <c r="S33" i="28"/>
  <c r="T33" i="28"/>
  <c r="U33" i="28"/>
  <c r="V33" i="28"/>
  <c r="W33" i="28"/>
  <c r="X33" i="28"/>
  <c r="Y33" i="28"/>
  <c r="Z33" i="28"/>
  <c r="AA33" i="28"/>
  <c r="AB33" i="28"/>
  <c r="AC33" i="28"/>
  <c r="F32" i="28"/>
  <c r="F33" i="28"/>
  <c r="F31" i="28"/>
  <c r="A1" i="21"/>
  <c r="J1" i="21"/>
  <c r="A6" i="9" l="1"/>
  <c r="G12" i="9"/>
  <c r="G11" i="9"/>
  <c r="G9" i="9"/>
  <c r="G8" i="9"/>
  <c r="G13" i="9"/>
  <c r="G10" i="9"/>
  <c r="A1" i="25"/>
  <c r="G14" i="9" l="1"/>
  <c r="A3" i="9" s="1"/>
  <c r="G15" i="9"/>
  <c r="B3" i="9" s="1"/>
  <c r="G16" i="9" l="1"/>
  <c r="A1" i="13"/>
  <c r="A1" i="1"/>
  <c r="A1" i="14"/>
  <c r="A1" i="22"/>
  <c r="A1" i="27"/>
  <c r="N1" i="20"/>
  <c r="A1" i="28"/>
  <c r="A1" i="29"/>
  <c r="A1" i="9"/>
  <c r="O1" i="18"/>
  <c r="A1" i="18" s="1"/>
  <c r="A1" i="31"/>
  <c r="H4" i="21"/>
  <c r="H5" i="21"/>
  <c r="AB9" i="21"/>
  <c r="AB7" i="21"/>
  <c r="J22" i="1"/>
  <c r="K22" i="1"/>
  <c r="L22" i="1"/>
  <c r="M22" i="1"/>
  <c r="N22" i="1"/>
  <c r="O22" i="1"/>
  <c r="P22" i="1"/>
  <c r="Q22" i="1"/>
  <c r="R22" i="1"/>
  <c r="S22" i="1"/>
  <c r="T22" i="1"/>
  <c r="U22" i="1"/>
  <c r="V22" i="1"/>
  <c r="W22" i="1"/>
  <c r="X22" i="1"/>
  <c r="I22" i="1"/>
  <c r="J21" i="1"/>
  <c r="K21" i="1"/>
  <c r="L21" i="1"/>
  <c r="M21" i="1"/>
  <c r="N21" i="1"/>
  <c r="O21" i="1"/>
  <c r="P21" i="1"/>
  <c r="Q21" i="1"/>
  <c r="R21" i="1"/>
  <c r="S21" i="1"/>
  <c r="T21" i="1"/>
  <c r="U21" i="1"/>
  <c r="V21" i="1"/>
  <c r="W21" i="1"/>
  <c r="X21" i="1"/>
  <c r="I21" i="1"/>
  <c r="I15" i="1"/>
  <c r="J15" i="1"/>
  <c r="K15" i="1"/>
  <c r="L15" i="1"/>
  <c r="M15" i="1"/>
  <c r="N15" i="1"/>
  <c r="O15" i="1"/>
  <c r="P15" i="1"/>
  <c r="Q15" i="1"/>
  <c r="R15" i="1"/>
  <c r="S15" i="1"/>
  <c r="T15" i="1"/>
  <c r="U15" i="1"/>
  <c r="V15" i="1"/>
  <c r="W15" i="1"/>
  <c r="X15" i="1"/>
  <c r="I16" i="1"/>
  <c r="J16" i="1"/>
  <c r="K16" i="1"/>
  <c r="L16" i="1"/>
  <c r="M16" i="1"/>
  <c r="N16" i="1"/>
  <c r="O16" i="1"/>
  <c r="P16" i="1"/>
  <c r="Q16" i="1"/>
  <c r="R16" i="1"/>
  <c r="S16" i="1"/>
  <c r="T16" i="1"/>
  <c r="U16" i="1"/>
  <c r="V16" i="1"/>
  <c r="W16" i="1"/>
  <c r="X16" i="1"/>
  <c r="B72" i="18"/>
  <c r="B71" i="18"/>
  <c r="B70" i="18"/>
  <c r="V14" i="18"/>
  <c r="V15" i="18"/>
  <c r="A182" i="33"/>
  <c r="I25" i="1" l="1" a="1"/>
  <c r="I25" i="1" s="1"/>
  <c r="I19" i="1" a="1"/>
  <c r="I19" i="1" s="1"/>
  <c r="F9" i="33"/>
  <c r="G9" i="33" s="1"/>
  <c r="C3" i="9"/>
  <c r="H9" i="33" l="1"/>
  <c r="V18" i="18"/>
  <c r="Q20" i="18"/>
  <c r="Q19" i="18"/>
  <c r="Q14" i="18"/>
  <c r="O20" i="18"/>
  <c r="A195" i="33" s="1"/>
  <c r="O19" i="18"/>
  <c r="A194" i="33" s="1"/>
  <c r="O18" i="18"/>
  <c r="A192" i="33" s="1"/>
  <c r="O12" i="18"/>
  <c r="A186" i="33" s="1"/>
  <c r="O11" i="18"/>
  <c r="A185" i="33" s="1"/>
  <c r="O10" i="18"/>
  <c r="A184" i="33" s="1"/>
  <c r="O13" i="18"/>
  <c r="A187" i="33" s="1"/>
  <c r="D16" i="18"/>
  <c r="J16" i="18" l="1"/>
  <c r="K16" i="18"/>
  <c r="A17" i="25"/>
  <c r="A16" i="25"/>
  <c r="A14" i="25"/>
  <c r="A13" i="29"/>
  <c r="A5" i="29"/>
  <c r="A16" i="29"/>
  <c r="A15" i="29"/>
  <c r="A9" i="25"/>
  <c r="A8" i="25"/>
  <c r="A7" i="25"/>
  <c r="A6" i="25"/>
  <c r="A8" i="29"/>
  <c r="A7" i="29"/>
  <c r="A6" i="29"/>
  <c r="V12" i="18" l="1"/>
  <c r="V13" i="18"/>
  <c r="V16" i="18"/>
  <c r="V17" i="18"/>
  <c r="Q9" i="18"/>
  <c r="W5" i="18" s="1"/>
  <c r="Q17" i="18"/>
  <c r="Q16" i="18"/>
  <c r="Q15" i="18"/>
  <c r="Q13" i="18"/>
  <c r="Q12" i="18"/>
  <c r="Q11" i="18"/>
  <c r="Q10" i="18"/>
  <c r="O17" i="18"/>
  <c r="A191" i="33" s="1"/>
  <c r="O16" i="18"/>
  <c r="A190" i="33" s="1"/>
  <c r="O15" i="18"/>
  <c r="A189" i="33" s="1"/>
  <c r="O14" i="18"/>
  <c r="A188" i="33" s="1"/>
  <c r="O9" i="18"/>
  <c r="A183" i="33" s="1"/>
  <c r="F46" i="33" l="1"/>
  <c r="G46" i="33" s="1"/>
  <c r="H46" i="33" s="1"/>
  <c r="F30" i="33"/>
  <c r="G30" i="33" s="1"/>
  <c r="H30" i="33" s="1"/>
  <c r="F48" i="33"/>
  <c r="G48" i="33" s="1"/>
  <c r="H48" i="33" s="1"/>
  <c r="F60" i="33"/>
  <c r="G60" i="33" s="1"/>
  <c r="H60" i="33" s="1"/>
  <c r="F67" i="33"/>
  <c r="G67" i="33" s="1"/>
  <c r="H67" i="33" s="1"/>
  <c r="F32" i="33"/>
  <c r="G32" i="33" s="1"/>
  <c r="H32" i="33" s="1"/>
  <c r="F17" i="33"/>
  <c r="G17" i="33" s="1"/>
  <c r="H17" i="33" s="1"/>
  <c r="F52" i="33"/>
  <c r="G52" i="33" s="1"/>
  <c r="H52" i="33" s="1"/>
  <c r="F15" i="33"/>
  <c r="G15" i="33" s="1"/>
  <c r="H15" i="33" s="1"/>
  <c r="F25" i="33"/>
  <c r="G25" i="33" s="1"/>
  <c r="H25" i="33" s="1"/>
  <c r="F13" i="33"/>
  <c r="G13" i="33" s="1"/>
  <c r="H13" i="33" s="1"/>
  <c r="F27" i="33"/>
  <c r="G27" i="33" s="1"/>
  <c r="H27" i="33" s="1"/>
  <c r="F20" i="33"/>
  <c r="G20" i="33" s="1"/>
  <c r="H20" i="33" s="1"/>
  <c r="F38" i="33"/>
  <c r="G38" i="33" s="1"/>
  <c r="H38" i="33" s="1"/>
  <c r="F58" i="33"/>
  <c r="G58" i="33" s="1"/>
  <c r="H58" i="33" s="1"/>
  <c r="F11" i="33"/>
  <c r="G11" i="33" s="1"/>
  <c r="H11" i="33" s="1"/>
  <c r="F39" i="33"/>
  <c r="G39" i="33" s="1"/>
  <c r="H39" i="33" s="1"/>
  <c r="F35" i="33"/>
  <c r="G35" i="33" s="1"/>
  <c r="H35" i="33" s="1"/>
  <c r="F57" i="33"/>
  <c r="G57" i="33" s="1"/>
  <c r="H57" i="33" s="1"/>
  <c r="F33" i="33"/>
  <c r="G33" i="33" s="1"/>
  <c r="H33" i="33" s="1"/>
  <c r="F22" i="33"/>
  <c r="G22" i="33" s="1"/>
  <c r="H22" i="33" s="1"/>
  <c r="F24" i="33"/>
  <c r="G24" i="33" s="1"/>
  <c r="H24" i="33" s="1"/>
  <c r="F65" i="33"/>
  <c r="G65" i="33" s="1"/>
  <c r="H65" i="33" s="1"/>
  <c r="F45" i="33"/>
  <c r="G45" i="33" s="1"/>
  <c r="H45" i="33" s="1"/>
  <c r="F21" i="33"/>
  <c r="G21" i="33" s="1"/>
  <c r="H21" i="33" s="1"/>
  <c r="F66" i="33"/>
  <c r="G66" i="33" s="1"/>
  <c r="H66" i="33" s="1"/>
  <c r="F23" i="33"/>
  <c r="G23" i="33" s="1"/>
  <c r="H23" i="33" s="1"/>
  <c r="F56" i="33"/>
  <c r="G56" i="33" s="1"/>
  <c r="H56" i="33" s="1"/>
  <c r="F55" i="33"/>
  <c r="G55" i="33" s="1"/>
  <c r="H55" i="33" s="1"/>
  <c r="F31" i="33"/>
  <c r="G31" i="33" s="1"/>
  <c r="H31" i="33" s="1"/>
  <c r="F19" i="33"/>
  <c r="G19" i="33" s="1"/>
  <c r="H19" i="33" s="1"/>
  <c r="F64" i="33"/>
  <c r="G64" i="33" s="1"/>
  <c r="H64" i="33" s="1"/>
  <c r="F29" i="33"/>
  <c r="G29" i="33" s="1"/>
  <c r="H29" i="33" s="1"/>
  <c r="F53" i="33"/>
  <c r="G53" i="33" s="1"/>
  <c r="H53" i="33" s="1"/>
  <c r="F40" i="33"/>
  <c r="G40" i="33" s="1"/>
  <c r="H40" i="33" s="1"/>
  <c r="F51" i="33"/>
  <c r="G51" i="33" s="1"/>
  <c r="H51" i="33" s="1"/>
  <c r="F26" i="33"/>
  <c r="G26" i="33" s="1"/>
  <c r="H26" i="33" s="1"/>
  <c r="F18" i="33"/>
  <c r="G18" i="33" s="1"/>
  <c r="H18" i="33" s="1"/>
  <c r="F49" i="33"/>
  <c r="G49" i="33" s="1"/>
  <c r="H49" i="33" s="1"/>
  <c r="F54" i="33"/>
  <c r="G54" i="33" s="1"/>
  <c r="H54" i="33" s="1"/>
  <c r="F63" i="33"/>
  <c r="G63" i="33" s="1"/>
  <c r="H63" i="33" s="1"/>
  <c r="F47" i="33"/>
  <c r="G47" i="33" s="1"/>
  <c r="H47" i="33" s="1"/>
  <c r="F61" i="33"/>
  <c r="G61" i="33" s="1"/>
  <c r="H61" i="33" s="1"/>
  <c r="F16" i="33"/>
  <c r="G16" i="33" s="1"/>
  <c r="H16" i="33" s="1"/>
  <c r="F36" i="33"/>
  <c r="G36" i="33" s="1"/>
  <c r="H36" i="33" s="1"/>
  <c r="F59" i="33"/>
  <c r="G59" i="33" s="1"/>
  <c r="H59" i="33" s="1"/>
  <c r="F28" i="33"/>
  <c r="G28" i="33" s="1"/>
  <c r="H28" i="33" s="1"/>
  <c r="F62" i="33"/>
  <c r="G62" i="33" s="1"/>
  <c r="H62" i="33" s="1"/>
  <c r="F43" i="33"/>
  <c r="G43" i="33" s="1"/>
  <c r="H43" i="33" s="1"/>
  <c r="F37" i="33"/>
  <c r="G37" i="33" s="1"/>
  <c r="H37" i="33" s="1"/>
  <c r="F50" i="33"/>
  <c r="G50" i="33" s="1"/>
  <c r="H50" i="33" s="1"/>
  <c r="F42" i="33"/>
  <c r="G42" i="33" s="1"/>
  <c r="H42" i="33" s="1"/>
  <c r="F14" i="33"/>
  <c r="G14" i="33" s="1"/>
  <c r="H14" i="33" s="1"/>
  <c r="F12" i="33"/>
  <c r="G12" i="33" s="1"/>
  <c r="H12" i="33" s="1"/>
  <c r="F34" i="33"/>
  <c r="G34" i="33" s="1"/>
  <c r="H34" i="33" s="1"/>
  <c r="F10" i="33"/>
  <c r="G10" i="33" s="1"/>
  <c r="A11" i="29"/>
  <c r="A12" i="25"/>
  <c r="A10" i="29"/>
  <c r="A11" i="25"/>
  <c r="A9" i="29"/>
  <c r="A10" i="25"/>
  <c r="F25" i="18"/>
  <c r="F26" i="18"/>
  <c r="F24" i="18"/>
  <c r="F22" i="18"/>
  <c r="A5" i="25"/>
  <c r="A4" i="29"/>
  <c r="F60" i="18"/>
  <c r="F42" i="18"/>
  <c r="F32" i="18"/>
  <c r="F53" i="18"/>
  <c r="F47" i="18"/>
  <c r="F50" i="18"/>
  <c r="F59" i="18"/>
  <c r="F52" i="18"/>
  <c r="F44" i="18"/>
  <c r="F57" i="18"/>
  <c r="F41" i="18"/>
  <c r="F20" i="18"/>
  <c r="F49" i="18"/>
  <c r="F46" i="18"/>
  <c r="F18" i="18"/>
  <c r="F51" i="18"/>
  <c r="F39" i="18"/>
  <c r="F48" i="18"/>
  <c r="F17" i="18"/>
  <c r="F40" i="18"/>
  <c r="F21" i="18"/>
  <c r="F55" i="18"/>
  <c r="F23" i="18"/>
  <c r="F54" i="18"/>
  <c r="F43" i="18"/>
  <c r="F45" i="18"/>
  <c r="F16" i="18"/>
  <c r="F58" i="18"/>
  <c r="F56" i="18"/>
  <c r="F31" i="18"/>
  <c r="F19" i="18"/>
  <c r="F61" i="18"/>
  <c r="F33" i="18"/>
  <c r="A12" i="29"/>
  <c r="A13" i="25"/>
  <c r="F28" i="18"/>
  <c r="H34" i="18"/>
  <c r="F30" i="18"/>
  <c r="F29" i="18"/>
  <c r="F37" i="18"/>
  <c r="H35" i="18"/>
  <c r="F36" i="18"/>
  <c r="F35" i="18"/>
  <c r="F34" i="18"/>
  <c r="F3" i="18"/>
  <c r="H38" i="18"/>
  <c r="F38" i="18"/>
  <c r="H37" i="18"/>
  <c r="H36" i="18"/>
  <c r="H30" i="18"/>
  <c r="A3" i="29"/>
  <c r="A4" i="25"/>
  <c r="H10" i="33" l="1"/>
  <c r="G70" i="33"/>
  <c r="G69" i="33"/>
  <c r="K8" i="13"/>
  <c r="K9" i="13"/>
  <c r="K10" i="13"/>
  <c r="K11" i="13"/>
  <c r="K12" i="13"/>
  <c r="K13" i="13"/>
  <c r="K14" i="13"/>
  <c r="K15" i="13"/>
  <c r="D15" i="18" s="1"/>
  <c r="K17" i="13"/>
  <c r="K18" i="13"/>
  <c r="D18" i="18" s="1"/>
  <c r="K19" i="13"/>
  <c r="K20" i="13"/>
  <c r="K21" i="13"/>
  <c r="K22" i="13"/>
  <c r="K23" i="13"/>
  <c r="K24" i="13"/>
  <c r="K25" i="13"/>
  <c r="K26" i="13"/>
  <c r="K27" i="13"/>
  <c r="K28" i="13"/>
  <c r="K29" i="13"/>
  <c r="K30" i="13"/>
  <c r="K31" i="13"/>
  <c r="K33" i="13"/>
  <c r="K34" i="13"/>
  <c r="K35" i="13"/>
  <c r="K36" i="13"/>
  <c r="K37" i="13"/>
  <c r="K38" i="13"/>
  <c r="K39" i="13"/>
  <c r="D39" i="18" s="1"/>
  <c r="K40" i="13"/>
  <c r="K41" i="13"/>
  <c r="K42" i="13"/>
  <c r="K43" i="13"/>
  <c r="K44" i="13"/>
  <c r="K46" i="13"/>
  <c r="K47" i="13"/>
  <c r="K48" i="13"/>
  <c r="K49" i="13"/>
  <c r="K50" i="13"/>
  <c r="K51" i="13"/>
  <c r="K52" i="13"/>
  <c r="K53" i="13"/>
  <c r="K54" i="13"/>
  <c r="K55" i="13"/>
  <c r="K56" i="13"/>
  <c r="K57" i="13"/>
  <c r="K58" i="13"/>
  <c r="K59" i="13"/>
  <c r="K60" i="13"/>
  <c r="D60" i="18" s="1"/>
  <c r="J60" i="18" s="1"/>
  <c r="K61" i="13"/>
  <c r="D61" i="18" s="1"/>
  <c r="P8" i="18" l="1"/>
  <c r="R8" i="18" s="1"/>
  <c r="W8" i="18" s="1"/>
  <c r="D8" i="18"/>
  <c r="J8" i="18" s="1"/>
  <c r="P9" i="18"/>
  <c r="C183" i="33" s="1"/>
  <c r="P3" i="18"/>
  <c r="P7" i="18"/>
  <c r="R7" i="18" s="1"/>
  <c r="W7" i="18" s="1"/>
  <c r="P14" i="18"/>
  <c r="C188" i="33" s="1"/>
  <c r="B72" i="33"/>
  <c r="C85" i="33" s="1"/>
  <c r="E85" i="33" s="1"/>
  <c r="F85" i="33" s="1"/>
  <c r="J18" i="18"/>
  <c r="K18" i="18"/>
  <c r="J15" i="18"/>
  <c r="K15" i="18"/>
  <c r="J61" i="18"/>
  <c r="K61" i="18"/>
  <c r="J39" i="18"/>
  <c r="K39" i="18"/>
  <c r="G3" i="13"/>
  <c r="D3" i="18"/>
  <c r="G60" i="18"/>
  <c r="K60" i="18" s="1"/>
  <c r="D59" i="18"/>
  <c r="D58" i="18"/>
  <c r="D57" i="18"/>
  <c r="D56" i="18"/>
  <c r="D55" i="18"/>
  <c r="D54" i="18"/>
  <c r="D53" i="18"/>
  <c r="D52" i="18"/>
  <c r="D51" i="18"/>
  <c r="D50" i="18"/>
  <c r="D49" i="18"/>
  <c r="D48" i="18"/>
  <c r="D47" i="18"/>
  <c r="D46" i="18"/>
  <c r="D45" i="18"/>
  <c r="D44" i="18"/>
  <c r="P18" i="18"/>
  <c r="C192" i="33" s="1"/>
  <c r="D43" i="18"/>
  <c r="D42" i="18"/>
  <c r="D41" i="18"/>
  <c r="D40" i="18"/>
  <c r="D38" i="18"/>
  <c r="D37" i="18"/>
  <c r="D36" i="18"/>
  <c r="D35" i="18"/>
  <c r="D34" i="18"/>
  <c r="D33" i="18"/>
  <c r="D32" i="18"/>
  <c r="D31" i="18"/>
  <c r="J31" i="18" s="1"/>
  <c r="D30" i="18"/>
  <c r="P19" i="18"/>
  <c r="C194" i="33" s="1"/>
  <c r="D29" i="18"/>
  <c r="D28" i="18"/>
  <c r="K28" i="18" s="1"/>
  <c r="D27" i="18"/>
  <c r="P20" i="18"/>
  <c r="C195" i="33" s="1"/>
  <c r="D26" i="18"/>
  <c r="J26" i="18" s="1"/>
  <c r="D25" i="18"/>
  <c r="J25" i="18" s="1"/>
  <c r="D24" i="18"/>
  <c r="J24" i="18" s="1"/>
  <c r="D23" i="18"/>
  <c r="J23" i="18" s="1"/>
  <c r="D22" i="18"/>
  <c r="J22" i="18" s="1"/>
  <c r="P13" i="18"/>
  <c r="C187" i="33" s="1"/>
  <c r="D21" i="18"/>
  <c r="D20" i="18"/>
  <c r="D19" i="18"/>
  <c r="D17" i="18"/>
  <c r="D14" i="18"/>
  <c r="D13" i="18"/>
  <c r="D12" i="18"/>
  <c r="D11" i="18"/>
  <c r="D10" i="18"/>
  <c r="D9" i="18"/>
  <c r="P11" i="18"/>
  <c r="C185" i="33" s="1"/>
  <c r="P10" i="18"/>
  <c r="P16" i="18"/>
  <c r="C190" i="33" s="1"/>
  <c r="P12" i="18"/>
  <c r="C186" i="33" s="1"/>
  <c r="P17" i="18"/>
  <c r="C191" i="33" s="1"/>
  <c r="P15" i="18"/>
  <c r="C189" i="33" s="1"/>
  <c r="K8" i="18" l="1"/>
  <c r="K3" i="18"/>
  <c r="D62" i="18"/>
  <c r="C182" i="33"/>
  <c r="P21" i="18"/>
  <c r="C184" i="33"/>
  <c r="C200" i="33" s="1"/>
  <c r="C90" i="33"/>
  <c r="E90" i="33" s="1"/>
  <c r="F90" i="33" s="1"/>
  <c r="G90" i="33"/>
  <c r="C83" i="33"/>
  <c r="E83" i="33" s="1"/>
  <c r="F83" i="33" s="1"/>
  <c r="G81" i="33"/>
  <c r="G92" i="33"/>
  <c r="G89" i="33"/>
  <c r="G88" i="33"/>
  <c r="G87" i="33"/>
  <c r="G86" i="33"/>
  <c r="G84" i="33"/>
  <c r="G82" i="33"/>
  <c r="C89" i="33"/>
  <c r="E89" i="33" s="1"/>
  <c r="F89" i="33" s="1"/>
  <c r="C88" i="33"/>
  <c r="E88" i="33" s="1"/>
  <c r="F88" i="33" s="1"/>
  <c r="C91" i="33"/>
  <c r="E91" i="33" s="1"/>
  <c r="F91" i="33" s="1"/>
  <c r="C87" i="33"/>
  <c r="E87" i="33" s="1"/>
  <c r="F87" i="33" s="1"/>
  <c r="C96" i="33"/>
  <c r="E96" i="33" s="1"/>
  <c r="F96" i="33" s="1"/>
  <c r="C86" i="33"/>
  <c r="E86" i="33" s="1"/>
  <c r="F86" i="33" s="1"/>
  <c r="G83" i="33"/>
  <c r="G94" i="33"/>
  <c r="C81" i="33"/>
  <c r="E81" i="33" s="1"/>
  <c r="F81" i="33" s="1"/>
  <c r="C92" i="33"/>
  <c r="E92" i="33" s="1"/>
  <c r="F92" i="33" s="1"/>
  <c r="C82" i="33"/>
  <c r="E82" i="33" s="1"/>
  <c r="F82" i="33" s="1"/>
  <c r="G85" i="33"/>
  <c r="H85" i="33" s="1"/>
  <c r="J85" i="33" s="1"/>
  <c r="C94" i="33"/>
  <c r="E94" i="33" s="1"/>
  <c r="F94" i="33" s="1"/>
  <c r="G96" i="33"/>
  <c r="C93" i="33"/>
  <c r="E93" i="33" s="1"/>
  <c r="F93" i="33" s="1"/>
  <c r="G95" i="33"/>
  <c r="C95" i="33"/>
  <c r="E95" i="33" s="1"/>
  <c r="F95" i="33" s="1"/>
  <c r="G93" i="33"/>
  <c r="G91" i="33"/>
  <c r="C84" i="33"/>
  <c r="E84" i="33" s="1"/>
  <c r="F84" i="33" s="1"/>
  <c r="D4" i="33"/>
  <c r="D3" i="33"/>
  <c r="J9" i="18"/>
  <c r="K9" i="18"/>
  <c r="J10" i="18"/>
  <c r="K10" i="18"/>
  <c r="J11" i="18"/>
  <c r="K11" i="18"/>
  <c r="J12" i="18"/>
  <c r="K12" i="18"/>
  <c r="J13" i="18"/>
  <c r="K13" i="18"/>
  <c r="J14" i="18"/>
  <c r="K14" i="18"/>
  <c r="J17" i="18"/>
  <c r="K17" i="18"/>
  <c r="J19" i="18"/>
  <c r="K19" i="18"/>
  <c r="J20" i="18"/>
  <c r="K20" i="18"/>
  <c r="G54" i="13"/>
  <c r="G4" i="13"/>
  <c r="G5" i="13"/>
  <c r="G7" i="13"/>
  <c r="G6" i="13"/>
  <c r="G14" i="13"/>
  <c r="G32" i="13"/>
  <c r="J30" i="18"/>
  <c r="K30" i="18"/>
  <c r="J33" i="18"/>
  <c r="K33" i="18"/>
  <c r="J34" i="18"/>
  <c r="K34" i="18"/>
  <c r="J35" i="18"/>
  <c r="K35" i="18"/>
  <c r="J36" i="18"/>
  <c r="K36" i="18"/>
  <c r="J37" i="18"/>
  <c r="K37" i="18"/>
  <c r="J38" i="18"/>
  <c r="K38" i="18"/>
  <c r="J40" i="18"/>
  <c r="K40" i="18"/>
  <c r="J41" i="18"/>
  <c r="K41" i="18"/>
  <c r="J42" i="18"/>
  <c r="K42" i="18"/>
  <c r="J43" i="18"/>
  <c r="K43" i="18"/>
  <c r="J44" i="18"/>
  <c r="K44" i="18"/>
  <c r="J45" i="18"/>
  <c r="K45" i="18"/>
  <c r="J46" i="18"/>
  <c r="K46" i="18"/>
  <c r="J47" i="18"/>
  <c r="K47" i="18"/>
  <c r="J48" i="18"/>
  <c r="K48" i="18"/>
  <c r="J49" i="18"/>
  <c r="K49" i="18"/>
  <c r="J50" i="18"/>
  <c r="K50" i="18"/>
  <c r="J51" i="18"/>
  <c r="K51" i="18"/>
  <c r="J52" i="18"/>
  <c r="K52" i="18"/>
  <c r="J53" i="18"/>
  <c r="K53" i="18"/>
  <c r="J54" i="18"/>
  <c r="K54" i="18"/>
  <c r="J55" i="18"/>
  <c r="K55" i="18"/>
  <c r="J56" i="18"/>
  <c r="K56" i="18"/>
  <c r="J57" i="18"/>
  <c r="K57" i="18"/>
  <c r="J58" i="18"/>
  <c r="K58" i="18"/>
  <c r="J59" i="18"/>
  <c r="K59" i="18"/>
  <c r="J27" i="18"/>
  <c r="K27" i="18"/>
  <c r="C51" i="18"/>
  <c r="I51" i="18" s="1"/>
  <c r="C8" i="18"/>
  <c r="I8" i="18" s="1"/>
  <c r="L8" i="18" s="1"/>
  <c r="C27" i="18"/>
  <c r="I27" i="18" s="1"/>
  <c r="C17" i="18"/>
  <c r="I17" i="18" s="1"/>
  <c r="C29" i="18"/>
  <c r="I29" i="18" s="1"/>
  <c r="C41" i="18"/>
  <c r="I41" i="18" s="1"/>
  <c r="C60" i="18"/>
  <c r="I60" i="18" s="1"/>
  <c r="L60" i="18" s="1"/>
  <c r="C20" i="18"/>
  <c r="I20" i="18" s="1"/>
  <c r="C43" i="18"/>
  <c r="I43" i="18" s="1"/>
  <c r="C52" i="18"/>
  <c r="I52" i="18" s="1"/>
  <c r="C28" i="18"/>
  <c r="I28" i="18" s="1"/>
  <c r="L28" i="18" s="1"/>
  <c r="C19" i="18"/>
  <c r="I19" i="18" s="1"/>
  <c r="C42" i="18"/>
  <c r="I42" i="18" s="1"/>
  <c r="C53" i="18"/>
  <c r="I53" i="18" s="1"/>
  <c r="C31" i="18"/>
  <c r="I31" i="18" s="1"/>
  <c r="C32" i="18"/>
  <c r="I32" i="18" s="1"/>
  <c r="C16" i="18"/>
  <c r="I16" i="18" s="1"/>
  <c r="L16" i="18" s="1"/>
  <c r="C39" i="18"/>
  <c r="I39" i="18" s="1"/>
  <c r="L39" i="18" s="1"/>
  <c r="C45" i="18"/>
  <c r="I45" i="18" s="1"/>
  <c r="C56" i="18"/>
  <c r="I56" i="18" s="1"/>
  <c r="C61" i="18"/>
  <c r="I61" i="18" s="1"/>
  <c r="L61" i="18" s="1"/>
  <c r="C9" i="18"/>
  <c r="I9" i="18" s="1"/>
  <c r="C23" i="18"/>
  <c r="I23" i="18" s="1"/>
  <c r="L23" i="18" s="1"/>
  <c r="C34" i="18"/>
  <c r="I34" i="18" s="1"/>
  <c r="C46" i="18"/>
  <c r="I46" i="18" s="1"/>
  <c r="C35" i="18"/>
  <c r="I35" i="18" s="1"/>
  <c r="C58" i="18"/>
  <c r="I58" i="18" s="1"/>
  <c r="C57" i="18"/>
  <c r="I57" i="18" s="1"/>
  <c r="C24" i="18"/>
  <c r="I24" i="18" s="1"/>
  <c r="L24" i="18" s="1"/>
  <c r="C11" i="18"/>
  <c r="I11" i="18" s="1"/>
  <c r="C25" i="18"/>
  <c r="I25" i="18" s="1"/>
  <c r="L25" i="18" s="1"/>
  <c r="C36" i="18"/>
  <c r="I36" i="18" s="1"/>
  <c r="C48" i="18"/>
  <c r="I48" i="18" s="1"/>
  <c r="C59" i="18"/>
  <c r="I59" i="18" s="1"/>
  <c r="C18" i="18"/>
  <c r="I18" i="18" s="1"/>
  <c r="L18" i="18" s="1"/>
  <c r="C12" i="18"/>
  <c r="I12" i="18" s="1"/>
  <c r="C26" i="18"/>
  <c r="I26" i="18" s="1"/>
  <c r="L26" i="18" s="1"/>
  <c r="C37" i="18"/>
  <c r="I37" i="18" s="1"/>
  <c r="C49" i="18"/>
  <c r="I49" i="18" s="1"/>
  <c r="C54" i="18"/>
  <c r="I54" i="18" s="1"/>
  <c r="C15" i="18"/>
  <c r="I15" i="18" s="1"/>
  <c r="L15" i="18" s="1"/>
  <c r="C21" i="18"/>
  <c r="I21" i="18" s="1"/>
  <c r="C44" i="18"/>
  <c r="I44" i="18" s="1"/>
  <c r="C55" i="18"/>
  <c r="I55" i="18" s="1"/>
  <c r="C33" i="18"/>
  <c r="I33" i="18" s="1"/>
  <c r="C10" i="18"/>
  <c r="I10" i="18" s="1"/>
  <c r="C47" i="18"/>
  <c r="I47" i="18" s="1"/>
  <c r="R18" i="18"/>
  <c r="E192" i="33" s="1"/>
  <c r="G192" i="33" s="1"/>
  <c r="H192" i="33" s="1"/>
  <c r="C22" i="18"/>
  <c r="I22" i="18" s="1"/>
  <c r="L22" i="18" s="1"/>
  <c r="C13" i="18"/>
  <c r="I13" i="18" s="1"/>
  <c r="C38" i="18"/>
  <c r="I38" i="18" s="1"/>
  <c r="C50" i="18"/>
  <c r="I50" i="18" s="1"/>
  <c r="C30" i="18"/>
  <c r="I30" i="18" s="1"/>
  <c r="C14" i="18"/>
  <c r="I14" i="18" s="1"/>
  <c r="C40" i="18"/>
  <c r="I40" i="18" s="1"/>
  <c r="R19" i="18"/>
  <c r="G21" i="18"/>
  <c r="K21" i="18" s="1"/>
  <c r="J21" i="18"/>
  <c r="R20" i="18"/>
  <c r="E195" i="33" s="1"/>
  <c r="G195" i="33" s="1"/>
  <c r="H195" i="33" s="1"/>
  <c r="J28" i="18"/>
  <c r="K29" i="18"/>
  <c r="J29" i="18"/>
  <c r="G31" i="18"/>
  <c r="K31" i="18" s="1"/>
  <c r="G32" i="18"/>
  <c r="K32" i="18" s="1"/>
  <c r="J32" i="18"/>
  <c r="J3" i="18"/>
  <c r="R9" i="18"/>
  <c r="R10" i="18"/>
  <c r="G34" i="13"/>
  <c r="G56" i="13"/>
  <c r="G57" i="13"/>
  <c r="R15" i="18"/>
  <c r="E189" i="33" s="1"/>
  <c r="G189" i="33" s="1"/>
  <c r="H189" i="33" s="1"/>
  <c r="G27" i="13"/>
  <c r="G20" i="13"/>
  <c r="G61" i="13"/>
  <c r="G45" i="13"/>
  <c r="G42" i="13"/>
  <c r="G23" i="13"/>
  <c r="G22" i="13"/>
  <c r="G49" i="13"/>
  <c r="G39" i="13"/>
  <c r="G18" i="13"/>
  <c r="G41" i="13"/>
  <c r="G21" i="13"/>
  <c r="G28" i="13"/>
  <c r="G17" i="13"/>
  <c r="G40" i="13"/>
  <c r="G19" i="13"/>
  <c r="G44" i="13"/>
  <c r="G26" i="13"/>
  <c r="G48" i="13"/>
  <c r="G43" i="13"/>
  <c r="G50" i="13"/>
  <c r="G24" i="13"/>
  <c r="G46" i="13"/>
  <c r="G25" i="13"/>
  <c r="G47" i="13"/>
  <c r="G59" i="13"/>
  <c r="R12" i="18"/>
  <c r="G37" i="13"/>
  <c r="R3" i="18"/>
  <c r="G9" i="13"/>
  <c r="G16" i="13"/>
  <c r="R13" i="18"/>
  <c r="E187" i="33" s="1"/>
  <c r="G187" i="33" s="1"/>
  <c r="H187" i="33" s="1"/>
  <c r="G33" i="13"/>
  <c r="G58" i="13"/>
  <c r="G10" i="13"/>
  <c r="G38" i="13"/>
  <c r="G36" i="13"/>
  <c r="G15" i="13"/>
  <c r="G8" i="13"/>
  <c r="G60" i="13"/>
  <c r="G30" i="13"/>
  <c r="G52" i="13"/>
  <c r="G11" i="13"/>
  <c r="G29" i="13"/>
  <c r="G55" i="13"/>
  <c r="R16" i="18"/>
  <c r="E190" i="33" s="1"/>
  <c r="G190" i="33" s="1"/>
  <c r="H190" i="33" s="1"/>
  <c r="G51" i="13"/>
  <c r="G12" i="13"/>
  <c r="R14" i="18"/>
  <c r="E188" i="33" s="1"/>
  <c r="G188" i="33" s="1"/>
  <c r="H188" i="33" s="1"/>
  <c r="R17" i="18"/>
  <c r="E191" i="33" s="1"/>
  <c r="G191" i="33" s="1"/>
  <c r="H191" i="33" s="1"/>
  <c r="G31" i="13"/>
  <c r="G13" i="13"/>
  <c r="G53" i="13"/>
  <c r="G35" i="13"/>
  <c r="R11" i="18"/>
  <c r="E185" i="33" s="1"/>
  <c r="G185" i="33" s="1"/>
  <c r="H185" i="33" s="1"/>
  <c r="H81" i="33" l="1"/>
  <c r="J81" i="33" s="1"/>
  <c r="H83" i="33"/>
  <c r="J83" i="33" s="1"/>
  <c r="H95" i="33"/>
  <c r="J95" i="33" s="1"/>
  <c r="H89" i="33"/>
  <c r="J89" i="33" s="1"/>
  <c r="H90" i="33"/>
  <c r="J90" i="33" s="1"/>
  <c r="H87" i="33"/>
  <c r="J87" i="33" s="1"/>
  <c r="H82" i="33"/>
  <c r="J82" i="33" s="1"/>
  <c r="H86" i="33"/>
  <c r="J86" i="33" s="1"/>
  <c r="H84" i="33"/>
  <c r="J84" i="33" s="1"/>
  <c r="H91" i="33"/>
  <c r="J91" i="33" s="1"/>
  <c r="H88" i="33"/>
  <c r="J88" i="33" s="1"/>
  <c r="H93" i="33"/>
  <c r="J93" i="33" s="1"/>
  <c r="H96" i="33"/>
  <c r="J96" i="33" s="1"/>
  <c r="H94" i="33"/>
  <c r="J94" i="33" s="1"/>
  <c r="H92" i="33"/>
  <c r="J92" i="33" s="1"/>
  <c r="L44" i="18"/>
  <c r="W12" i="18"/>
  <c r="E186" i="33"/>
  <c r="G186" i="33" s="1"/>
  <c r="H186" i="33" s="1"/>
  <c r="W10" i="18"/>
  <c r="E184" i="33"/>
  <c r="G184" i="33" s="1"/>
  <c r="H184" i="33" s="1"/>
  <c r="W9" i="18"/>
  <c r="E183" i="33"/>
  <c r="G183" i="33" s="1"/>
  <c r="H183" i="33" s="1"/>
  <c r="L10" i="18"/>
  <c r="W19" i="18"/>
  <c r="E194" i="33"/>
  <c r="G194" i="33" s="1"/>
  <c r="H194" i="33" s="1"/>
  <c r="L33" i="18"/>
  <c r="W3" i="18"/>
  <c r="E182" i="33"/>
  <c r="L30" i="18"/>
  <c r="L11" i="18"/>
  <c r="L12" i="18"/>
  <c r="L17" i="18"/>
  <c r="L14" i="18"/>
  <c r="L59" i="18"/>
  <c r="L19" i="18"/>
  <c r="L9" i="18"/>
  <c r="L20" i="18"/>
  <c r="L13" i="18"/>
  <c r="L48" i="18"/>
  <c r="L27" i="18"/>
  <c r="E70" i="18" s="1"/>
  <c r="D70" i="18" s="1"/>
  <c r="L46" i="18"/>
  <c r="L35" i="18"/>
  <c r="L34" i="18"/>
  <c r="L42" i="18"/>
  <c r="L55" i="18"/>
  <c r="L56" i="18"/>
  <c r="L58" i="18"/>
  <c r="L47" i="18"/>
  <c r="L53" i="18"/>
  <c r="L40" i="18"/>
  <c r="L52" i="18"/>
  <c r="L50" i="18"/>
  <c r="L45" i="18"/>
  <c r="L54" i="18"/>
  <c r="L38" i="18"/>
  <c r="L49" i="18"/>
  <c r="L57" i="18"/>
  <c r="L41" i="18"/>
  <c r="L51" i="18"/>
  <c r="L43" i="18"/>
  <c r="L36" i="18"/>
  <c r="L37" i="18"/>
  <c r="W18" i="18"/>
  <c r="L32" i="18"/>
  <c r="L21" i="18"/>
  <c r="L31" i="18"/>
  <c r="L29" i="18"/>
  <c r="W20" i="18"/>
  <c r="W15" i="18"/>
  <c r="W11" i="18"/>
  <c r="W13" i="18"/>
  <c r="W17" i="18"/>
  <c r="W16" i="18"/>
  <c r="R21" i="18"/>
  <c r="E200" i="33" l="1"/>
  <c r="G182" i="33"/>
  <c r="AB4" i="21"/>
  <c r="AB5" i="21"/>
  <c r="AB6" i="21"/>
  <c r="H6" i="21"/>
  <c r="H7" i="21"/>
  <c r="H8" i="21"/>
  <c r="H9" i="21"/>
  <c r="H10" i="21"/>
  <c r="H11" i="21"/>
  <c r="H12" i="21"/>
  <c r="H13" i="21"/>
  <c r="H14" i="21"/>
  <c r="H15" i="21"/>
  <c r="H16" i="21"/>
  <c r="H17" i="21"/>
  <c r="H18" i="21"/>
  <c r="H19" i="21"/>
  <c r="G200" i="33" l="1"/>
  <c r="H200" i="33" s="1"/>
  <c r="H182" i="33"/>
  <c r="W14" i="18"/>
  <c r="W21" i="18" s="1"/>
  <c r="C4" i="18" l="1"/>
  <c r="I4" i="18" s="1"/>
  <c r="L4" i="18" s="1"/>
  <c r="I3" i="18"/>
  <c r="L3" i="18" s="1"/>
  <c r="L62" i="13" l="1"/>
  <c r="C5" i="18"/>
  <c r="I5" i="18" s="1"/>
  <c r="L5" i="18" s="1"/>
  <c r="L62" i="18" s="1"/>
  <c r="C62" i="18"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<sst xmlns="http://schemas.openxmlformats.org/spreadsheetml/2006/main" count="2384" uniqueCount="867">
  <si>
    <t>Data Sources</t>
  </si>
  <si>
    <t>Dataset</t>
  </si>
  <si>
    <t>Dodge 2023</t>
  </si>
  <si>
    <r>
      <rPr>
        <sz val="10"/>
        <color rgb="FF000000"/>
        <rFont val="Arial"/>
        <family val="2"/>
      </rPr>
      <t xml:space="preserve">Commercial End-Use Survey </t>
    </r>
    <r>
      <rPr>
        <sz val="10"/>
        <color theme="1"/>
        <rFont val="Arial"/>
        <family val="2"/>
      </rPr>
      <t>(CEUS) 2022</t>
    </r>
  </si>
  <si>
    <t>https://www.energy.ca.gov/publications/2023/2022-california-commercial-end-use-survey-ceus-final-report</t>
  </si>
  <si>
    <t xml:space="preserve"> </t>
  </si>
  <si>
    <r>
      <rPr>
        <sz val="10"/>
        <color rgb="FF000000"/>
        <rFont val="Arial"/>
        <family val="2"/>
      </rPr>
      <t>Commercial Buildings Energy Consumption Survey</t>
    </r>
    <r>
      <rPr>
        <sz val="10"/>
        <color theme="1"/>
        <rFont val="Arial"/>
        <family val="2"/>
      </rPr>
      <t xml:space="preserve"> (CBECS) 2018</t>
    </r>
  </si>
  <si>
    <t>https://www.eia.gov/consumption/commercial/data/2018/</t>
  </si>
  <si>
    <t>ComStock 2023</t>
  </si>
  <si>
    <t>https://comstock.nlr.gov/page/datasets</t>
  </si>
  <si>
    <t>Prototype</t>
  </si>
  <si>
    <r>
      <rPr>
        <sz val="10"/>
        <color rgb="FF000000"/>
        <rFont val="Arial"/>
        <family val="2"/>
      </rPr>
      <t>California Energy Commission</t>
    </r>
    <r>
      <rPr>
        <sz val="10"/>
        <color rgb="FF000000"/>
        <rFont val="Arial"/>
        <family val="2"/>
      </rPr>
      <t xml:space="preserve"> (CEC) Hospital prototype (CBECC 2022.3.1)</t>
    </r>
  </si>
  <si>
    <t>https://bees.noresco.com/software2022.html</t>
  </si>
  <si>
    <r>
      <rPr>
        <sz val="10"/>
        <color rgb="FF000000"/>
        <rFont val="Arial"/>
        <family val="2"/>
      </rPr>
      <t>Pacific Northwest National Laboratory</t>
    </r>
    <r>
      <rPr>
        <sz val="10"/>
        <color rgb="FF000000"/>
        <rFont val="Arial"/>
        <family val="2"/>
      </rPr>
      <t xml:space="preserve"> (PNNL) Hospital prototype (90.1-2022, 2019, 2013)</t>
    </r>
  </si>
  <si>
    <t>https://www.energycodes.gov/prototype-building-models#Commercial</t>
  </si>
  <si>
    <r>
      <rPr>
        <sz val="10"/>
        <color rgb="FF000000"/>
        <rFont val="Arial"/>
        <family val="2"/>
      </rPr>
      <t>Database for Energy Efficient Resources</t>
    </r>
    <r>
      <rPr>
        <sz val="10"/>
        <color rgb="FF000000"/>
        <rFont val="Arial"/>
        <family val="2"/>
      </rPr>
      <t xml:space="preserve"> (DEER) Hospital prototype (June 2023)</t>
    </r>
  </si>
  <si>
    <t>https://github.com/sound-data/DEER-Prototypes-EnergyPlus</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</si>
  <si>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</si>
  <si>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</si>
  <si>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</si>
  <si>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</si>
  <si>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</si>
  <si>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r>
      <rPr>
        <sz val="10"/>
        <color rgb="FF000000"/>
        <rFont val="Arial"/>
        <family val="2"/>
      </rPr>
      <t>American Society of Heating, Refrigerating and Air-Conditioning Engineers</t>
    </r>
    <r>
      <rPr>
        <sz val="10"/>
        <color theme="1"/>
        <rFont val="Arial"/>
        <family val="2"/>
      </rPr>
      <t xml:space="preserve"> (ASHRAE) 90.1 (2022)</t>
    </r>
  </si>
  <si>
    <t>https://www.ashrae.org/technical-resources/standards-and-guidelines/read-only-versions-of-ashrae-standards</t>
  </si>
  <si>
    <t>ASHRAE 62.1 (2022)</t>
  </si>
  <si>
    <t>https://codes.iccsafe.org/content/ASHRAE6212022P1</t>
  </si>
  <si>
    <r>
      <t>Code of Federal Regulations</t>
    </r>
    <r>
      <rPr>
        <sz val="10"/>
        <rFont val="Arial"/>
        <family val="2"/>
      </rPr>
      <t xml:space="preserve"> (CFR) Title 10 ( 2010)</t>
    </r>
  </si>
  <si>
    <t>https://www.govinfo.gov/content/pkg/FR-2009-03-23/pdf/FR-2009-03-23.pdf</t>
  </si>
  <si>
    <t>10 CFR Part 431 (2025)</t>
  </si>
  <si>
    <t xml:space="preserve"> https://www.ecfr.gov/current/title-10/chapter-II/subchapter-D/part-431/subpart
E/subject-group-ECFR0f6eefb37f6d425/section-431.87</t>
  </si>
  <si>
    <t>ASHRAE 170/OSHPD</t>
  </si>
  <si>
    <t>https://www.ashrae.org/technical-resources/bookstore/health-care-facilities-resources</t>
  </si>
  <si>
    <t>California Department of Health Care Access and Information (OSHPD)</t>
  </si>
  <si>
    <t>https://hcai.ca.gov/</t>
  </si>
  <si>
    <t>2022 California Mechanical Code (Title 24, Part 4)</t>
  </si>
  <si>
    <t>https://up.codes/viewer/california/ca-mechanical-code-2022</t>
  </si>
  <si>
    <t>Others</t>
  </si>
  <si>
    <r>
      <rPr>
        <sz val="10"/>
        <color rgb="FF000000"/>
        <rFont val="Arial"/>
        <family val="2"/>
      </rPr>
      <t>Alternative Calculation Method</t>
    </r>
    <r>
      <rPr>
        <sz val="10"/>
        <color theme="1"/>
        <rFont val="Arial"/>
        <family val="2"/>
      </rPr>
      <t xml:space="preserve"> (ACM) (2022)</t>
    </r>
  </si>
  <si>
    <t>https://www.energy.ca.gov/publications/2022/2022-nonresidential-and-multifamily-alternative-calculation-method-reference</t>
  </si>
  <si>
    <r>
      <rPr>
        <sz val="10"/>
        <color rgb="FF000000"/>
        <rFont val="Arial"/>
        <family val="2"/>
      </rPr>
      <t>Nonres ACM 2022,</t>
    </r>
    <r>
      <rPr>
        <sz val="10"/>
        <color theme="1"/>
        <rFont val="Arial"/>
        <family val="2"/>
      </rPr>
      <t xml:space="preserve"> Appendix 5.4A and Appendix 5.4B</t>
    </r>
  </si>
  <si>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</si>
  <si>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</si>
  <si>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</si>
  <si>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</si>
  <si>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</si>
  <si>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</si>
  <si>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</si>
  <si>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t>
  </si>
  <si>
    <t>2019 High Efficiency Fume Hoods in Laboratory Spaces CASE Report</t>
  </si>
  <si>
    <t>https://title24stakeholders.com/wp-content/uploads/2017/09/2019-T24-CASE-Report_Fume-Hoods_Final_September-2017.pdf?</t>
  </si>
  <si>
    <t>Targeting 100! Envisioning the High Performance Hospital: Implications for a New, Low Energy, High Performance Prototype</t>
  </si>
  <si>
    <t>https://idl.be.uw.edu/wp-content/uploads/sites/32/2017/08/Targeting100_FullReport_063010.pdf</t>
  </si>
  <si>
    <t xml:space="preserve">ASHRAE's Advanced Energy Design Guide for Large Hospitals-50% (AEDG)  </t>
  </si>
  <si>
    <t>https://www.ashrae.org/technical-resources/aedgs/50-percent-aedg-free-download</t>
  </si>
  <si>
    <t>American Hospital Association (AHA) Statistics  data for Hospital</t>
  </si>
  <si>
    <t>https://www.ahadata.com/aha-hospital-statistics</t>
  </si>
  <si>
    <t>Yousefi, F., Athalye, R., (2025), "Determining Vintage Bins for Prototype Development: An Analysis of California Commercial Buildings," ASHRAE Annual Conference</t>
  </si>
  <si>
    <t>https://www.thefreelibrary.com/Determining+Vintage+Bins+for+Prototype+Development%3a+An+Analysis+of...-a0879271125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</si>
  <si>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</si>
  <si>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</si>
  <si>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</si>
  <si>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</si>
  <si>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</si>
  <si>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</si>
  <si>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</si>
  <si>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 xml:space="preserve">Source:Dodge Construction Data, 2023 ( NEW hospital built after 1967) (STC refers to building types in Dodge terminology). </t>
  </si>
  <si>
    <t>Notes</t>
  </si>
  <si>
    <t>Hospital</t>
  </si>
  <si>
    <t>A hospital, as defined across CEC, PNNL, and CPUC prototypes, is a large, full-service inpatient healthcare facility that operates 24/7, providing acute medical care, surgical services, and diagnostic treatment. It includes patient rooms, operating suites, labs, and support areas, and is typically served by 100% outdoor air HVAC systems with strict ventilation and pressurization controls.</t>
  </si>
  <si>
    <t>EIA, 2018 CBECS</t>
  </si>
  <si>
    <t>On average, hospitals were 264,800 square feet per building, but outpatient health care buildings averaged 13,700 square feet.</t>
  </si>
  <si>
    <t>Source</t>
  </si>
  <si>
    <t>https://www.eia.gov/consumption/commercial/</t>
  </si>
  <si>
    <t>Characteristic</t>
  </si>
  <si>
    <t>Value</t>
  </si>
  <si>
    <t>Building Type</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</si>
  <si>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</si>
  <si>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</si>
  <si>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</si>
  <si>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</si>
  <si>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</si>
  <si>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</si>
  <si>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</si>
  <si>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</si>
  <si>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The analysis uses prototype geometry originally developed by PNNL. The CEC prototypes also adopt this geometry as a foundation.</t>
  </si>
  <si>
    <t>Total Floor Area (ft²)</t>
  </si>
  <si>
    <t>241,521 (230 ft x 175 ft for each floor)</t>
  </si>
  <si>
    <t>Assumption: same as CEC and PNNL</t>
  </si>
  <si>
    <t>Number of Beds</t>
  </si>
  <si>
    <t>Assumption: 2,400 ft² per bed ( typical in CA)</t>
  </si>
  <si>
    <t>Aspect Ratio</t>
  </si>
  <si>
    <t>Number of Floors</t>
  </si>
  <si>
    <t>6 (5 floors + basement)</t>
  </si>
  <si>
    <t>Roof type</t>
  </si>
  <si>
    <t>Flat roof</t>
  </si>
  <si>
    <t>Typical for hospitals</t>
  </si>
  <si>
    <t>WWR</t>
  </si>
  <si>
    <t>North: 23%, East: 24%, South: 28%, West: 48%. Average Total: 30%.</t>
  </si>
  <si>
    <t>Shading Geometry</t>
  </si>
  <si>
    <t>Fixed entrance/ER canopies (12 ft) + S/E/W window overhangs PF=0.5 (~60% of window area). North unshaded.</t>
  </si>
  <si>
    <t>Assumption</t>
  </si>
  <si>
    <t>Floor to floor height (feet)</t>
  </si>
  <si>
    <t>Basement floor:   8 ft 
Upper floors:   14 ft</t>
  </si>
  <si>
    <t>Assumption; typical floor height of hospital buildings.</t>
  </si>
  <si>
    <t>Floor to ceiling height (feet)</t>
  </si>
  <si>
    <t>No ceiling; plenum is not modeled</t>
  </si>
  <si>
    <t>Glazing sill height (feet)</t>
  </si>
  <si>
    <t>3 ft (4 ft high windows)</t>
  </si>
  <si>
    <t>Assumption; typical sill height for windows.</t>
  </si>
  <si>
    <t>Above grade wall area (ft²)</t>
  </si>
  <si>
    <t>Gross wall area  (ft²)</t>
  </si>
  <si>
    <t>Roof area  (ft²)</t>
  </si>
  <si>
    <t>Underground Gross Wall Area  (ft²)</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</si>
  <si>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</si>
  <si>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</si>
  <si>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</si>
  <si>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 / AHU Name</t>
  </si>
  <si>
    <t>Schedule Category</t>
  </si>
  <si>
    <t>Conditioned (Y/N)</t>
  </si>
  <si>
    <t>Area Fraction</t>
  </si>
  <si>
    <t>Area (ft²)</t>
  </si>
  <si>
    <t>Volume (ft³)</t>
  </si>
  <si>
    <t>Multipliers</t>
  </si>
  <si>
    <t>Total Area (ft²)</t>
  </si>
  <si>
    <t>Number of People</t>
  </si>
  <si>
    <t xml:space="preserve">People 
(Persons/1,000 ft²)
[T24, 2025,Table 120.1-A] </t>
  </si>
  <si>
    <t>MechElec_Basement</t>
  </si>
  <si>
    <t>Electrical, Mechanical, Telephone Rooms</t>
  </si>
  <si>
    <t>VAV Basement</t>
  </si>
  <si>
    <t>Ancillary</t>
  </si>
  <si>
    <t>Yes</t>
  </si>
  <si>
    <t>SoiledUtil_Basement</t>
  </si>
  <si>
    <t xml:space="preserve">Laundry Area </t>
  </si>
  <si>
    <t>Assembly</t>
  </si>
  <si>
    <t>Corridor_Basement</t>
  </si>
  <si>
    <t>Corridor Area</t>
  </si>
  <si>
    <t>(transient traffic only)</t>
  </si>
  <si>
    <t>IDF_Basement</t>
  </si>
  <si>
    <t>Computer Room (EPD 20)</t>
  </si>
  <si>
    <t>CRAC</t>
  </si>
  <si>
    <t>Data</t>
  </si>
  <si>
    <t>MedSupply_Basement</t>
  </si>
  <si>
    <t>Healthcare Facility and Hospitals (Medical Supply Room)</t>
  </si>
  <si>
    <t>Corridor_flr_1</t>
  </si>
  <si>
    <t>VAV Clinical</t>
  </si>
  <si>
    <t>Health</t>
  </si>
  <si>
    <t>Corridor_flr_2</t>
  </si>
  <si>
    <t>Corridor_flr_5</t>
  </si>
  <si>
    <t>Corridor_nw_flr_3</t>
  </si>
  <si>
    <t>Corridor_nw_flr_4</t>
  </si>
  <si>
    <t>Corridor_se_flr_3</t>
  </si>
  <si>
    <t>Corridor_se_flr_4</t>
  </si>
  <si>
    <t>Dining_flr_5</t>
  </si>
  <si>
    <t>Dining Area (Cafeteria/Fast Food)</t>
  </si>
  <si>
    <t>VAV Dining</t>
  </si>
  <si>
    <t>Restaurant</t>
  </si>
  <si>
    <t>Er_exam1_mult4_flr_1</t>
  </si>
  <si>
    <t>Healthcare Facility and Hospitals (Exam/Treatment Room)</t>
  </si>
  <si>
    <t>VAV ER</t>
  </si>
  <si>
    <t>Health24/7</t>
  </si>
  <si>
    <t>Table 120.1-A- 2025 T24-Misc-All Other</t>
  </si>
  <si>
    <t>Er_exam3_mult4_flr_1</t>
  </si>
  <si>
    <t>Er_nursestn_lobby_flr_1</t>
  </si>
  <si>
    <t>Healthcare Facility and Hospitals (Nurse's Station)</t>
  </si>
  <si>
    <t>1 nurse per bed</t>
  </si>
  <si>
    <t>Er_trauma1_flr_1</t>
  </si>
  <si>
    <t>Er_trauma2_flr_1</t>
  </si>
  <si>
    <t>Er_triage_mult4_flr_1</t>
  </si>
  <si>
    <t>Icu_flr_2</t>
  </si>
  <si>
    <t>Healthcare Facility and Hospitals (Recovery Room)</t>
  </si>
  <si>
    <t>VAV ICU</t>
  </si>
  <si>
    <t>Intensive Care Unit, for lighting we can go with the general lighting for the patient room but for other EPD and ventilation refer to the CA mechanical code</t>
  </si>
  <si>
    <t>Icu_nursestn_lobby_flr_2</t>
  </si>
  <si>
    <t>Ic_patroom1_mult5_flr_2</t>
  </si>
  <si>
    <t>Ic_patroom2_flr_2</t>
  </si>
  <si>
    <t>Ic_patroom3_mult6_flr_2</t>
  </si>
  <si>
    <t>Kitchen_flr_5</t>
  </si>
  <si>
    <t>Kitchen/Food Preparation Area</t>
  </si>
  <si>
    <t>CAV Kitchen</t>
  </si>
  <si>
    <t>Kitchen</t>
  </si>
  <si>
    <t>Lab_flr_3</t>
  </si>
  <si>
    <t>Laboratory, Scientific</t>
  </si>
  <si>
    <t>VAV Laboratory</t>
  </si>
  <si>
    <t>Change it back to 5 same as CEC and PNNL</t>
  </si>
  <si>
    <t>Lab_flr_4</t>
  </si>
  <si>
    <t>Lobby_records_flr_1</t>
  </si>
  <si>
    <t>Lobby, Main Entry</t>
  </si>
  <si>
    <t>VAV Admin</t>
  </si>
  <si>
    <t>For the hospital lobby,5 persons per 1,000 ft² was used considering the size of the lobby, consistent with  T24 assumption for reception areas. ASHRAE 62.1 (Table 6‑1) and T24, specify 10 and 33 persons per 1,000 ft² for main entry lobbies, respectively.</t>
  </si>
  <si>
    <t>Nursestn_lobby_flr_3</t>
  </si>
  <si>
    <t>Nursestn_lobby_flr_4</t>
  </si>
  <si>
    <t>Nursestn_lobby_flr_5</t>
  </si>
  <si>
    <t>Office1_flr_5</t>
  </si>
  <si>
    <t>Office Area (&gt;250 square feet)</t>
  </si>
  <si>
    <t>Office</t>
  </si>
  <si>
    <t>Office1_mult5_flr_1</t>
  </si>
  <si>
    <t>Office Area (&lt;250 square feet)</t>
  </si>
  <si>
    <t>Office2_mult5_flr_5</t>
  </si>
  <si>
    <t>Office3_flr_5</t>
  </si>
  <si>
    <t>Office4_mult6_flr_5</t>
  </si>
  <si>
    <t>Or1_flr_2</t>
  </si>
  <si>
    <t>Healthcare Facility and Hospitals (Operating Room)</t>
  </si>
  <si>
    <t>VAV OR</t>
  </si>
  <si>
    <t>HealthOR</t>
  </si>
  <si>
    <t>Or2_mult5_flr_2</t>
  </si>
  <si>
    <t>Or3_flr_2</t>
  </si>
  <si>
    <t>Or4_flr_2</t>
  </si>
  <si>
    <t>Or_nursestn_lobby_flr_2</t>
  </si>
  <si>
    <t>Patroom1_mult10_flr_3</t>
  </si>
  <si>
    <t>Healthcare Facility and Hospitals (Patient Room)</t>
  </si>
  <si>
    <t>VAV Patient Room</t>
  </si>
  <si>
    <t>Patient24/7</t>
  </si>
  <si>
    <t>Raised Zones peak people from ~1/bed to 2/bed (or ~10 people/1,000 ft²) to account for the visitors at the peak time.</t>
  </si>
  <si>
    <t>Patroom1_mult10_flr_4</t>
  </si>
  <si>
    <t>Patroom2_flr_3</t>
  </si>
  <si>
    <t>Patroom2_flr_4</t>
  </si>
  <si>
    <t>Patroom3_mult10_flr_3</t>
  </si>
  <si>
    <t>Patroom3_mult10_flr_4</t>
  </si>
  <si>
    <t>Patroom4_flr_3</t>
  </si>
  <si>
    <t>Patroom4_flr_4</t>
  </si>
  <si>
    <t>Patroom5_mult10_flr_3</t>
  </si>
  <si>
    <t>Patroom5_mult10_flr_4</t>
  </si>
  <si>
    <t>Patroom6_flr_3</t>
  </si>
  <si>
    <t>Patroom6_flr_4</t>
  </si>
  <si>
    <t>Patroom7_mult10_flr_3</t>
  </si>
  <si>
    <t>Patroom7_mult10_flr_4</t>
  </si>
  <si>
    <t>Patroom8_flr_3</t>
  </si>
  <si>
    <t>Patroom8_flr_4</t>
  </si>
  <si>
    <t>Phystherapy_flr_3</t>
  </si>
  <si>
    <t>Healthcare Facility and Hospitals (Physical Therapy Room)</t>
  </si>
  <si>
    <t>Radiology_flr_4</t>
  </si>
  <si>
    <t>Healthcare Facility and Hospitals (Imaging Room)</t>
  </si>
  <si>
    <t>VAV Imaging</t>
  </si>
  <si>
    <t>Total (1 Building)</t>
  </si>
  <si>
    <t>Total ( 162 spaces)</t>
  </si>
  <si>
    <t>Total (18 Space types)</t>
  </si>
  <si>
    <t>Total ( 11 Thermal Zones)</t>
  </si>
  <si>
    <t xml:space="preserve"> Total ( 162 Conditioned zones)</t>
  </si>
  <si>
    <t>Occupancy rate of the patient rooms:</t>
  </si>
  <si>
    <t>Source: A report published by California Health Care Foundation, 2022</t>
  </si>
  <si>
    <t>https://www.chcf.org/wp-content/uploads/2022/07/CAHospitalsAlmanac2022QRG.pdf?utm_source=chatgpt.com</t>
  </si>
  <si>
    <t>Background Data [To be deleted prior to publication]</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</si>
  <si>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</si>
  <si>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</si>
  <si>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</si>
  <si>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</si>
  <si>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</si>
  <si>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</si>
  <si>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</si>
  <si>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</si>
  <si>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</si>
  <si>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</si>
  <si>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</si>
  <si>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</si>
  <si>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</si>
  <si>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</si>
  <si>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</si>
  <si>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</si>
  <si>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</si>
  <si>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</si>
  <si>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</si>
  <si>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</si>
  <si>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</si>
  <si>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</si>
  <si>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</si>
  <si>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</si>
  <si>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r>
      <rPr>
        <sz val="10"/>
        <color rgb="FF000000"/>
        <rFont val="Arial"/>
        <family val="2"/>
      </rPr>
      <t xml:space="preserve">Metal framed wall:
</t>
    </r>
    <r>
      <rPr>
        <sz val="10"/>
        <color rgb="FF000000"/>
        <rFont val="Arial"/>
        <family val="2"/>
      </rPr>
      <t>Metal frame + insulation + gypsum board
(Same as CEC and DEER. PNNL has Mass wall))</t>
    </r>
  </si>
  <si>
    <t>U-factor IP</t>
  </si>
  <si>
    <t>Pre 1978</t>
  </si>
  <si>
    <t>N/A</t>
  </si>
  <si>
    <t>Using DOE pre-1980 U-values and a 11.7% cumulative wall renovation rate through 2028, based on the average annual rate from CBECS 2003 and 2012 projected over 48 years.</t>
  </si>
  <si>
    <t>1978-1997</t>
  </si>
  <si>
    <r>
      <rPr>
        <sz val="10"/>
        <color rgb="FF000000"/>
        <rFont val="Arial"/>
        <family val="2"/>
      </rPr>
      <t xml:space="preserve">Copied from High-rise office alternative requirements (Table 2-53W): Package A with heat capacity between </t>
    </r>
    <r>
      <rPr>
        <sz val="10"/>
        <color rgb="FF000000"/>
        <rFont val="Arial"/>
        <family val="2"/>
      </rPr>
      <t>0-3.99</t>
    </r>
    <r>
      <rPr>
        <sz val="10"/>
        <color rgb="FF000000"/>
        <rFont val="Arial"/>
        <family val="2"/>
      </rPr>
      <t xml:space="preserve"> (Btu/F-ft²)
*T24, 1986, Table 2-53BB presents U-factors less than the next vintage (for wall density of 26-40 lb/ft² &amp; Degree day&lt;3500)!</t>
    </r>
  </si>
  <si>
    <t>These values have better performance than the next vintage</t>
  </si>
  <si>
    <t>1998-2007</t>
  </si>
  <si>
    <t>Table 1-H</t>
  </si>
  <si>
    <t>2008-2018</t>
  </si>
  <si>
    <t>Table 140.3-B</t>
  </si>
  <si>
    <t>Existing</t>
  </si>
  <si>
    <t>Weighted average of all 4 vintages</t>
  </si>
  <si>
    <t>2019+</t>
  </si>
  <si>
    <t>Roof</t>
  </si>
  <si>
    <t xml:space="preserve">Hospital
</t>
  </si>
  <si>
    <t>FlatRoof_WoodFramedAndOther_NonRes</t>
  </si>
  <si>
    <r>
      <rPr>
        <sz val="10"/>
        <color rgb="FF000000"/>
        <rFont val="Arial"/>
        <family val="2"/>
      </rPr>
      <t xml:space="preserve">Metal deck roof:
</t>
    </r>
    <r>
      <rPr>
        <sz val="10"/>
        <color rgb="FF000000"/>
        <rFont val="Arial"/>
        <family val="2"/>
      </rPr>
      <t xml:space="preserve"> Roof membrane + roof insulation + metal decking
(Same as PNNL and DEER-Metal roof- CEC has wood-framed roof)</t>
    </r>
  </si>
  <si>
    <t>Considering 30 years for roof/ insulation replacement.</t>
  </si>
  <si>
    <t>Windows</t>
  </si>
  <si>
    <t>FixedWindow_NonRes</t>
  </si>
  <si>
    <t xml:space="preserve">Single pane </t>
  </si>
  <si>
    <t>ASHRAE Handbook of Fundamentals (Table 4-Ch15) for single pane &amp; T24, 2013  for double pane(33%-67%)*</t>
  </si>
  <si>
    <t>Double pane</t>
  </si>
  <si>
    <t>SHGC</t>
  </si>
  <si>
    <t>ASHRAE Handbook of Fundamentals (Table 10-Ch15) for single pane &amp; T24, 2013  for double pane(33%-67%)*</t>
  </si>
  <si>
    <r>
      <rPr>
        <sz val="10"/>
        <color rgb="FF000000"/>
        <rFont val="Arial"/>
        <family val="2"/>
      </rPr>
      <t xml:space="preserve">Table 1-H </t>
    </r>
    <r>
      <rPr>
        <sz val="10"/>
        <color rgb="FF000000"/>
        <rFont val="Arial"/>
        <family val="2"/>
      </rPr>
      <t>(Non North, WWR:11-20% )</t>
    </r>
  </si>
  <si>
    <t xml:space="preserve">Infiltration </t>
  </si>
  <si>
    <t>Zones</t>
  </si>
  <si>
    <t>I_75
6-sdied Infiltration rate 
@ 75 pa</t>
  </si>
  <si>
    <t>Note</t>
  </si>
  <si>
    <t xml:space="preserve"> I-design (cfm/ft²) 
(4-sided Infiltration rate at normal pressure) 
(Design flow rate approach and Flow/Exterior Wall Area calculation method) </t>
  </si>
  <si>
    <t>Infiltration</t>
  </si>
  <si>
    <t>2022 CASE report (Table 38)</t>
  </si>
  <si>
    <t>2022 CASE report (Table 38) &amp;
T24, 2008-2016 (Table 140.3-B)--Air barrier is required in CZ 10-16</t>
  </si>
  <si>
    <t>Same as Pre 2008 because of their higher weights</t>
  </si>
  <si>
    <t>2022 CASE report (Table 38) &amp; 
T24, 2025 (Table 140.3-B)-Air barrier is required in all CZs</t>
  </si>
  <si>
    <t>Source:  Title 24 air barrier requirements (all editions) and the standardized infiltration rate reported in the 2022 CASE report and Dodge 2023 data</t>
  </si>
  <si>
    <t xml:space="preserve">Air Leakage Memo: </t>
  </si>
  <si>
    <t>Infiltration_rate_report_14May2025-Short-Version.docx</t>
  </si>
  <si>
    <t>Pre-1978 exterior wall U value calculation</t>
  </si>
  <si>
    <r>
      <rPr>
        <sz val="10"/>
        <color rgb="FF000000"/>
        <rFont val="Arial"/>
        <family val="2"/>
      </rPr>
      <t xml:space="preserve">Metal framed wall:
</t>
    </r>
    <r>
      <rPr>
        <sz val="10"/>
        <color rgb="FF000000"/>
        <rFont val="Arial"/>
        <family val="2"/>
      </rPr>
      <t>Metal frame + insulation + gypsum board
(Same as CEC and DEER. PNNL has Mass wall))</t>
    </r>
  </si>
  <si>
    <t>ASHRAE 90.1, 2022 Table A3.4.3.1, 3.5", R-0</t>
  </si>
  <si>
    <t>T24 (2008 U value)</t>
  </si>
  <si>
    <t>DOE pre 1980 prototype LA (U value)</t>
  </si>
  <si>
    <t>Renovation rate since 1980  (yearly renovation rate was calculated from CBECS 2003 and 2012 and then projected over 48 years)</t>
  </si>
  <si>
    <t xml:space="preserve">Heating </t>
  </si>
  <si>
    <t>Cooling</t>
  </si>
  <si>
    <t>Air Distribution</t>
  </si>
  <si>
    <t>Other Systems</t>
  </si>
  <si>
    <t xml:space="preserve">Existing </t>
  </si>
  <si>
    <t>Gas Boiler</t>
  </si>
  <si>
    <t>Chiller</t>
  </si>
  <si>
    <t xml:space="preserve">CAV </t>
  </si>
  <si>
    <t xml:space="preserve">CAV exhaust system with rooftop makeup air units, no energy recovery and no Demand Control </t>
  </si>
  <si>
    <t>CEUS 2022(Other system based on T24 and Engineering judgement)</t>
  </si>
  <si>
    <t>All other conditioned zones</t>
  </si>
  <si>
    <t>CAV + Hydronic Reheat</t>
  </si>
  <si>
    <t>New Construction</t>
  </si>
  <si>
    <t>VAV</t>
  </si>
  <si>
    <t>A VAV dedicated MAU with tempered outside air, with exhaust hood and demand control ventilation and  Heat Recovery</t>
  </si>
  <si>
    <t xml:space="preserve">T24 2025 ACM 2025, Table 2 and 3 </t>
  </si>
  <si>
    <t>System 13 a - Built-up kitchen MAU</t>
  </si>
  <si>
    <t>All other conditioned zones (ER, ICU, Labs, OR, Patient Rms)</t>
  </si>
  <si>
    <t>VAV + Hydronic Reheat</t>
  </si>
  <si>
    <t>With Heat Recovery</t>
  </si>
  <si>
    <t xml:space="preserve">System 6 – VAV </t>
  </si>
  <si>
    <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</si>
  <si>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</si>
  <si>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Water Cooled Chiller</t>
  </si>
  <si>
    <t>Heat Rejection (Cooling Tower)</t>
  </si>
  <si>
    <t xml:space="preserve">Sources </t>
  </si>
  <si>
    <t xml:space="preserve">Water Cooled, 
Electrically Operated, 
Centrifugal--≥ 300 tons and &lt; 600 tons - 5.55 COP
5.90 IPLV </t>
  </si>
  <si>
    <t>80% Ec</t>
  </si>
  <si>
    <t xml:space="preserve"> Axial fan 
Open-circuit cooling 
tower--95°F entering water 
85°F leaving water 
75°F entering air wb--≥ 38.2 gpm/hp </t>
  </si>
  <si>
    <t>T24, 2008, Table 112-D (for chiller COP) , Title 24-2008 §111 / Title 20 Table E-3 (and 10 CFR 431.87 as in effect through March 1, 2012) for Boiler Efficiency. 
Table 112-G (Performance Requirements for Heat Rejection Equipment)</t>
  </si>
  <si>
    <t>Water Cooled, 
Electrically Operated, 
Centrifugal--≥ 300 tons and &lt; 600 tons --≤ 0.576 kW/ton 
≤ 0.549 IPLV (Path A)</t>
  </si>
  <si>
    <t>Gas-Fired Boiler &gt; 300,000 Btu/h and 
≤2,500,000 Btu/h-- 80% Et 
Gas-Fired Boiler &gt; 2,500,000 Btu/h -- 82% Ec</t>
  </si>
  <si>
    <t xml:space="preserve"> Axial fan 
Open-circuit cooling 
tower--95°F entering water 
85°F leaving water 
75°F entering air wb--≥ 42.1 gpm/hp </t>
  </si>
  <si>
    <t xml:space="preserve">
T24, 2013 , Table 110.2-D (for chiller COP) - Table 110.2-K (for Boiler thermal efficiency). 
Table 110.2-G (Performance Requirements for Heat Rejection Equipment)</t>
  </si>
  <si>
    <t>Water Cooled, 
Electrically Operated, 
Centrifugal--≥ 300 tons and 
&lt; 400 tons--≤ 0.560 kW/ton 
≤ 0.520 IPLV (Path A)</t>
  </si>
  <si>
    <t xml:space="preserve">
T24, 2025 , Table 110.2-D (for chiller COP) - 10 CFR 431.86 , section § 431.87 Table 1 (for Boiler thermal efficiency).
Table 110.2-E  (Performance Requirements for Heat Rejection Equipment)</t>
  </si>
  <si>
    <t>* Ec = combustion efficiency</t>
  </si>
  <si>
    <t>Fan power</t>
  </si>
  <si>
    <t>Approach</t>
  </si>
  <si>
    <t>System</t>
  </si>
  <si>
    <t>Total Static Pressure (TSP)
in w.c.</t>
  </si>
  <si>
    <t>Fan Efficiency
[ACM, 2025]</t>
  </si>
  <si>
    <t xml:space="preserve">Motor Efficiency </t>
  </si>
  <si>
    <t xml:space="preserve"> Fan Power Index 
(W/cfm)</t>
  </si>
  <si>
    <t>Data Source</t>
  </si>
  <si>
    <t>PNNL 90.1-2011, TSP</t>
  </si>
  <si>
    <t>Kitchen System CAVMAU</t>
  </si>
  <si>
    <t xml:space="preserve">ASHRAE 90.1, 2004, Table 10.8 * </t>
  </si>
  <si>
    <t>Fan power formula: PNNL 20405, 2010, section 5.2.2.5
TSP and fan efficiency: PNNL 20405, 2010, Table 5.11, 90.1-04ac values
Motor efficiency: ASHRAE 90.1, 2004, Table 10.8</t>
  </si>
  <si>
    <t>All other zones, CAV + hydronic reheat</t>
  </si>
  <si>
    <t>2.5 below 7,437 cfm; 4.09 at or above 7,437 cfm</t>
  </si>
  <si>
    <t>Brake horsepower (bhp) = (Supply cfm × TSP in w.c.) / (6356 × fan efficiency)</t>
  </si>
  <si>
    <t>Fan power (w/cfm) = (bhp ×  746) / ( supply cfm × motor efficiency )</t>
  </si>
  <si>
    <t>ACM 2025</t>
  </si>
  <si>
    <t>Kitchen System 13a, &gt;5,000 and &lt;=10,000 cfm</t>
  </si>
  <si>
    <t xml:space="preserve">TSP = fan power × motor efficiency  × fan efficiency × 6356  / 746 </t>
  </si>
  <si>
    <t>2025 ACM Table 12 **</t>
  </si>
  <si>
    <t>All other zones, System 6 VAV, &gt;10,000 cfm</t>
  </si>
  <si>
    <t>TSP = fan power × motor efficiency  × fan efficiency × 6356  / 746</t>
  </si>
  <si>
    <t>All other zones, System 6 VAV, &gt;5,000 and &lt;=10,000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</si>
  <si>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</si>
  <si>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motor nameplate horsepower.
     Brake horsepower  (bhp) = (Supply cfm from sizing run × fan power in W/cfm) / 746.</t>
  </si>
  <si>
    <t>Gas</t>
  </si>
  <si>
    <t>Space Type</t>
  </si>
  <si>
    <t>Floor Area (ft²)</t>
  </si>
  <si>
    <t>cfm/person 
[T24, 2025, Equation 120.1-F and Table 120.1-A]</t>
  </si>
  <si>
    <t>cfm/ft² 
[T24, 2025, Equation 120.1-F and Table 120.1-A]</t>
  </si>
  <si>
    <t>Required exhaust rate (cfm/ft)
 [T24, 2025, Table 120.1-B – minimum exhaust rates]</t>
  </si>
  <si>
    <t>Min OA Ventilation Requirement (cfm/ft) 
[Table 4-A, 2022 California Mechanical Code]</t>
  </si>
  <si>
    <t>Total cfm driven by people</t>
  </si>
  <si>
    <t>Total cfm driven by area</t>
  </si>
  <si>
    <t>Total cfm driven by exhaust</t>
  </si>
  <si>
    <t>Total cfm</t>
  </si>
  <si>
    <t>ACH</t>
  </si>
  <si>
    <t>Min. occupancy load (persons/1000 ft²)</t>
  </si>
  <si>
    <t xml:space="preserve">Total Number of Occupants </t>
  </si>
  <si>
    <t>cfm/ft² (Table 120.1-A – Minimum Ventilation Rates)</t>
  </si>
  <si>
    <t>Required Exhaust Rate-cfm/ft² (Table 120.1-B – Minimum Exhaust Rates)</t>
  </si>
  <si>
    <t>Min OA Ventilation Requirement-ACH-(Table 4-A, 2022 California Mechanical Code)</t>
  </si>
  <si>
    <t>Min OA Ventilation Requirement-cfm/ft²-(Table 4-A, 2022 California Mechanical Code)</t>
  </si>
  <si>
    <t>cfm</t>
  </si>
  <si>
    <t>*Negative pressure</t>
  </si>
  <si>
    <t>*Positive, No recirculation</t>
  </si>
  <si>
    <t>According to CEC model, exhaust required</t>
  </si>
  <si>
    <t>Total</t>
  </si>
  <si>
    <t>Exhaust required according to Code</t>
  </si>
  <si>
    <t>Exhaust required according to Code
Per ASHRAE 62.1: Table 6.5-General Lab Exhaust</t>
  </si>
  <si>
    <t>According to CEC Model</t>
  </si>
  <si>
    <t>**The CPUC Hospital prototype does not include any exhaust fans modeled in any of the spaces.</t>
  </si>
  <si>
    <t>Exhaust Hood</t>
  </si>
  <si>
    <t xml:space="preserve">Type of hood </t>
  </si>
  <si>
    <t>Space</t>
  </si>
  <si>
    <t>Max Exhaust Flow Rate (cfm/ft)
[T24, 2025, Table 140.9-C]</t>
  </si>
  <si>
    <t>Hood length (ft)</t>
  </si>
  <si>
    <t>Hood Exhaust Rate (cfm)</t>
  </si>
  <si>
    <t xml:space="preserve">Type I , wall-mounted canopy hoods </t>
  </si>
  <si>
    <t xml:space="preserve"> T 24 2025, Table 140.9-C</t>
  </si>
  <si>
    <t>Fume Hood</t>
  </si>
  <si>
    <t>~1 fume hood per 2,500–3,000 ft² for hospital/clinical-type labs</t>
  </si>
  <si>
    <t xml:space="preserve">*Efficiency of exhaust fan is 50% (according to ACM, 2025, section 5.7.3)		</t>
  </si>
  <si>
    <t>Setpoint</t>
  </si>
  <si>
    <t>Health Heating Setpoint (F)</t>
  </si>
  <si>
    <t>T24 2022 - Appendix 5.4B</t>
  </si>
  <si>
    <t xml:space="preserve">CEC and PNNL Healthcare-Hospital prototypes use the same setpoints without setbacks; however, the DEER model applies a 10° F setback from midnight to 5:00 AM.																</t>
  </si>
  <si>
    <t>Health Heating Setback (F)</t>
  </si>
  <si>
    <t>Health Cooling Setpoint (F)</t>
  </si>
  <si>
    <t>Health Cooling Setback (F)</t>
  </si>
  <si>
    <t>Kitchen Heating Setpoint (F)</t>
  </si>
  <si>
    <t>PNNL 09.1, 2022 Restaurant prototype</t>
  </si>
  <si>
    <t>Kitchen Heating Setback (F)</t>
  </si>
  <si>
    <t>Kitchen Cooling Setpoint (F)</t>
  </si>
  <si>
    <t>Kitchen Cooling Setback (F)</t>
  </si>
  <si>
    <t>UnOccupied Heating Setpoint (F)</t>
  </si>
  <si>
    <t>UnOccupied Heating Setback (F)</t>
  </si>
  <si>
    <t>UnOccupied Cooling Setpoint (F)</t>
  </si>
  <si>
    <t>UnOccupied Cooling Setback (F)</t>
  </si>
  <si>
    <t>Mechanical Heating Setpoint (F)</t>
  </si>
  <si>
    <t>Mechanical  Heating Setback (F)</t>
  </si>
  <si>
    <t>Mechanical Cooling Setpoint (F)</t>
  </si>
  <si>
    <t>Mechanical Cooling Setback (F)</t>
  </si>
  <si>
    <t>Assembly Heating Setpoint (F)</t>
  </si>
  <si>
    <t xml:space="preserve">T24 2022 - Appendix 5.4B -  “Assembly” tab </t>
  </si>
  <si>
    <t>Assembly Heating Setback (F)</t>
  </si>
  <si>
    <t>Assembly Cooling Setpoint (F)</t>
  </si>
  <si>
    <t>Assembly Cooling Setback (F)</t>
  </si>
  <si>
    <t>Computer Room Cooling Setpoint (F)*</t>
  </si>
  <si>
    <t xml:space="preserve">Title 24, Part 6, 2025, section 140.9 (a)  and  PNNL ASHRAE 90.1 2022 Large Office prototype  </t>
  </si>
  <si>
    <r>
      <rPr>
        <sz val="10"/>
        <color rgb="FF000000"/>
        <rFont val="Arial"/>
        <family val="2"/>
      </rPr>
      <t>*The computer room with over 12 W/ft</t>
    </r>
    <r>
      <rPr>
        <vertAlign val="superscript"/>
        <sz val="9"/>
        <color rgb="FF000000"/>
        <rFont val="Arial"/>
        <family val="2"/>
      </rPr>
      <t>2</t>
    </r>
    <r>
      <rPr>
        <sz val="10"/>
        <color rgb="FF000000"/>
        <rFont val="Arial"/>
        <family val="2"/>
      </rPr>
      <t xml:space="preserve"> load doesn't require heating system as the equipment constantly generate enough heat. </t>
    </r>
  </si>
  <si>
    <t>Heating</t>
  </si>
  <si>
    <t>Weekday</t>
  </si>
  <si>
    <t>Saturday</t>
  </si>
  <si>
    <t>Sunday</t>
  </si>
  <si>
    <t xml:space="preserve">Weekday </t>
  </si>
  <si>
    <t>DEER</t>
  </si>
  <si>
    <t>0:00 to 5:00</t>
  </si>
  <si>
    <t>0:00 to 24:00</t>
  </si>
  <si>
    <t>5:00 to 24:00</t>
  </si>
  <si>
    <t>5:00 to 19:00</t>
  </si>
  <si>
    <t>T24, Appendix JA5-4 : Occupant Controlled Smart Thermostat (OCST)</t>
  </si>
  <si>
    <t>Heat</t>
  </si>
  <si>
    <t>Cool</t>
  </si>
  <si>
    <t>RH min</t>
  </si>
  <si>
    <t>RH max</t>
  </si>
  <si>
    <t>General clinical / patient rooms</t>
  </si>
  <si>
    <t>—</t>
  </si>
  <si>
    <t>Current assumption</t>
  </si>
  <si>
    <t>Operating rooms</t>
  </si>
  <si>
    <t>ASHRAE 170 design band is 68–75°F / 20–60% RH. Use 68°F occupied. AEDG 50% is also 68F</t>
  </si>
  <si>
    <t>Imaging / radiology</t>
  </si>
  <si>
    <t>170-typical; no dedicated RH loop in the model</t>
  </si>
  <si>
    <t>ICU / ER (critical)</t>
  </si>
  <si>
    <t>Matches NC humidistats</t>
  </si>
  <si>
    <t>Labs</t>
  </si>
  <si>
    <t>Humidifier object exists in the dif file</t>
  </si>
  <si>
    <t>Burn / wound ICU</t>
  </si>
  <si>
    <t>n/a</t>
  </si>
  <si>
    <t>Not in this prototype (~100 beds, no burn unit)</t>
  </si>
  <si>
    <t>WH Type</t>
  </si>
  <si>
    <t>Efficiency</t>
  </si>
  <si>
    <t>Number of WH</t>
  </si>
  <si>
    <t>Tank Volume (gal)</t>
  </si>
  <si>
    <t>Tank Loss</t>
  </si>
  <si>
    <t xml:space="preserve">Existing  </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</si>
  <si>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</si>
  <si>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</si>
  <si>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</si>
  <si>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*Domestic hot water is modeled as a separate gas storage water heater for both existing and new-construction vintages. This matches the CEC/PNNL/DEER hospital prototype convention and the scorecard HVAC plant, which uses gas hot-water boilers for space heating/reheat rather than a year-round central steam plant for sterilization. In real hospitals with steam plants, DHW is often generated indirectly through steam-to-water or boiler-water heat exchangers; that configuration is not represented here and is noted as a prototype simplification.</t>
  </si>
  <si>
    <t>Peak Hot Water Consumption</t>
  </si>
  <si>
    <t>Space Name</t>
  </si>
  <si>
    <t>Baseline WH Type 
[CEUS 2022]</t>
  </si>
  <si>
    <t>Hot Water Usage Specification
(gal/hr per person)  
[T24, 2022, Appendix 5.4A , sheet: "2022 SpaceFuncData-Input"]</t>
  </si>
  <si>
    <t>Peak Hot Water Usage
(gal/hr)</t>
  </si>
  <si>
    <t>Peak Hot Water Usage
(gal/min)</t>
  </si>
  <si>
    <t>For space types marked with an asterisk (the ‘*’ symbol), the water‑heater type is listed as electric in Appendix 5.4A, sheet ‘2022 SpaceFuncData‑Input.’ However, we modified the value based on CEUS data, which indicates that gas is the primary fuel type.</t>
  </si>
  <si>
    <t>Sanitation / SPD (Not a zone)</t>
  </si>
  <si>
    <t>Gas storage</t>
  </si>
  <si>
    <t>Minimum peak hot water usage is 75 gal according to ACM 2025</t>
  </si>
  <si>
    <t xml:space="preserve">Total </t>
  </si>
  <si>
    <t>Electric resistance</t>
  </si>
  <si>
    <t>Number of identical water heaters</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</si>
  <si>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</si>
  <si>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</si>
  <si>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</si>
  <si>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</si>
  <si>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</si>
  <si>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</si>
  <si>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</si>
  <si>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</si>
  <si>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Climate Zone</t>
  </si>
  <si>
    <r>
      <t xml:space="preserve">Minimum Monthly Mains Temp (°F)
</t>
    </r>
    <r>
      <rPr>
        <b/>
        <sz val="10"/>
        <rFont val="Arial"/>
        <family val="2"/>
      </rPr>
      <t>[T24 2022 - Appendix 5.4B]</t>
    </r>
  </si>
  <si>
    <t>Heat Output (Btu/hr)
[ACM, 2025, 5.9.2: Rated capacity section]</t>
  </si>
  <si>
    <t>WH Capacity (Btu/hr)
[ACM, 2025, 5.9.2: Rated capacity section]</t>
  </si>
  <si>
    <t>Required Energy Input (Btu/hr)</t>
  </si>
  <si>
    <t>Storage Volume (gal)</t>
  </si>
  <si>
    <r>
      <t xml:space="preserve">Standby Loss
</t>
    </r>
    <r>
      <rPr>
        <b/>
        <sz val="10"/>
        <color rgb="FF000000"/>
        <rFont val="Arial"/>
        <family val="2"/>
      </rPr>
      <t xml:space="preserve"> [Title 20, §1605.1 Table F-4; Appendix B: Water Heating Calculation Method]</t>
    </r>
  </si>
  <si>
    <t xml:space="preserve">Off/On Cycle Loss Coefficient to Ambient Temp </t>
  </si>
  <si>
    <t>Source/Note</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</si>
  <si>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</si>
  <si>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</si>
  <si>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</si>
  <si>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</si>
  <si>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</si>
  <si>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</si>
  <si>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</si>
  <si>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</si>
  <si>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</si>
  <si>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</si>
  <si>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</si>
  <si>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</si>
  <si>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</si>
  <si>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</si>
  <si>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</si>
  <si>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</si>
  <si>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</si>
  <si>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</si>
  <si>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</si>
  <si>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</si>
  <si>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</si>
  <si>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</si>
  <si>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</si>
  <si>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</si>
  <si>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Baseline WH Type 
[T24, 2022, Appendix 5.4A , sheet: "2022 SpaceFuncData-Input"]</t>
  </si>
  <si>
    <t>Electric</t>
  </si>
  <si>
    <t xml:space="preserve">New Construction </t>
  </si>
  <si>
    <t>LPD (W/ft²)</t>
  </si>
  <si>
    <t>Additional LPD for Portable Lighting (W/ft²)</t>
  </si>
  <si>
    <t xml:space="preserve">LPD (W/ft²) </t>
  </si>
  <si>
    <r>
      <t xml:space="preserve">T24, 2025, Table 140.6-C
 (Area category method), 
</t>
    </r>
    <r>
      <rPr>
        <sz val="10"/>
        <color rgb="FF000000"/>
        <rFont val="Arial"/>
        <family val="2"/>
      </rPr>
      <t xml:space="preserve">IT Room Source: ASHRAE 90.1 2022, Table 9.5.2.1-1, computer room space type </t>
    </r>
  </si>
  <si>
    <t xml:space="preserve">T24, 2016, Table 140.6-C
 (Area category method) </t>
  </si>
  <si>
    <t>Additional lighting for: decorative/display,</t>
  </si>
  <si>
    <t>Additional lighting for: decorative/display ( Ornamental), It is assumed that 50% of the additional allowance lighting is in use.</t>
  </si>
  <si>
    <t>Additional lighting for: decorative/display</t>
  </si>
  <si>
    <t>Additional lighting for: tunable white or dim-to-warm</t>
  </si>
  <si>
    <t>Additional lighting for: specialized Task Work</t>
  </si>
  <si>
    <t>Additional lighting for: detailed task work</t>
  </si>
  <si>
    <t>Additional lighting for: decorative/display  (Ornamental)</t>
  </si>
  <si>
    <t>Additional lighting for: decorative/display
It is assumed that 50% of the additional allowance lighting is in use.</t>
  </si>
  <si>
    <t>Motion Controlled Luminaires (W)</t>
  </si>
  <si>
    <t>Non-motion Controlled Luminaires (W)</t>
  </si>
  <si>
    <t>Total (W)</t>
  </si>
  <si>
    <t>T24, 2022 &amp; 2025
2019 Outdoor Lighting CASE report 
 PNNL 90.1-2010 TSD</t>
  </si>
  <si>
    <t>Items (Assume LZ2)</t>
  </si>
  <si>
    <t>Assumptions
[2019 Outdoor Lighting CASE Report &amp; PNNL 90.1-2010 TSD]</t>
  </si>
  <si>
    <t>Unit</t>
  </si>
  <si>
    <t>Lighting Power Allowance 
[T24, 2025, Table 140.7-A &amp; 140.7-B]</t>
  </si>
  <si>
    <t>Exterior Lighting Power (W)</t>
  </si>
  <si>
    <t>IWA (Initial Wattage Allowance)</t>
  </si>
  <si>
    <t>Lighting Zone 3</t>
  </si>
  <si>
    <t>(W)</t>
  </si>
  <si>
    <t>Parking area</t>
  </si>
  <si>
    <r>
      <t xml:space="preserve"> 400 ft² for every parking space </t>
    </r>
    <r>
      <rPr>
        <sz val="10"/>
        <color rgb="FF000000"/>
        <rFont val="Arial"/>
        <family val="2"/>
      </rPr>
      <t xml:space="preserve"> [2019 Lighting CASE report, Appendix H]
</t>
    </r>
    <r>
      <rPr>
        <sz val="10"/>
        <color rgb="FF000000"/>
        <rFont val="Arial"/>
        <family val="2"/>
      </rPr>
      <t xml:space="preserve">1 parking space per 360 ft² of gross building area </t>
    </r>
    <r>
      <rPr>
        <sz val="10"/>
        <color rgb="FF000000"/>
        <rFont val="Arial"/>
        <family val="2"/>
      </rPr>
      <t xml:space="preserve"> [2019 Lighting CASE report,Table 38]</t>
    </r>
  </si>
  <si>
    <t>(ft²)</t>
  </si>
  <si>
    <t>(W/ft²)</t>
  </si>
  <si>
    <t>Building Entrance</t>
  </si>
  <si>
    <t>17 building entrance per the Hospital Geometry</t>
  </si>
  <si>
    <t>(count)</t>
  </si>
  <si>
    <t>(W/ea)</t>
  </si>
  <si>
    <t>Hardscape Ornamental Light</t>
  </si>
  <si>
    <r>
      <rPr>
        <sz val="10"/>
        <color rgb="FF000000"/>
        <rFont val="Arial"/>
        <family val="2"/>
      </rPr>
      <t xml:space="preserve">0.1 ft² per 1 ft² of gross building area  </t>
    </r>
    <r>
      <rPr>
        <sz val="10"/>
        <color rgb="FF000000"/>
        <rFont val="Arial"/>
        <family val="2"/>
      </rPr>
      <t>[2019 Lighting CASE report,Table 36]</t>
    </r>
  </si>
  <si>
    <t>Building façade</t>
  </si>
  <si>
    <t>0.1 W per 1 ft² of facade area
Façade Area = Perimeter × 0.5 × 30 ft (30 ft is the max height that is lit) *
The 0.5 factor assumes that only half of the perimeter walls are lit.
-Formula is developed based on the 2019 Outdoor Lighting CASE report</t>
  </si>
  <si>
    <t>Non-sales canopy</t>
  </si>
  <si>
    <t>Non-motion-controlled Luminaires</t>
  </si>
  <si>
    <t>Total floor area (ft²)</t>
  </si>
  <si>
    <t xml:space="preserve">Perimeter </t>
  </si>
  <si>
    <t>Floors</t>
  </si>
  <si>
    <t>Canopy (Added to the Hospital geometry)</t>
  </si>
  <si>
    <t>Area</t>
  </si>
  <si>
    <t>Main Entrance South</t>
  </si>
  <si>
    <t>1,140 ft²</t>
  </si>
  <si>
    <t>Main Entrance West</t>
  </si>
  <si>
    <t>2,021 ft²</t>
  </si>
  <si>
    <t>ER Entrance South</t>
  </si>
  <si>
    <t>1,185 ft²</t>
  </si>
  <si>
    <t>ER Entrance East</t>
  </si>
  <si>
    <t>1,910 ft²</t>
  </si>
  <si>
    <t>6,257 ft²</t>
  </si>
  <si>
    <t>Plug load Power Density (W/ft²)</t>
  </si>
  <si>
    <t>Gas Power Density 
(Btu/hr-ft²)</t>
  </si>
  <si>
    <t>Refrigeration Power Density (W/ft²)</t>
  </si>
  <si>
    <t>T24 2022 - Appendix 5.4A, DOE / PNNL Commercial Prototype Building Models, AEDG 50%</t>
  </si>
  <si>
    <t>Plug load and schedules project with CEC, 2025</t>
  </si>
  <si>
    <t>CEC: Refrig Load = 0.25 w/ft²</t>
  </si>
  <si>
    <t xml:space="preserve"> Appendix 5.4A: Gas equipment=1.1259 Btu/h-ft²--CEC model (Hospital) has the Gas equipment for 3.59 Btu/h-ft²</t>
  </si>
  <si>
    <t xml:space="preserve"> Appendix 5.4A: Gas equipment=13 Btu/h-ft²--CEC model (Hospital) has the Gas equipment for 51.7 Btu/h-ft²</t>
  </si>
  <si>
    <t>AEDG 50%</t>
  </si>
  <si>
    <t>PNNL has EPD=10 for Imaging room</t>
  </si>
  <si>
    <t xml:space="preserve"> Appendix 5.4A: Gas equipment=17.53768 --CEC model (Hospital) has the Gas equipment for 35.4 Btu/h-ft²) -- Btu/h-ft² CEC: Refrig Load = 1.12 W/ft²</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</si>
  <si>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</si>
  <si>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</si>
  <si>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</si>
  <si>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</si>
  <si>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</si>
  <si>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</si>
  <si>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</si>
  <si>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</si>
  <si>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</si>
  <si>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</si>
  <si>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</si>
  <si>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</si>
  <si>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</si>
  <si>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</si>
  <si>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</si>
  <si>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</si>
  <si>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Hospital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</si>
  <si>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</si>
  <si>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</si>
  <si>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</si>
  <si>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</si>
  <si>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</si>
  <si>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</si>
  <si>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</si>
  <si>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</si>
  <si>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</si>
  <si>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</si>
  <si>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</si>
  <si>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</si>
  <si>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</si>
  <si>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</si>
  <si>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</si>
  <si>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</si>
  <si>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</si>
  <si>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</si>
  <si>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</si>
  <si>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</si>
  <si>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</si>
  <si>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</si>
  <si>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W=5.67 ft, L=7.29 ft; assumed based on representative manufacturer</t>
  </si>
  <si>
    <t>CFM</t>
  </si>
  <si>
    <t>Cab fan airflow</t>
  </si>
  <si>
    <t>Assumed for the Hospital prototype</t>
  </si>
  <si>
    <t>cat</t>
  </si>
  <si>
    <t>Usage category</t>
  </si>
  <si>
    <t>-</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</si>
  <si>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</si>
  <si>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</si>
  <si>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</si>
  <si>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</si>
  <si>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</si>
  <si>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</si>
  <si>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</si>
  <si>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</si>
  <si>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</si>
  <si>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</si>
  <si>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</si>
  <si>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</si>
  <si>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</si>
  <si>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</si>
  <si>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</si>
  <si>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</si>
  <si>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</si>
  <si>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</si>
  <si>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</si>
  <si>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</si>
  <si>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</si>
  <si>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</si>
  <si>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</si>
  <si>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</si>
  <si>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</si>
  <si>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</si>
  <si>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</si>
  <si>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</si>
  <si>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</si>
  <si>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</si>
  <si>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</si>
  <si>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</si>
  <si>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</si>
  <si>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</si>
  <si>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</si>
  <si>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</si>
  <si>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</si>
  <si>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</si>
  <si>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</si>
  <si>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</si>
  <si>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</si>
  <si>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</si>
  <si>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</si>
  <si>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</si>
  <si>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</si>
  <si>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</si>
  <si>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</si>
  <si>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</si>
  <si>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</si>
  <si>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</si>
  <si>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</si>
  <si>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</si>
  <si>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</si>
  <si>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</si>
  <si>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Zone</t>
  </si>
  <si>
    <t>Schedule</t>
  </si>
  <si>
    <t>Type</t>
  </si>
  <si>
    <t>Hour</t>
  </si>
  <si>
    <t>PNNL</t>
  </si>
  <si>
    <t>Corridor, Lab, Lobby, Physical Therapy Room, Imaging Room,  Medical Supply Room</t>
  </si>
  <si>
    <t>Occupancy</t>
  </si>
  <si>
    <t>T24 2022 - Appendix 5.4B, [Health]</t>
  </si>
  <si>
    <t>Lights</t>
  </si>
  <si>
    <t xml:space="preserve">ElecEquipment </t>
  </si>
  <si>
    <t>ServiceHotWater</t>
  </si>
  <si>
    <t>GasEquipment</t>
  </si>
  <si>
    <t>Refrigeration</t>
  </si>
  <si>
    <t>HVACAvail</t>
  </si>
  <si>
    <t>HtgSetpt</t>
  </si>
  <si>
    <t>ClgSetpt</t>
  </si>
  <si>
    <t>Other</t>
  </si>
  <si>
    <t>Nurse's Station, Exam/Treatment Room, Recovery Room</t>
  </si>
  <si>
    <t>PNNL  2022 Hospital prototype</t>
  </si>
  <si>
    <r>
      <t xml:space="preserve">CEC Hospital 
Update with changing 0 to 0.1 
</t>
    </r>
    <r>
      <rPr>
        <sz val="9"/>
        <color rgb="FF000000"/>
        <rFont val="Arial"/>
        <family val="2"/>
      </rPr>
      <t>Or PNNL Gas Equip that is similar Elec?</t>
    </r>
  </si>
  <si>
    <t>Based on occupancy</t>
  </si>
  <si>
    <t>Patient Room</t>
  </si>
  <si>
    <r>
      <t xml:space="preserve">PNNL  2022 Hospital prototype
</t>
    </r>
    <r>
      <rPr>
        <sz val="9"/>
        <color rgb="FF00B050"/>
        <rFont val="Arial"/>
        <family val="2"/>
      </rPr>
      <t>Modified by changing night load from 0.45 to 0.05 (almost off)</t>
    </r>
  </si>
  <si>
    <t>AllOtherDays (incl. Sunday &amp; Holidays)</t>
  </si>
  <si>
    <t>Unoccupied</t>
  </si>
  <si>
    <t>Office, Computer Room</t>
  </si>
  <si>
    <r>
      <t xml:space="preserve">T24 2022 - Appendix 5.4B, [Office]
</t>
    </r>
    <r>
      <rPr>
        <sz val="9"/>
        <color rgb="FF0070C0"/>
        <rFont val="Arial"/>
        <family val="2"/>
      </rPr>
      <t xml:space="preserve">
Updated based on Plug load and schedules project with CEC, 2025</t>
    </r>
  </si>
  <si>
    <t>T24 2022 - Appendix 5.4B, [Office]</t>
  </si>
  <si>
    <t xml:space="preserve">Plug load and schedules project with CEC, 2025 </t>
  </si>
  <si>
    <r>
      <t xml:space="preserve">T24 2022 - Appendix 5.4B, [Office]
</t>
    </r>
    <r>
      <rPr>
        <sz val="9"/>
        <color rgb="FF0070C0"/>
        <rFont val="Arial"/>
        <family val="2"/>
      </rPr>
      <t>Updated based on Plug load and schedules project with CEC, 202</t>
    </r>
  </si>
  <si>
    <r>
      <rPr>
        <sz val="9"/>
        <color rgb="FF000000"/>
        <rFont val="Arial"/>
        <family val="2"/>
      </rPr>
      <t xml:space="preserve">T24 2022 - Appendix 5.4B, [Office]
</t>
    </r>
    <r>
      <rPr>
        <sz val="9"/>
        <color rgb="FF0070C0"/>
        <rFont val="Arial"/>
        <family val="2"/>
      </rPr>
      <t>Updated based on Plug load and schedules project with CEC, 202</t>
    </r>
  </si>
  <si>
    <t>Dining and Café</t>
  </si>
  <si>
    <t>PNNL, ASHRAE 90.1, 2022 Fast Food Restaurant prototype 
(It has higher occupancy rate during morning compared to T24 2022 - Appendix 5.4B)</t>
  </si>
  <si>
    <r>
      <t xml:space="preserve">T24 2022 - Appendix 5.4B, [Restaurant]
</t>
    </r>
    <r>
      <rPr>
        <sz val="9"/>
        <color rgb="FF00B050"/>
        <rFont val="Arial"/>
        <family val="2"/>
      </rPr>
      <t>Updated based on the equipment schedule from the plug load and schedule project with CEC</t>
    </r>
    <r>
      <rPr>
        <sz val="9"/>
        <color theme="1"/>
        <rFont val="Arial"/>
        <family val="2"/>
      </rPr>
      <t xml:space="preserve">
</t>
    </r>
  </si>
  <si>
    <t>T24 2022 - Appendix 5.4B, [Restaurant]</t>
  </si>
  <si>
    <r>
      <t xml:space="preserve">T24 2022 - Appendix 5.4B, [Restaurant]
</t>
    </r>
    <r>
      <rPr>
        <sz val="9"/>
        <color rgb="FF00B050"/>
        <rFont val="Arial"/>
        <family val="2"/>
      </rPr>
      <t xml:space="preserve">Updated based on the adopted PNNL occupancy 
</t>
    </r>
  </si>
  <si>
    <r>
      <t xml:space="preserve">T24 2022 - Appendix 5.4B, [Restaurant]
</t>
    </r>
    <r>
      <rPr>
        <sz val="9"/>
        <color rgb="FF00B050"/>
        <rFont val="Arial"/>
        <family val="2"/>
      </rPr>
      <t xml:space="preserve">
Updated based on the adopted PNNL occupancy </t>
    </r>
  </si>
  <si>
    <r>
      <t xml:space="preserve">T24 2022 - Appendix 5.4B, [Restaurant]
</t>
    </r>
    <r>
      <rPr>
        <sz val="9"/>
        <color rgb="FF00B050"/>
        <rFont val="Arial"/>
        <family val="2"/>
      </rPr>
      <t xml:space="preserve">Updated based on the adopted PNNL occupancy 
</t>
    </r>
    <r>
      <rPr>
        <sz val="9"/>
        <color theme="1"/>
        <rFont val="Arial"/>
        <family val="2"/>
      </rPr>
      <t xml:space="preserve">
</t>
    </r>
  </si>
  <si>
    <t>occupancy</t>
  </si>
  <si>
    <t>ElecEquipment</t>
  </si>
  <si>
    <r>
      <t xml:space="preserve">T24 2022 - Appendix 5.4B , [Restaurant]
</t>
    </r>
    <r>
      <rPr>
        <sz val="9"/>
        <color rgb="FF00B050"/>
        <rFont val="Arial"/>
        <family val="2"/>
      </rPr>
      <t xml:space="preserve">Updated based on the adopted PNNL occupancy 
</t>
    </r>
  </si>
  <si>
    <t>ExhaustHoodEqualOrLessThan5000cfm</t>
  </si>
  <si>
    <t>ExhaustHoodGreaterThan 5000cfm</t>
  </si>
  <si>
    <r>
      <t xml:space="preserve">T24 2022 - Appendix 5.4B,  [Restaurant]
</t>
    </r>
    <r>
      <rPr>
        <sz val="9"/>
        <color rgb="FF00B050"/>
        <rFont val="Arial"/>
        <family val="2"/>
      </rPr>
      <t xml:space="preserve">
Updated based on the adopted PNNL occupancy</t>
    </r>
  </si>
  <si>
    <r>
      <t xml:space="preserve">T24 2022 - Appendix 5.4B,  [Restaurant]
</t>
    </r>
    <r>
      <rPr>
        <sz val="9"/>
        <color rgb="FF00B050"/>
        <rFont val="Arial"/>
        <family val="2"/>
      </rPr>
      <t>Updated based on the equipment schedule from the plug load and schedule project with CEC</t>
    </r>
  </si>
  <si>
    <t>Thermostat Setpoints of PNNL 09.1, 2022 Restaurant prototype and HVAC availability schedule of CEC Restaurant prototype</t>
  </si>
  <si>
    <t>ExtLightingNonMotionCtrl</t>
  </si>
  <si>
    <t>PNNL Hospital Prototype (2022)</t>
  </si>
  <si>
    <t>ExtLightingMotionCtrl</t>
  </si>
  <si>
    <t>PNNL Hospital Prototype (2022) Modified to 0 for 11 pm to 5 am during weekday and 12 am to 5 am during weekend</t>
  </si>
  <si>
    <t>Office, Exam Room,Nurse Station, Recovery Room,Operating Room. Patient Room,Physical Therapy, Imaging Room, Lab</t>
  </si>
  <si>
    <t>FunctionalAreaPeopleActivityLevel</t>
  </si>
  <si>
    <t>CEC Hospital Prototype</t>
  </si>
  <si>
    <t>Corridor, Lobby</t>
  </si>
  <si>
    <t>CommonAreaPeopleActivityLevel</t>
  </si>
  <si>
    <t>Dining</t>
  </si>
  <si>
    <t>DiningAreaPeopleActivityLevel</t>
  </si>
  <si>
    <t>KitchenPeopleActivityLevel</t>
  </si>
  <si>
    <t>Health OR</t>
  </si>
  <si>
    <t>Operating Room</t>
  </si>
  <si>
    <t>T24 2022 - Appendix 5.4B, [Health] Modified considering the space usage</t>
  </si>
  <si>
    <t>Mechanical room</t>
  </si>
  <si>
    <t>Engineering Judgement</t>
  </si>
  <si>
    <t>Basement zones except IDF</t>
  </si>
  <si>
    <t>T24 2022 - Appendix 5.4B, [Assembly]</t>
  </si>
  <si>
    <t>Laundry</t>
  </si>
  <si>
    <t>IT room</t>
  </si>
  <si>
    <t>T24 2022 - Appendix 5.4B, [Data]
Updated based on office schedule</t>
  </si>
  <si>
    <t>T24 2022 - Appendix 5.4B, [Data]</t>
  </si>
  <si>
    <t xml:space="preserve">T24 2022 - Appendix 5.4B, [Data]
</t>
  </si>
  <si>
    <t>Based on Activity level and thermostat setpoint</t>
  </si>
  <si>
    <t>CalBEM Energy Consumption - Hospital</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</si>
  <si>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</si>
  <si>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</si>
  <si>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</si>
  <si>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</si>
  <si>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</si>
  <si>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</si>
  <si>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</si>
  <si>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</si>
  <si>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</si>
  <si>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</si>
  <si>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</si>
  <si>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</si>
  <si>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</si>
  <si>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</si>
  <si>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</si>
  <si>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 xml:space="preserve">CEUS 2022 Acceptable EUI Range </t>
  </si>
  <si>
    <r>
      <rPr>
        <b/>
        <sz val="10"/>
        <color theme="1"/>
        <rFont val="Arial"/>
        <family val="2"/>
      </rPr>
      <t xml:space="preserve">Ref: </t>
    </r>
    <r>
      <rPr>
        <sz val="10"/>
        <color theme="1"/>
        <rFont val="Arial"/>
        <family val="2"/>
      </rPr>
      <t xml:space="preserve">CEUS 2022 Report </t>
    </r>
  </si>
  <si>
    <t xml:space="preserve">And converted FZ level data to CZ level </t>
  </si>
  <si>
    <t>Vintage Bin</t>
  </si>
  <si>
    <t>Pre-1978</t>
  </si>
  <si>
    <t>Statewide</t>
  </si>
  <si>
    <t>Ref: CEUS 2022 dataset: Healthcare group. CEUS has only one category for healthcare.</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</si>
  <si>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</si>
  <si>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</si>
  <si>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</si>
  <si>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</si>
  <si>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</si>
  <si>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</si>
  <si>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</si>
  <si>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</si>
  <si>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</si>
  <si>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</si>
  <si>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</si>
  <si>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</si>
  <si>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</si>
  <si>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</si>
  <si>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</si>
  <si>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</si>
  <si>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</si>
  <si>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</si>
  <si>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</si>
  <si>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</si>
  <si>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</si>
  <si>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Dining Area (Bar/Lounge and Fine Dining)</t>
  </si>
  <si>
    <t>Dining Area (Family and Leisure)</t>
  </si>
  <si>
    <t>Exercise/Fitness Center and Gymnasium Areas</t>
  </si>
  <si>
    <t>Financial Transaction Area</t>
  </si>
  <si>
    <t>Healthcare Facility and Hospitals (Nursery)</t>
  </si>
  <si>
    <t>Hotel Function Area</t>
  </si>
  <si>
    <t>Kitchenette or Residential Kitchen</t>
  </si>
  <si>
    <t>Library (Reading Area)</t>
  </si>
  <si>
    <t>Library (Stacks Area)</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</si>
  <si>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</si>
  <si>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</si>
  <si>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</si>
  <si>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</si>
  <si>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</si>
  <si>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</si>
  <si>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</si>
  <si>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</si>
  <si>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</si>
  <si>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</si>
  <si>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</si>
  <si>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</si>
  <si>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</si>
  <si>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</si>
  <si>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</si>
  <si>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</si>
  <si>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</si>
  <si>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</si>
  <si>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</si>
  <si>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</si>
  <si>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</si>
  <si>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</si>
  <si>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</si>
  <si>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</si>
  <si>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</si>
  <si>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</si>
  <si>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</si>
  <si>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</si>
  <si>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</si>
  <si>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</si>
  <si>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</si>
  <si>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</si>
  <si>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</si>
  <si>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</si>
  <si>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Plenum</t>
  </si>
  <si>
    <t>IT Room (EPD 12)</t>
  </si>
  <si>
    <t>Server Room (EPD 45)</t>
  </si>
  <si>
    <r>
      <t xml:space="preserve">T24 2022 - Appendix 5.4B, [Health]
</t>
    </r>
    <r>
      <rPr>
        <sz val="9"/>
        <color rgb="FF00B050"/>
        <rFont val="Arial"/>
        <family val="2"/>
      </rPr>
      <t>Modified ( 0to 0.02 )</t>
    </r>
  </si>
  <si>
    <t>NORESCO, Updated September 2026</t>
  </si>
  <si>
    <t>Fan power index: [ACM 2025,  Table 13]
Motor efficiency: [ ACM 2025, Table 12]</t>
  </si>
  <si>
    <t xml:space="preserve">Engineering Judgment </t>
  </si>
  <si>
    <t>Computer Room Heating setpoint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</si>
</sst>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_(* #,##0.000_);_(* \(#,##0.000\);_(* &quot;-&quot;??_);_(@_)"/>
    <numFmt numFmtId="171" formatCode="_(* #,##0.0_);_(* \(#,##0.0\);_(* &quot;-&quot;??_);_(@_)"/>
    <numFmt numFmtId="172" formatCode="#,##0;\-0;[Color15]0"/>
    <numFmt numFmtId="173" formatCode="#,##0.000"/>
  </numFmts>
  <fonts count="72"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4"/>
      <color theme="1"/>
      <name val="Arial"/>
      <family val="2"/>
    </font>
    <font>
      <b/>
      <sz val="10"/>
      <color rgb="FF002F8E"/>
      <name val="Arial"/>
      <family val="2"/>
    </font>
    <font>
      <sz val="10"/>
      <color theme="0"/>
      <name val="Arial"/>
      <family val="2"/>
    </font>
    <font>
      <sz val="11"/>
      <color rgb="FF000000"/>
      <name val="Arial"/>
      <family val="2"/>
    </font>
    <font>
      <b/>
      <sz val="12"/>
      <color rgb="FFFFFFFF"/>
      <name val="Arial"/>
      <family val="2"/>
    </font>
    <font>
      <b/>
      <u/>
      <sz val="11"/>
      <color theme="10"/>
      <name val="Calibri"/>
      <family val="2"/>
      <scheme val="minor"/>
    </font>
    <font>
      <sz val="11"/>
      <name val="Calibri"/>
      <family val="2"/>
      <scheme val="minor"/>
    </font>
    <font>
      <b/>
      <sz val="11"/>
      <color rgb="FF000000"/>
      <name val="Calibri"/>
      <family val="2"/>
      <scheme val="minor"/>
    </font>
    <font>
      <sz val="10"/>
      <color rgb="FFA6A6A6"/>
      <name val="Arial"/>
      <family val="2"/>
    </font>
    <font>
      <sz val="10"/>
      <color rgb="FF0070C0"/>
      <name val="Arial"/>
      <family val="2"/>
    </font>
    <font>
      <sz val="9"/>
      <color rgb="FF000000"/>
      <name val="Arial"/>
      <family val="2"/>
    </font>
    <font>
      <sz val="10"/>
      <color rgb="FF000000"/>
      <name val="Arial"/>
      <family val="2"/>
    </font>
    <font>
      <sz val="9"/>
      <color rgb="FF000000"/>
      <name val="Arial"/>
      <family val="2"/>
    </font>
    <font>
      <sz val="9"/>
      <color rgb="FF0070C0"/>
      <name val="Arial"/>
      <family val="2"/>
    </font>
    <font>
      <sz val="9"/>
      <color rgb="FF00B050"/>
      <name val="Arial"/>
      <family val="2"/>
    </font>
    <font>
      <sz val="9"/>
      <name val="Arial"/>
      <family val="2"/>
    </font>
    <font>
      <sz val="10"/>
      <color rgb="FF00B050"/>
      <name val="Arial"/>
      <family val="2"/>
    </font>
    <font>
      <sz val="11"/>
      <color rgb="FF000000"/>
      <name val="Calibri"/>
      <family val="2"/>
    </font>
    <font>
      <b/>
      <sz val="14"/>
      <color rgb="FFFFFFFF"/>
      <name val="Calibri"/>
      <family val="2"/>
    </font>
    <font>
      <b/>
      <sz val="9"/>
      <color theme="1"/>
      <name val="Arial"/>
      <family val="2"/>
    </font>
    <font>
      <sz val="11"/>
      <color theme="1"/>
      <name val="Calibri"/>
      <family val="2"/>
    </font>
    <font>
      <b/>
      <sz val="10"/>
      <color rgb="FF000000"/>
      <name val="Arial"/>
      <family val="2"/>
    </font>
    <font>
      <u/>
      <sz val="10"/>
      <color theme="10"/>
      <name val="Calibri"/>
      <family val="2"/>
      <scheme val="minor"/>
    </font>
    <font>
      <b/>
      <sz val="11"/>
      <color rgb="FF000000"/>
      <name val="Calibri"/>
      <family val="2"/>
    </font>
    <font>
      <sz val="11"/>
      <color rgb="FF000000"/>
      <name val="Calibri"/>
      <family val="2"/>
      <scheme val="minor"/>
    </font>
    <font>
      <sz val="11"/>
      <color rgb="FF000000"/>
      <name val="Arial"/>
      <family val="2"/>
    </font>
    <font>
      <sz val="10"/>
      <color theme="1"/>
      <name val="Arial"/>
      <family val="2"/>
    </font>
    <font>
      <sz val="10"/>
      <color rgb="FF000000"/>
      <name val="Arial"/>
      <family val="2"/>
    </font>
    <font>
      <sz val="10"/>
      <color rgb="FF000000"/>
      <name val="Arial"/>
      <family val="2"/>
    </font>
    <font>
      <b/>
      <sz val="11"/>
      <color rgb="FF000000"/>
      <name val="Arial"/>
      <family val="2"/>
    </font>
    <font>
      <u/>
      <sz val="10"/>
      <color rgb="FF000000"/>
      <name val="Arial"/>
      <family val="2"/>
    </font>
    <font>
      <sz val="10"/>
      <color rgb="FF000000"/>
      <name val="Arial"/>
      <family val="2"/>
    </font>
    <font>
      <sz val="11"/>
      <color theme="1"/>
      <name val="Arial"/>
      <family val="2"/>
    </font>
    <font>
      <sz val="10"/>
      <color rgb="FF0070C0"/>
      <name val="Arial"/>
      <family val="2"/>
    </font>
    <font>
      <b/>
      <sz val="10"/>
      <color rgb="FF000000"/>
      <name val="Arial"/>
      <family val="2"/>
    </font>
    <font>
      <b/>
      <sz val="10"/>
      <color theme="1"/>
      <name val="Arial"/>
      <family val="2"/>
    </font>
    <font>
      <sz val="10"/>
      <name val="Arial"/>
      <family val="2"/>
    </font>
    <font>
      <sz val="11"/>
      <color rgb="FF000000"/>
      <name val="Aptos Narrow"/>
      <family val="2"/>
    </font>
    <font>
      <vertAlign val="superscript"/>
      <sz val="9"/>
      <color rgb="FF000000"/>
      <name val="Arial"/>
      <family val="2"/>
    </font>
    <font>
      <sz val="9"/>
      <color rgb="FF000000"/>
      <name val="Arial"/>
      <family val="2"/>
    </font>
    <font>
      <b/>
      <sz val="10"/>
      <color rgb="FFF0F0F0"/>
      <name val="Segoe UI"/>
      <family val="2"/>
    </font>
    <font>
      <sz val="10"/>
      <color rgb="FFF0F0F0"/>
      <name val="Segoe UI"/>
      <family val="2"/>
    </font>
    <font>
      <sz val="9.9"/>
      <color rgb="FF88C0D0"/>
      <name val="Courier New"/>
      <family val="3"/>
    </font>
    <font>
      <b/>
      <sz val="10"/>
      <color rgb="FFFFFFFF"/>
      <name val="Arial"/>
      <family val="2"/>
    </font>
    <font>
      <b/>
      <sz val="12"/>
      <color rgb="FFFFFFFF"/>
      <name val="Arial"/>
      <family val="2"/>
    </font>
    <font>
      <b/>
      <sz val="11"/>
      <color rgb="FFFFFFFF"/>
      <name val="Calibri"/>
      <family val="2"/>
    </font>
    <font>
      <sz val="10"/>
      <color rgb="FFFFFFFF"/>
      <name val="Arial"/>
      <family val="2"/>
    </font>
  </fonts>
  <fills count="25">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rgb="FFFFFFFF"/>
        <bgColor rgb="FF000000"/>
      </patternFill>
    </fill>
    <fill>
      <patternFill patternType="solid">
        <fgColor rgb="FF203764"/>
        <bgColor rgb="FF000000"/>
      </patternFill>
    </fill>
    <fill>
      <patternFill patternType="solid">
        <fgColor theme="2"/>
        <bgColor indexed="64"/>
      </patternFill>
    </fill>
    <fill>
      <patternFill patternType="solid">
        <fgColor rgb="FF244062"/>
      </patternFill>
    </fill>
    <fill>
      <patternFill patternType="solid">
        <fgColor rgb="FFD9E1F2"/>
      </patternFill>
    </fill>
    <fill>
      <patternFill patternType="solid">
        <fgColor theme="5" tint="0.79998168889431442"/>
        <bgColor indexed="64"/>
      </patternFill>
    </fill>
    <fill>
      <patternFill patternType="solid">
        <fgColor rgb="FF203864"/>
      </patternFill>
    </fill>
    <fill>
      <patternFill patternType="solid">
        <fgColor rgb="FFEAF1F8"/>
      </patternFill>
    </fill>
    <fill>
      <patternFill patternType="solid">
        <fgColor theme="8" tint="0.79998168889431442"/>
        <bgColor indexed="64"/>
      </patternFill>
    </fill>
    <fill>
      <patternFill patternType="solid">
        <fgColor rgb="FFF5F8FA"/>
        <bgColor indexed="64"/>
      </patternFill>
    </fill>
    <fill>
      <patternFill patternType="solid">
        <fgColor rgb="FFC2BCBC"/>
        <bgColor indexed="64"/>
      </patternFill>
    </fill>
    <fill>
      <patternFill patternType="solid">
        <fgColor rgb="FF918E8E"/>
        <bgColor indexed="64"/>
      </patternFill>
    </fill>
    <fill>
      <patternFill patternType="solid">
        <fgColor rgb="FFA6A6A6"/>
        <bgColor indexed="64"/>
      </patternFill>
    </fill>
    <fill>
      <patternFill patternType="solid">
        <fgColor rgb="FFF2F2F2"/>
        <bgColor indexed="64"/>
      </patternFill>
    </fill>
  </fills>
  <borders count="299">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808080"/>
      </left>
      <right style="thin">
        <color rgb="FF808080"/>
      </right>
      <top style="thin">
        <color rgb="FF808080"/>
      </top>
      <bottom style="thin">
        <color rgb="FF808080"/>
      </bottom>
      <diagonal/>
    </border>
    <border>
      <left style="thin">
        <color theme="0" tint="-0.499984740745262"/>
      </left>
      <right style="thin">
        <color theme="0" tint="-0.499984740745262"/>
      </right>
      <top style="medium">
        <color indexed="64"/>
      </top>
      <bottom/>
      <diagonal/>
    </border>
    <border>
      <left style="medium">
        <color indexed="64"/>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diagonal/>
    </border>
    <border>
      <left style="thin">
        <color rgb="FF595959"/>
      </left>
      <right style="thin">
        <color rgb="FF595959"/>
      </right>
      <top style="thin">
        <color rgb="FF595959"/>
      </top>
      <bottom style="thin">
        <color rgb="FF595959"/>
      </bottom>
      <diagonal/>
    </border>
    <border>
      <left style="thin">
        <color rgb="FF000000"/>
      </left>
      <right style="thin">
        <color indexed="64"/>
      </right>
      <top style="thin">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808080"/>
      </left>
      <right/>
      <top/>
      <bottom/>
      <diagonal/>
    </border>
    <border>
      <left style="thin">
        <color rgb="FF808080"/>
      </left>
      <right/>
      <top/>
      <bottom style="thin">
        <color rgb="FF808080"/>
      </bottom>
      <diagonal/>
    </border>
    <border>
      <left style="thin">
        <color rgb="FF595959"/>
      </left>
      <right style="thin">
        <color rgb="FF595959"/>
      </right>
      <top/>
      <bottom style="thin">
        <color rgb="FF595959"/>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style="thin">
        <color rgb="FF000000"/>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style="thin">
        <color theme="1" tint="0.34998626667073579"/>
      </bottom>
      <diagonal/>
    </border>
    <border>
      <left style="thin">
        <color indexed="64"/>
      </left>
      <right style="medium">
        <color indexed="64"/>
      </right>
      <top/>
      <bottom style="thin">
        <color indexed="64"/>
      </bottom>
      <diagonal/>
    </border>
    <border>
      <left style="thin">
        <color theme="1" tint="0.34998626667073579"/>
      </left>
      <right style="medium">
        <color indexed="64"/>
      </right>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indexed="64"/>
      </bottom>
      <diagonal/>
    </border>
    <border>
      <left style="medium">
        <color indexed="64"/>
      </left>
      <right style="thin">
        <color indexed="64"/>
      </right>
      <top/>
      <bottom style="thin">
        <color indexed="64"/>
      </bottom>
      <diagonal/>
    </border>
    <border>
      <left style="thin">
        <color theme="1" tint="0.34998626667073579"/>
      </left>
      <right style="medium">
        <color indexed="64"/>
      </right>
      <top style="medium">
        <color indexed="64"/>
      </top>
      <bottom style="thin">
        <color theme="1" tint="0.34998626667073579"/>
      </bottom>
      <diagonal/>
    </border>
    <border>
      <left style="thin">
        <color theme="1" tint="0.34998626667073579"/>
      </left>
      <right style="medium">
        <color indexed="64"/>
      </right>
      <top style="thin">
        <color theme="1" tint="0.34998626667073579"/>
      </top>
      <bottom style="medium">
        <color indexed="64"/>
      </bottom>
      <diagonal/>
    </border>
    <border>
      <left style="thin">
        <color indexed="64"/>
      </left>
      <right style="thin">
        <color theme="1" tint="0.34998626667073579"/>
      </right>
      <top/>
      <bottom style="thin">
        <color theme="1" tint="0.34998626667073579"/>
      </bottom>
      <diagonal/>
    </border>
    <border>
      <left style="thin">
        <color indexed="64"/>
      </left>
      <right style="thin">
        <color theme="1" tint="0.34998626667073579"/>
      </right>
      <top style="thin">
        <color theme="1" tint="0.34998626667073579"/>
      </top>
      <bottom style="thin">
        <color theme="1" tint="0.34998626667073579"/>
      </bottom>
      <diagonal/>
    </border>
    <border>
      <left style="thin">
        <color indexed="64"/>
      </left>
      <right style="thin">
        <color theme="1" tint="0.34998626667073579"/>
      </right>
      <top style="thin">
        <color theme="1" tint="0.34998626667073579"/>
      </top>
      <bottom/>
      <diagonal/>
    </border>
    <border>
      <left style="thin">
        <color indexed="64"/>
      </left>
      <right style="thin">
        <color theme="1" tint="0.34998626667073579"/>
      </right>
      <top style="medium">
        <color theme="1" tint="0.34998626667073579"/>
      </top>
      <bottom style="thin">
        <color theme="1" tint="0.34998626667073579"/>
      </bottom>
      <diagonal/>
    </border>
    <border>
      <left style="thin">
        <color indexed="64"/>
      </left>
      <right style="thin">
        <color theme="1" tint="0.34998626667073579"/>
      </right>
      <top style="thin">
        <color theme="1" tint="0.34998626667073579"/>
      </top>
      <bottom style="medium">
        <color theme="1" tint="0.34998626667073579"/>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diagonal/>
    </border>
    <border>
      <left style="thin">
        <color indexed="64"/>
      </left>
      <right style="medium">
        <color indexed="64"/>
      </right>
      <top style="medium">
        <color indexed="64"/>
      </top>
      <bottom style="thin">
        <color theme="1" tint="0.34998626667073579"/>
      </bottom>
      <diagonal/>
    </border>
    <border>
      <left style="thin">
        <color indexed="64"/>
      </left>
      <right style="medium">
        <color indexed="64"/>
      </right>
      <top style="thin">
        <color theme="1" tint="0.34998626667073579"/>
      </top>
      <bottom style="thin">
        <color theme="1" tint="0.34998626667073579"/>
      </bottom>
      <diagonal/>
    </border>
    <border>
      <left style="thin">
        <color indexed="64"/>
      </left>
      <right style="medium">
        <color indexed="64"/>
      </right>
      <top style="thin">
        <color theme="1" tint="0.34998626667073579"/>
      </top>
      <bottom style="medium">
        <color indexed="64"/>
      </bottom>
      <diagonal/>
    </border>
    <border>
      <left style="medium">
        <color indexed="64"/>
      </left>
      <right style="thin">
        <color indexed="64"/>
      </right>
      <top/>
      <bottom style="thin">
        <color theme="1" tint="0.34998626667073579"/>
      </bottom>
      <diagonal/>
    </border>
    <border>
      <left style="thin">
        <color indexed="64"/>
      </left>
      <right style="thin">
        <color indexed="64"/>
      </right>
      <top/>
      <bottom style="thin">
        <color theme="1" tint="0.34998626667073579"/>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style="medium">
        <color indexed="64"/>
      </top>
      <bottom style="thin">
        <color theme="1" tint="0.34998626667073579"/>
      </bottom>
      <diagonal/>
    </border>
    <border>
      <left style="thin">
        <color indexed="64"/>
      </left>
      <right style="thin">
        <color indexed="64"/>
      </right>
      <top style="medium">
        <color indexed="64"/>
      </top>
      <bottom style="thin">
        <color theme="1" tint="0.34998626667073579"/>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diagonal/>
    </border>
    <border>
      <left style="medium">
        <color indexed="64"/>
      </left>
      <right style="thin">
        <color indexed="64"/>
      </right>
      <top style="thin">
        <color indexed="64"/>
      </top>
      <bottom/>
      <diagonal/>
    </border>
    <border>
      <left style="thin">
        <color indexed="64"/>
      </left>
      <right style="medium">
        <color indexed="64"/>
      </right>
      <top/>
      <bottom style="thin">
        <color theme="1" tint="0.34998626667073579"/>
      </bottom>
      <diagonal/>
    </border>
    <border>
      <left style="thin">
        <color indexed="64"/>
      </left>
      <right style="medium">
        <color indexed="64"/>
      </right>
      <top style="thin">
        <color theme="1" tint="0.34998626667073579"/>
      </top>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top style="thin">
        <color indexed="64"/>
      </top>
      <bottom style="thin">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top style="thin">
        <color indexed="64"/>
      </top>
      <bottom style="medium">
        <color indexed="64"/>
      </bottom>
      <diagonal/>
    </border>
    <border>
      <left style="thin">
        <color theme="1" tint="0.34998626667073579"/>
      </left>
      <right style="thin">
        <color theme="1" tint="0.34998626667073579"/>
      </right>
      <top/>
      <bottom style="thin">
        <color indexed="64"/>
      </bottom>
      <diagonal/>
    </border>
    <border>
      <left style="thin">
        <color theme="1" tint="0.34998626667073579"/>
      </left>
      <right/>
      <top/>
      <bottom style="thin">
        <color indexed="64"/>
      </bottom>
      <diagonal/>
    </border>
    <border>
      <left style="thin">
        <color theme="1" tint="0.34998626667073579"/>
      </left>
      <right/>
      <top/>
      <bottom/>
      <diagonal/>
    </border>
    <border>
      <left/>
      <right style="thin">
        <color theme="1" tint="0.499984740745262"/>
      </right>
      <top style="medium">
        <color theme="1"/>
      </top>
      <bottom style="thin">
        <color theme="1" tint="0.499984740745262"/>
      </bottom>
      <diagonal/>
    </border>
    <border>
      <left style="thin">
        <color theme="1" tint="0.499984740745262"/>
      </left>
      <right style="thin">
        <color theme="1" tint="0.499984740745262"/>
      </right>
      <top style="medium">
        <color theme="1"/>
      </top>
      <bottom style="thin">
        <color theme="1" tint="0.499984740745262"/>
      </bottom>
      <diagonal/>
    </border>
    <border>
      <left style="thin">
        <color theme="1" tint="0.499984740745262"/>
      </left>
      <right style="medium">
        <color theme="1"/>
      </right>
      <top style="medium">
        <color theme="1"/>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right>
      <top style="thin">
        <color theme="1" tint="0.499984740745262"/>
      </top>
      <bottom style="thin">
        <color theme="1" tint="0.499984740745262"/>
      </bottom>
      <diagonal/>
    </border>
    <border>
      <left/>
      <right style="thin">
        <color theme="1" tint="0.499984740745262"/>
      </right>
      <top style="thin">
        <color theme="1" tint="0.499984740745262"/>
      </top>
      <bottom style="medium">
        <color theme="1"/>
      </bottom>
      <diagonal/>
    </border>
    <border>
      <left style="thin">
        <color theme="1" tint="0.499984740745262"/>
      </left>
      <right style="thin">
        <color theme="1" tint="0.499984740745262"/>
      </right>
      <top style="thin">
        <color theme="1" tint="0.499984740745262"/>
      </top>
      <bottom style="medium">
        <color theme="1"/>
      </bottom>
      <diagonal/>
    </border>
    <border>
      <left style="thin">
        <color theme="1" tint="0.499984740745262"/>
      </left>
      <right style="medium">
        <color theme="1"/>
      </right>
      <top style="thin">
        <color theme="1" tint="0.499984740745262"/>
      </top>
      <bottom style="medium">
        <color theme="1"/>
      </bottom>
      <diagonal/>
    </border>
    <border>
      <left style="thin">
        <color indexed="64"/>
      </left>
      <right style="thin">
        <color indexed="64"/>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thin">
        <color indexed="64"/>
      </right>
      <top style="thin">
        <color theme="1" tint="0.499984740745262"/>
      </top>
      <bottom style="medium">
        <color indexed="64"/>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style="thin">
        <color indexed="64"/>
      </left>
      <right style="medium">
        <color theme="1"/>
      </right>
      <top/>
      <bottom/>
      <diagonal/>
    </border>
    <border>
      <left style="medium">
        <color theme="1"/>
      </left>
      <right style="thin">
        <color theme="1" tint="0.499984740745262"/>
      </right>
      <top style="medium">
        <color theme="1"/>
      </top>
      <bottom style="thin">
        <color theme="1" tint="0.499984740745262"/>
      </bottom>
      <diagonal/>
    </border>
    <border>
      <left style="medium">
        <color theme="1"/>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theme="1" tint="0.499984740745262"/>
      </top>
      <bottom style="medium">
        <color theme="1" tint="0.34998626667073579"/>
      </bottom>
      <diagonal/>
    </border>
    <border>
      <left style="thin">
        <color indexed="64"/>
      </left>
      <right style="medium">
        <color theme="1"/>
      </right>
      <top/>
      <bottom style="medium">
        <color indexed="64"/>
      </bottom>
      <diagonal/>
    </border>
    <border>
      <left style="medium">
        <color theme="1"/>
      </left>
      <right style="thin">
        <color theme="1" tint="0.499984740745262"/>
      </right>
      <top style="thin">
        <color theme="1" tint="0.499984740745262"/>
      </top>
      <bottom style="medium">
        <color theme="1"/>
      </bottom>
      <diagonal/>
    </border>
    <border>
      <left style="thin">
        <color indexed="64"/>
      </left>
      <right style="medium">
        <color theme="1"/>
      </right>
      <top style="medium">
        <color indexed="64"/>
      </top>
      <bottom/>
      <diagonal/>
    </border>
    <border>
      <left style="thin">
        <color theme="1" tint="0.499984740745262"/>
      </left>
      <right style="thin">
        <color theme="1" tint="0.499984740745262"/>
      </right>
      <top/>
      <bottom style="medium">
        <color theme="1"/>
      </bottom>
      <diagonal/>
    </border>
    <border>
      <left style="thin">
        <color indexed="64"/>
      </left>
      <right style="thin">
        <color indexed="64"/>
      </right>
      <top style="medium">
        <color indexed="64"/>
      </top>
      <bottom style="thin">
        <color theme="1" tint="0.499984740745262"/>
      </bottom>
      <diagonal/>
    </border>
    <border>
      <left style="thin">
        <color theme="1" tint="0.499984740745262"/>
      </left>
      <right style="thin">
        <color theme="1" tint="0.499984740745262"/>
      </right>
      <top style="medium">
        <color theme="1"/>
      </top>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diagonal/>
    </border>
    <border>
      <left style="thin">
        <color theme="1" tint="0.34998626667073579"/>
      </left>
      <right style="medium">
        <color indexed="64"/>
      </right>
      <top style="medium">
        <color indexed="64"/>
      </top>
      <bottom/>
      <diagonal/>
    </border>
    <border>
      <left style="thin">
        <color theme="1" tint="0.34998626667073579"/>
      </left>
      <right style="medium">
        <color indexed="64"/>
      </right>
      <top/>
      <bottom/>
      <diagonal/>
    </border>
    <border>
      <left style="thin">
        <color theme="1" tint="0.34998626667073579"/>
      </left>
      <right style="medium">
        <color indexed="64"/>
      </right>
      <top/>
      <bottom style="medium">
        <color indexed="64"/>
      </bottom>
      <diagonal/>
    </border>
    <border>
      <left style="thin">
        <color indexed="64"/>
      </left>
      <right style="thin">
        <color indexed="64"/>
      </right>
      <top style="thin">
        <color theme="1" tint="0.499984740745262"/>
      </top>
      <bottom/>
      <diagonal/>
    </border>
    <border>
      <left/>
      <right style="thin">
        <color theme="1" tint="0.499984740745262"/>
      </right>
      <top style="medium">
        <color indexed="64"/>
      </top>
      <bottom style="thin">
        <color theme="1" tint="0.499984740745262"/>
      </bottom>
      <diagonal/>
    </border>
    <border>
      <left/>
      <right style="thin">
        <color theme="1" tint="0.499984740745262"/>
      </right>
      <top style="thin">
        <color theme="1" tint="0.499984740745262"/>
      </top>
      <bottom style="medium">
        <color indexed="64"/>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style="thin">
        <color theme="1" tint="0.499984740745262"/>
      </left>
      <right style="thin">
        <color theme="1" tint="0.499984740745262"/>
      </right>
      <top/>
      <bottom/>
      <diagonal/>
    </border>
    <border>
      <left style="thin">
        <color theme="1" tint="0.499984740745262"/>
      </left>
      <right style="medium">
        <color theme="1"/>
      </right>
      <top style="thin">
        <color theme="1" tint="0.499984740745262"/>
      </top>
      <bottom/>
      <diagonal/>
    </border>
    <border>
      <left style="thin">
        <color theme="1" tint="0.34998626667073579"/>
      </left>
      <right/>
      <top style="medium">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theme="1" tint="0.34998626667073579"/>
      </left>
      <right/>
      <top style="thin">
        <color theme="1" tint="0.34998626667073579"/>
      </top>
      <bottom/>
      <diagonal/>
    </border>
    <border>
      <left style="medium">
        <color theme="1"/>
      </left>
      <right style="thin">
        <color theme="1" tint="0.499984740745262"/>
      </right>
      <top style="thin">
        <color theme="1" tint="0.499984740745262"/>
      </top>
      <bottom/>
      <diagonal/>
    </border>
    <border>
      <left style="medium">
        <color indexed="64"/>
      </left>
      <right/>
      <top style="medium">
        <color indexed="64"/>
      </top>
      <bottom style="thin">
        <color rgb="FF000000"/>
      </bottom>
      <diagonal/>
    </border>
    <border>
      <left style="thin">
        <color theme="1" tint="0.34998626667073579"/>
      </left>
      <right/>
      <top style="medium">
        <color indexed="64"/>
      </top>
      <bottom style="thin">
        <color theme="1" tint="0.34998626667073579"/>
      </bottom>
      <diagonal/>
    </border>
    <border>
      <left style="thin">
        <color theme="1" tint="0.34998626667073579"/>
      </left>
      <right/>
      <top style="thin">
        <color theme="1" tint="0.34998626667073579"/>
      </top>
      <bottom style="medium">
        <color indexed="64"/>
      </bottom>
      <diagonal/>
    </border>
    <border>
      <left style="thin">
        <color rgb="FF000000"/>
      </left>
      <right style="thin">
        <color rgb="FF000000"/>
      </right>
      <top/>
      <bottom/>
      <diagonal/>
    </border>
    <border>
      <left style="thin">
        <color rgb="FF000000"/>
      </left>
      <right style="thin">
        <color indexed="64"/>
      </right>
      <top style="medium">
        <color indexed="64"/>
      </top>
      <bottom style="thin">
        <color rgb="FF000000"/>
      </bottom>
      <diagonal/>
    </border>
    <border>
      <left style="thin">
        <color indexed="64"/>
      </left>
      <right style="thin">
        <color indexed="64"/>
      </right>
      <top style="medium">
        <color indexed="64"/>
      </top>
      <bottom style="thin">
        <color rgb="FF000000"/>
      </bottom>
      <diagonal/>
    </border>
    <border>
      <left style="thin">
        <color indexed="64"/>
      </left>
      <right style="medium">
        <color indexed="64"/>
      </right>
      <top style="medium">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medium">
        <color indexed="64"/>
      </right>
      <top style="thin">
        <color rgb="FF000000"/>
      </top>
      <bottom style="thin">
        <color rgb="FF000000"/>
      </bottom>
      <diagonal/>
    </border>
    <border>
      <left style="thin">
        <color rgb="FF000000"/>
      </left>
      <right style="thin">
        <color indexed="64"/>
      </right>
      <top style="thin">
        <color rgb="FF000000"/>
      </top>
      <bottom style="medium">
        <color indexed="64"/>
      </bottom>
      <diagonal/>
    </border>
    <border>
      <left style="thin">
        <color indexed="64"/>
      </left>
      <right style="thin">
        <color indexed="64"/>
      </right>
      <top style="thin">
        <color rgb="FF000000"/>
      </top>
      <bottom style="medium">
        <color indexed="64"/>
      </bottom>
      <diagonal/>
    </border>
    <border>
      <left style="thin">
        <color indexed="64"/>
      </left>
      <right style="medium">
        <color indexed="64"/>
      </right>
      <top style="thin">
        <color rgb="FF000000"/>
      </top>
      <bottom style="medium">
        <color indexed="64"/>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thin">
        <color theme="1" tint="0.34998626667073579"/>
      </right>
      <top style="medium">
        <color theme="1" tint="0.34998626667073579"/>
      </top>
      <bottom/>
      <diagonal/>
    </border>
    <border>
      <left style="thin">
        <color theme="1" tint="0.34998626667073579"/>
      </left>
      <right style="thin">
        <color theme="1" tint="0.34998626667073579"/>
      </right>
      <top/>
      <bottom style="medium">
        <color indexed="64"/>
      </bottom>
      <diagonal/>
    </border>
    <border>
      <left style="medium">
        <color indexed="64"/>
      </left>
      <right style="thin">
        <color theme="1" tint="0.34998626667073579"/>
      </right>
      <top style="medium">
        <color indexed="64"/>
      </top>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top style="thin">
        <color rgb="FF000000"/>
      </top>
      <bottom/>
      <diagonal/>
    </border>
    <border>
      <left style="thin">
        <color rgb="FF000000"/>
      </left>
      <right style="thin">
        <color rgb="FF000000"/>
      </right>
      <top style="medium">
        <color indexed="64"/>
      </top>
      <bottom/>
      <diagonal/>
    </border>
    <border>
      <left style="thin">
        <color rgb="FF000000"/>
      </left>
      <right style="thin">
        <color rgb="FF000000"/>
      </right>
      <top/>
      <bottom style="medium">
        <color indexed="64"/>
      </bottom>
      <diagonal/>
    </border>
    <border>
      <left/>
      <right/>
      <top style="medium">
        <color indexed="64"/>
      </top>
      <bottom style="medium">
        <color indexed="64"/>
      </bottom>
      <diagonal/>
    </border>
    <border>
      <left/>
      <right style="thin">
        <color theme="1" tint="0.34998626667073579"/>
      </right>
      <top style="medium">
        <color indexed="64"/>
      </top>
      <bottom style="medium">
        <color indexed="64"/>
      </bottom>
      <diagonal/>
    </border>
    <border>
      <left style="medium">
        <color rgb="FF000000"/>
      </left>
      <right style="thin">
        <color indexed="64"/>
      </right>
      <top style="medium">
        <color rgb="FF000000"/>
      </top>
      <bottom style="thin">
        <color indexed="64"/>
      </bottom>
      <diagonal/>
    </border>
    <border>
      <left style="thin">
        <color theme="1" tint="0.34998626667073579"/>
      </left>
      <right style="thin">
        <color theme="1" tint="0.34998626667073579"/>
      </right>
      <top style="medium">
        <color rgb="FF000000"/>
      </top>
      <bottom style="thin">
        <color theme="1" tint="0.34998626667073579"/>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499984740745262"/>
      </left>
      <right style="medium">
        <color theme="1"/>
      </right>
      <top/>
      <bottom style="thin">
        <color theme="1" tint="0.499984740745262"/>
      </bottom>
      <diagonal/>
    </border>
    <border>
      <left style="medium">
        <color rgb="FF000000"/>
      </left>
      <right/>
      <top style="medium">
        <color rgb="FF000000"/>
      </top>
      <bottom style="thin">
        <color theme="1" tint="0.499984740745262"/>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theme="1" tint="0.499984740745262"/>
      </top>
      <bottom style="thin">
        <color theme="1" tint="0.499984740745262"/>
      </bottom>
      <diagonal/>
    </border>
    <border>
      <left style="thin">
        <color rgb="FF000000"/>
      </left>
      <right style="medium">
        <color rgb="FF000000"/>
      </right>
      <top style="thin">
        <color rgb="FF000000"/>
      </top>
      <bottom style="thin">
        <color rgb="FF000000"/>
      </bottom>
      <diagonal/>
    </border>
    <border>
      <left style="medium">
        <color rgb="FF000000"/>
      </left>
      <right/>
      <top style="thin">
        <color theme="1" tint="0.499984740745262"/>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theme="1" tint="0.34998626667073579"/>
      </left>
      <right/>
      <top style="medium">
        <color rgb="FF000000"/>
      </top>
      <bottom style="thin">
        <color theme="1" tint="0.34998626667073579"/>
      </bottom>
      <diagonal/>
    </border>
    <border>
      <left style="thin">
        <color theme="1" tint="0.34998626667073579"/>
      </left>
      <right/>
      <top style="thin">
        <color theme="1" tint="0.34998626667073579"/>
      </top>
      <bottom style="medium">
        <color rgb="FF000000"/>
      </bottom>
      <diagonal/>
    </border>
    <border>
      <left style="medium">
        <color theme="1"/>
      </left>
      <right style="thin">
        <color theme="1" tint="0.499984740745262"/>
      </right>
      <top/>
      <bottom style="thin">
        <color theme="1" tint="0.499984740745262"/>
      </bottom>
      <diagonal/>
    </border>
    <border>
      <left style="thin">
        <color rgb="FF595959"/>
      </left>
      <right style="thin">
        <color rgb="FF595959"/>
      </right>
      <top style="thin">
        <color rgb="FF595959"/>
      </top>
      <bottom/>
      <diagonal/>
    </border>
    <border>
      <left style="thin">
        <color theme="1" tint="0.34998626667073579"/>
      </left>
      <right style="medium">
        <color indexed="64"/>
      </right>
      <top style="medium">
        <color theme="1" tint="0.34998626667073579"/>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right/>
      <top style="medium">
        <color indexed="64"/>
      </top>
      <bottom style="thin">
        <color indexed="64"/>
      </bottom>
      <diagonal/>
    </border>
    <border>
      <left/>
      <right/>
      <top style="thin">
        <color indexed="64"/>
      </top>
      <bottom style="medium">
        <color indexed="64"/>
      </bottom>
      <diagonal/>
    </border>
    <border>
      <left/>
      <right/>
      <top/>
      <bottom style="thin">
        <color rgb="FF000000"/>
      </bottom>
      <diagonal/>
    </border>
    <border>
      <left style="thin">
        <color indexed="64"/>
      </left>
      <right/>
      <top/>
      <bottom style="thin">
        <color rgb="FF000000"/>
      </bottom>
      <diagonal/>
    </border>
    <border>
      <left style="thin">
        <color rgb="FF000000"/>
      </left>
      <right/>
      <top/>
      <bottom/>
      <diagonal/>
    </border>
    <border>
      <left style="thin">
        <color rgb="FF808080"/>
      </left>
      <right style="thin">
        <color rgb="FF000000"/>
      </right>
      <top style="thin">
        <color rgb="FF000000"/>
      </top>
      <bottom/>
      <diagonal/>
    </border>
    <border>
      <left style="thin">
        <color rgb="FF808080"/>
      </left>
      <right style="thin">
        <color rgb="FF000000"/>
      </right>
      <top/>
      <bottom/>
      <diagonal/>
    </border>
    <border>
      <left style="thin">
        <color rgb="FF808080"/>
      </left>
      <right style="thin">
        <color rgb="FF000000"/>
      </right>
      <top/>
      <bottom style="thin">
        <color rgb="FF808080"/>
      </bottom>
      <diagonal/>
    </border>
    <border>
      <left style="thin">
        <color rgb="FF808080"/>
      </left>
      <right style="thin">
        <color rgb="FF808080"/>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rgb="FF000000"/>
      </left>
      <right/>
      <top style="thin">
        <color rgb="FF595959"/>
      </top>
      <bottom/>
      <diagonal/>
    </border>
    <border>
      <left style="thin">
        <color rgb="FF808080"/>
      </left>
      <right/>
      <top style="thin">
        <color rgb="FF808080"/>
      </top>
      <bottom style="thin">
        <color rgb="FF808080"/>
      </bottom>
      <diagonal/>
    </border>
    <border>
      <left/>
      <right style="thin">
        <color indexed="64"/>
      </right>
      <top style="thin">
        <color rgb="FF808080"/>
      </top>
      <bottom style="thin">
        <color rgb="FF808080"/>
      </bottom>
      <diagonal/>
    </border>
    <border>
      <left style="thin">
        <color theme="1" tint="0.34998626667073579"/>
      </left>
      <right/>
      <top style="thin">
        <color indexed="64"/>
      </top>
      <bottom style="thin">
        <color theme="1" tint="0.34998626667073579"/>
      </bottom>
      <diagonal/>
    </border>
    <border>
      <left style="thin">
        <color rgb="FF000000"/>
      </left>
      <right style="thin">
        <color rgb="FF000000"/>
      </right>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style="medium">
        <color indexed="64"/>
      </top>
      <bottom style="thin">
        <color indexed="64"/>
      </bottom>
      <diagonal/>
    </border>
    <border>
      <left style="thin">
        <color indexed="64"/>
      </left>
      <right style="medium">
        <color rgb="FF000000"/>
      </right>
      <top style="medium">
        <color indexed="64"/>
      </top>
      <bottom style="thin">
        <color indexed="64"/>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thin">
        <color theme="1" tint="0.34998626667073579"/>
      </right>
      <top style="medium">
        <color theme="1" tint="0.34998626667073579"/>
      </top>
      <bottom/>
      <diagonal/>
    </border>
    <border>
      <left style="thin">
        <color indexed="64"/>
      </left>
      <right style="thin">
        <color theme="1" tint="0.34998626667073579"/>
      </right>
      <top/>
      <bottom/>
      <diagonal/>
    </border>
    <border>
      <left style="thin">
        <color indexed="64"/>
      </left>
      <right style="thin">
        <color theme="1" tint="0.34998626667073579"/>
      </right>
      <top/>
      <bottom style="medium">
        <color indexed="64"/>
      </bottom>
      <diagonal/>
    </border>
    <border>
      <left style="thin">
        <color indexed="64"/>
      </left>
      <right style="thin">
        <color theme="1" tint="0.34998626667073579"/>
      </right>
      <top style="medium">
        <color indexed="64"/>
      </top>
      <bottom/>
      <diagonal/>
    </border>
    <border>
      <left style="thin">
        <color indexed="64"/>
      </left>
      <right style="thin">
        <color theme="1" tint="0.34998626667073579"/>
      </right>
      <top/>
      <bottom style="medium">
        <color theme="1" tint="0.34998626667073579"/>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theme="1" tint="0.34998626667073579"/>
      </left>
      <right/>
      <top style="medium">
        <color theme="1" tint="0.34998626667073579"/>
      </top>
      <bottom/>
      <diagonal/>
    </border>
    <border>
      <left/>
      <right/>
      <top style="medium">
        <color theme="1" tint="0.34998626667073579"/>
      </top>
      <bottom/>
      <diagonal/>
    </border>
    <border>
      <left/>
      <right style="thin">
        <color theme="1" tint="0.34998626667073579"/>
      </right>
      <top style="medium">
        <color theme="1" tint="0.34998626667073579"/>
      </top>
      <bottom/>
      <diagonal/>
    </border>
    <border>
      <left style="thin">
        <color theme="1" tint="0.34998626667073579"/>
      </left>
      <right style="medium">
        <color theme="1" tint="0.34998626667073579"/>
      </right>
      <top style="medium">
        <color indexed="64"/>
      </top>
      <bottom style="thin">
        <color theme="1" tint="0.34998626667073579"/>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indexed="64"/>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diagonal/>
    </border>
    <border>
      <left style="medium">
        <color indexed="64"/>
      </left>
      <right style="thin">
        <color theme="1" tint="0.34998626667073579"/>
      </right>
      <top/>
      <bottom style="thin">
        <color theme="1" tint="0.34998626667073579"/>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diagonal/>
    </border>
    <border>
      <left style="thin">
        <color theme="1" tint="0.34998626667073579"/>
      </left>
      <right style="thin">
        <color theme="1" tint="0.34998626667073579"/>
      </right>
      <top style="medium">
        <color rgb="FF000000"/>
      </top>
      <bottom style="thin">
        <color indexed="64"/>
      </bottom>
      <diagonal/>
    </border>
    <border>
      <left style="medium">
        <color rgb="FF000000"/>
      </left>
      <right style="thin">
        <color theme="1" tint="0.34998626667073579"/>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theme="1" tint="0.34998626667073579"/>
      </left>
      <right style="thin">
        <color theme="1" tint="0.34998626667073579"/>
      </right>
      <top style="thin">
        <color indexed="64"/>
      </top>
      <bottom style="medium">
        <color rgb="FF000000"/>
      </bottom>
      <diagonal/>
    </border>
    <border>
      <left style="thin">
        <color theme="1" tint="0.34998626667073579"/>
      </left>
      <right style="medium">
        <color rgb="FF000000"/>
      </right>
      <top/>
      <bottom style="thin">
        <color theme="1" tint="0.34998626667073579"/>
      </bottom>
      <diagonal/>
    </border>
    <border>
      <left style="thin">
        <color theme="1" tint="0.34998626667073579"/>
      </left>
      <right style="medium">
        <color rgb="FF000000"/>
      </right>
      <top/>
      <bottom style="medium">
        <color rgb="FF000000"/>
      </bottom>
      <diagonal/>
    </border>
    <border>
      <left style="thin">
        <color theme="1" tint="0.34998626667073579"/>
      </left>
      <right/>
      <top style="thin">
        <color theme="1" tint="0.34998626667073579"/>
      </top>
      <bottom style="medium">
        <color theme="1" tint="0.34998626667073579"/>
      </bottom>
      <diagonal/>
    </border>
    <border>
      <left style="thin">
        <color theme="1" tint="0.34998626667073579"/>
      </left>
      <right/>
      <top/>
      <bottom style="thin">
        <color theme="1" tint="0.34998626667073579"/>
      </bottom>
      <diagonal/>
    </border>
    <border>
      <left style="medium">
        <color rgb="FF000000"/>
      </left>
      <right style="thin">
        <color theme="1" tint="0.34998626667073579"/>
      </right>
      <top/>
      <bottom style="thin">
        <color theme="1" tint="0.34998626667073579"/>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rgb="FF000000"/>
      </left>
      <right style="medium">
        <color indexed="64"/>
      </right>
      <top/>
      <bottom style="medium">
        <color indexed="64"/>
      </bottom>
      <diagonal/>
    </border>
    <border>
      <left style="thin">
        <color rgb="FF000000"/>
      </left>
      <right style="medium">
        <color indexed="64"/>
      </right>
      <top/>
      <bottom/>
      <diagonal/>
    </border>
  </borders>
  <cellStyleXfs count="14">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2" fillId="0" borderId="0"/>
    <xf numFmtId="0" fontId="14" fillId="0" borderId="0" applyNumberFormat="0" applyFill="0" applyBorder="0" applyAlignment="0" applyProtection="0"/>
    <xf numFmtId="0" fontId="6" fillId="0" borderId="0"/>
    <xf numFmtId="0" fontId="6" fillId="0" borderId="0"/>
    <xf numFmtId="0" fontId="45" fillId="0" borderId="0"/>
  </cellStyleXfs>
  <cellXfs count="1276">
    <xf numFmtId="0" fontId="0" fillId="0" borderId="0" xfId="0"/>
    <xf numFmtId="0" fontId="10" fillId="0" borderId="0" xfId="0" applyFont="1"/>
    <xf numFmtId="0" fontId="10"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horizontal="center" vertical="center"/>
    </xf>
    <xf numFmtId="0" fontId="6" fillId="0" borderId="0" xfId="0" applyFont="1" applyAlignment="1">
      <alignment horizontal="center" vertical="center" wrapText="1"/>
    </xf>
    <xf numFmtId="0" fontId="14" fillId="0" borderId="0" xfId="5" applyFont="1"/>
    <xf numFmtId="0" fontId="13" fillId="0" borderId="0" xfId="0" applyFont="1" applyAlignment="1">
      <alignment vertical="center"/>
    </xf>
    <xf numFmtId="0" fontId="1" fillId="0" borderId="2" xfId="1" applyBorder="1" applyAlignment="1">
      <alignment vertical="center" wrapText="1"/>
    </xf>
    <xf numFmtId="3" fontId="1" fillId="0" borderId="2" xfId="1" applyNumberFormat="1" applyBorder="1" applyAlignment="1">
      <alignment horizontal="center" vertical="center" wrapText="1"/>
    </xf>
    <xf numFmtId="0" fontId="1" fillId="0" borderId="2" xfId="1" applyBorder="1" applyAlignment="1">
      <alignment vertical="center"/>
    </xf>
    <xf numFmtId="0" fontId="6" fillId="0" borderId="2" xfId="0" applyFont="1" applyBorder="1" applyAlignment="1">
      <alignment vertical="center"/>
    </xf>
    <xf numFmtId="0" fontId="6" fillId="0" borderId="2" xfId="0" applyFont="1" applyBorder="1" applyAlignment="1">
      <alignment vertical="center" wrapText="1"/>
    </xf>
    <xf numFmtId="0" fontId="17" fillId="6" borderId="2" xfId="0" applyFont="1" applyFill="1" applyBorder="1" applyAlignment="1">
      <alignment vertical="center"/>
    </xf>
    <xf numFmtId="0" fontId="17" fillId="6" borderId="2" xfId="0" applyFont="1" applyFill="1" applyBorder="1" applyAlignment="1">
      <alignment horizontal="left" vertical="center"/>
    </xf>
    <xf numFmtId="3" fontId="6" fillId="0" borderId="2" xfId="7" applyNumberFormat="1" applyFont="1" applyBorder="1" applyAlignment="1">
      <alignment horizontal="center" vertical="center"/>
    </xf>
    <xf numFmtId="3" fontId="9" fillId="0" borderId="2" xfId="3" applyNumberFormat="1" applyFont="1" applyBorder="1" applyAlignment="1">
      <alignment horizontal="center" vertical="center" wrapText="1"/>
    </xf>
    <xf numFmtId="3" fontId="9" fillId="0" borderId="2" xfId="3" applyNumberFormat="1" applyFont="1" applyFill="1" applyBorder="1" applyAlignment="1">
      <alignment horizontal="center" vertical="center" wrapText="1"/>
    </xf>
    <xf numFmtId="0" fontId="1" fillId="0" borderId="0" xfId="0" applyFont="1" applyAlignment="1">
      <alignment vertical="top"/>
    </xf>
    <xf numFmtId="0" fontId="6" fillId="0" borderId="0" xfId="0" applyFont="1" applyAlignment="1">
      <alignment horizontal="center" vertical="top" wrapText="1"/>
    </xf>
    <xf numFmtId="168" fontId="14" fillId="0" borderId="0" xfId="5" applyNumberFormat="1" applyFont="1" applyAlignment="1">
      <alignment horizontal="left" vertical="top"/>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18" fillId="6" borderId="2" xfId="0" applyFont="1" applyFill="1" applyBorder="1" applyAlignment="1">
      <alignment horizontal="center" vertical="center" wrapText="1"/>
    </xf>
    <xf numFmtId="0" fontId="17" fillId="6" borderId="2" xfId="0" applyFont="1" applyFill="1" applyBorder="1" applyAlignment="1">
      <alignment horizontal="center" vertical="center"/>
    </xf>
    <xf numFmtId="9" fontId="6" fillId="0" borderId="0" xfId="2" applyFont="1" applyFill="1" applyBorder="1" applyAlignment="1">
      <alignment horizontal="center" vertical="center"/>
    </xf>
    <xf numFmtId="1" fontId="6" fillId="0" borderId="0" xfId="0" applyNumberFormat="1" applyFont="1"/>
    <xf numFmtId="9" fontId="6" fillId="0" borderId="0" xfId="2" applyFont="1" applyFill="1" applyBorder="1"/>
    <xf numFmtId="9" fontId="6" fillId="0" borderId="0" xfId="0" applyNumberFormat="1" applyFont="1"/>
    <xf numFmtId="9" fontId="7" fillId="0" borderId="0" xfId="2" applyFont="1" applyFill="1" applyBorder="1"/>
    <xf numFmtId="164" fontId="6" fillId="0" borderId="0" xfId="0" applyNumberFormat="1" applyFont="1"/>
    <xf numFmtId="9" fontId="6" fillId="0" borderId="0" xfId="0" applyNumberFormat="1" applyFont="1" applyAlignment="1">
      <alignment vertical="center"/>
    </xf>
    <xf numFmtId="0" fontId="7" fillId="0" borderId="0" xfId="0" applyFont="1" applyAlignment="1">
      <alignment vertical="center"/>
    </xf>
    <xf numFmtId="0" fontId="19" fillId="0" borderId="0" xfId="0" applyFont="1" applyAlignment="1">
      <alignment wrapText="1"/>
    </xf>
    <xf numFmtId="0" fontId="20" fillId="0" borderId="0" xfId="0" applyFont="1" applyAlignment="1">
      <alignment horizontal="center" vertical="center"/>
    </xf>
    <xf numFmtId="0" fontId="23" fillId="4" borderId="0" xfId="0" applyFont="1" applyFill="1" applyAlignment="1">
      <alignment vertical="center" wrapText="1"/>
    </xf>
    <xf numFmtId="0" fontId="20" fillId="4" borderId="0" xfId="0" applyFont="1" applyFill="1" applyAlignment="1">
      <alignment horizontal="center" vertical="center"/>
    </xf>
    <xf numFmtId="165" fontId="20" fillId="4" borderId="0" xfId="0" applyNumberFormat="1" applyFont="1" applyFill="1" applyAlignment="1">
      <alignment horizontal="center" vertical="center"/>
    </xf>
    <xf numFmtId="0" fontId="21" fillId="0" borderId="0" xfId="0" applyFont="1" applyAlignment="1">
      <alignment horizontal="left"/>
    </xf>
    <xf numFmtId="0" fontId="22" fillId="0" borderId="0" xfId="0" applyFont="1" applyAlignment="1">
      <alignment horizontal="left" vertical="center" wrapText="1"/>
    </xf>
    <xf numFmtId="0" fontId="22" fillId="0" borderId="0" xfId="0" applyFont="1" applyAlignment="1">
      <alignment horizontal="left" vertical="center"/>
    </xf>
    <xf numFmtId="0" fontId="22"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0" fontId="7" fillId="2" borderId="0" xfId="0" applyFont="1" applyFill="1" applyAlignment="1">
      <alignment horizontal="center" vertical="center"/>
    </xf>
    <xf numFmtId="168" fontId="20" fillId="0" borderId="0" xfId="0" applyNumberFormat="1" applyFont="1" applyAlignment="1">
      <alignment horizontal="center" vertical="center"/>
    </xf>
    <xf numFmtId="3" fontId="6" fillId="0" borderId="0" xfId="7" applyNumberFormat="1" applyFont="1" applyAlignment="1">
      <alignment horizontal="center" vertical="center"/>
    </xf>
    <xf numFmtId="0" fontId="24" fillId="0" borderId="0" xfId="0" applyFont="1"/>
    <xf numFmtId="0" fontId="24" fillId="0" borderId="0" xfId="0" applyFont="1" applyAlignment="1">
      <alignment wrapText="1"/>
    </xf>
    <xf numFmtId="0" fontId="24"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19" fillId="0" borderId="0" xfId="0" applyFont="1" applyAlignment="1">
      <alignment horizontal="left" vertical="center" wrapText="1"/>
    </xf>
    <xf numFmtId="0" fontId="9" fillId="0" borderId="2" xfId="3" applyFont="1" applyFill="1" applyBorder="1" applyAlignment="1">
      <alignment horizontal="left" vertical="top" wrapText="1"/>
    </xf>
    <xf numFmtId="0" fontId="9" fillId="0" borderId="2" xfId="3" applyFont="1" applyFill="1" applyBorder="1" applyAlignment="1">
      <alignment horizontal="center" vertical="center" wrapText="1"/>
    </xf>
    <xf numFmtId="169" fontId="9" fillId="0" borderId="2" xfId="6" applyNumberFormat="1" applyFont="1" applyBorder="1" applyAlignment="1">
      <alignment horizontal="center" vertical="center" wrapText="1"/>
    </xf>
    <xf numFmtId="1" fontId="10" fillId="0" borderId="2" xfId="0" applyNumberFormat="1" applyFont="1" applyBorder="1" applyAlignment="1">
      <alignment horizontal="center" vertical="center"/>
    </xf>
    <xf numFmtId="0" fontId="10" fillId="0" borderId="2" xfId="0" applyFont="1" applyBorder="1" applyAlignment="1">
      <alignment horizontal="center" vertical="center"/>
    </xf>
    <xf numFmtId="0" fontId="10" fillId="0" borderId="2" xfId="0" applyFont="1" applyBorder="1" applyAlignment="1">
      <alignment horizontal="center" vertical="center" wrapText="1"/>
    </xf>
    <xf numFmtId="43" fontId="10" fillId="0" borderId="2" xfId="0" applyNumberFormat="1" applyFont="1" applyBorder="1" applyAlignment="1">
      <alignment horizontal="center" vertical="center"/>
    </xf>
    <xf numFmtId="2" fontId="10" fillId="0" borderId="2" xfId="0" applyNumberFormat="1" applyFont="1" applyBorder="1" applyAlignment="1">
      <alignment horizontal="center" vertical="center"/>
    </xf>
    <xf numFmtId="0" fontId="19" fillId="0" borderId="0" xfId="0" applyFont="1" applyAlignment="1">
      <alignment vertical="center" wrapText="1"/>
    </xf>
    <xf numFmtId="0" fontId="0" fillId="0" borderId="0" xfId="0" applyAlignment="1">
      <alignment vertical="center" wrapText="1"/>
    </xf>
    <xf numFmtId="0" fontId="0" fillId="0" borderId="20" xfId="0" applyBorder="1"/>
    <xf numFmtId="0" fontId="0" fillId="0" borderId="21" xfId="0" applyBorder="1"/>
    <xf numFmtId="0" fontId="0" fillId="0" borderId="22" xfId="0" applyBorder="1"/>
    <xf numFmtId="0" fontId="0" fillId="0" borderId="17" xfId="0" applyBorder="1"/>
    <xf numFmtId="0" fontId="0" fillId="0" borderId="18" xfId="0" applyBorder="1"/>
    <xf numFmtId="16" fontId="0" fillId="0" borderId="17" xfId="0" applyNumberFormat="1" applyBorder="1"/>
    <xf numFmtId="0" fontId="11" fillId="0" borderId="0" xfId="0" applyFont="1" applyAlignment="1">
      <alignment vertical="center"/>
    </xf>
    <xf numFmtId="0" fontId="10" fillId="0" borderId="0" xfId="0" applyFont="1" applyAlignment="1">
      <alignment horizontal="center"/>
    </xf>
    <xf numFmtId="0" fontId="6" fillId="0" borderId="2" xfId="0" applyFont="1" applyBorder="1"/>
    <xf numFmtId="0" fontId="11" fillId="0" borderId="0" xfId="0" applyFont="1" applyAlignment="1">
      <alignment vertical="center" wrapText="1"/>
    </xf>
    <xf numFmtId="43" fontId="6" fillId="0" borderId="0" xfId="0" applyNumberFormat="1" applyFont="1"/>
    <xf numFmtId="0" fontId="17" fillId="6" borderId="1" xfId="0" applyFont="1" applyFill="1" applyBorder="1" applyAlignment="1">
      <alignment horizontal="center" vertical="center" wrapText="1"/>
    </xf>
    <xf numFmtId="0" fontId="9" fillId="0" borderId="8" xfId="3" applyFont="1" applyBorder="1" applyAlignment="1">
      <alignment horizontal="left" vertical="center" wrapText="1"/>
    </xf>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0" fontId="7" fillId="6" borderId="39" xfId="0" applyFont="1" applyFill="1" applyBorder="1" applyAlignment="1">
      <alignment horizontal="center" vertical="center"/>
    </xf>
    <xf numFmtId="0" fontId="7" fillId="6" borderId="38" xfId="0" applyFont="1" applyFill="1" applyBorder="1" applyAlignment="1">
      <alignment horizontal="center" vertical="center" wrapText="1"/>
    </xf>
    <xf numFmtId="0" fontId="7" fillId="6" borderId="40" xfId="0" applyFont="1" applyFill="1" applyBorder="1" applyAlignment="1">
      <alignment horizontal="center" vertical="center"/>
    </xf>
    <xf numFmtId="1" fontId="9" fillId="0" borderId="6" xfId="3" applyNumberFormat="1" applyFont="1" applyBorder="1" applyAlignment="1">
      <alignment horizontal="left" vertical="center" wrapText="1"/>
    </xf>
    <xf numFmtId="0" fontId="9" fillId="0" borderId="6" xfId="3" applyFont="1" applyBorder="1" applyAlignment="1">
      <alignment horizontal="left" vertical="center" wrapText="1"/>
    </xf>
    <xf numFmtId="0" fontId="9" fillId="0" borderId="6" xfId="3" applyFont="1" applyFill="1" applyBorder="1" applyAlignment="1">
      <alignment horizontal="left" vertical="center" wrapText="1"/>
    </xf>
    <xf numFmtId="169" fontId="9" fillId="0" borderId="30" xfId="6" applyNumberFormat="1" applyFont="1" applyBorder="1" applyAlignment="1">
      <alignment horizontal="center" vertical="center" wrapText="1"/>
    </xf>
    <xf numFmtId="0" fontId="10" fillId="0" borderId="30" xfId="0" applyFont="1" applyBorder="1" applyAlignment="1">
      <alignment horizontal="center" vertical="center"/>
    </xf>
    <xf numFmtId="0" fontId="9" fillId="0" borderId="2" xfId="3" applyFont="1" applyBorder="1" applyAlignment="1">
      <alignment horizontal="center" vertical="center" wrapText="1"/>
    </xf>
    <xf numFmtId="0" fontId="9" fillId="0" borderId="2" xfId="3" applyFont="1" applyBorder="1" applyAlignment="1">
      <alignment horizontal="left" vertical="top" wrapText="1"/>
    </xf>
    <xf numFmtId="0" fontId="25" fillId="0" borderId="0" xfId="0" applyFont="1"/>
    <xf numFmtId="0" fontId="24" fillId="2" borderId="0" xfId="0" applyFont="1" applyFill="1"/>
    <xf numFmtId="169" fontId="10" fillId="0" borderId="30" xfId="6" applyNumberFormat="1" applyFont="1" applyBorder="1" applyAlignment="1">
      <alignment horizontal="center" vertical="center"/>
    </xf>
    <xf numFmtId="0" fontId="32" fillId="0" borderId="0" xfId="0" applyFont="1"/>
    <xf numFmtId="0" fontId="28" fillId="0" borderId="0" xfId="0" applyFont="1"/>
    <xf numFmtId="0" fontId="28" fillId="0" borderId="0" xfId="0" applyFont="1" applyAlignment="1">
      <alignment vertical="center"/>
    </xf>
    <xf numFmtId="0" fontId="7" fillId="2" borderId="0" xfId="0" applyFont="1" applyFill="1" applyAlignment="1">
      <alignment vertical="center"/>
    </xf>
    <xf numFmtId="169" fontId="10" fillId="0" borderId="7" xfId="6" applyNumberFormat="1" applyFont="1" applyFill="1" applyBorder="1" applyAlignment="1">
      <alignment horizontal="center" vertical="center"/>
    </xf>
    <xf numFmtId="169" fontId="10" fillId="0" borderId="9" xfId="6" applyNumberFormat="1" applyFont="1" applyBorder="1" applyAlignment="1">
      <alignment horizontal="center" vertical="center"/>
    </xf>
    <xf numFmtId="0" fontId="21" fillId="0" borderId="0" xfId="0" applyFont="1" applyAlignment="1">
      <alignment wrapText="1"/>
    </xf>
    <xf numFmtId="0" fontId="10" fillId="0" borderId="0" xfId="0" applyFont="1" applyAlignment="1">
      <alignment vertical="center"/>
    </xf>
    <xf numFmtId="0" fontId="6" fillId="0" borderId="0" xfId="0" applyFont="1" applyAlignment="1">
      <alignment wrapText="1"/>
    </xf>
    <xf numFmtId="0" fontId="33" fillId="0" borderId="37" xfId="0" applyFont="1" applyBorder="1" applyAlignment="1">
      <alignment horizontal="left" vertical="top" wrapText="1"/>
    </xf>
    <xf numFmtId="3" fontId="33" fillId="0" borderId="37" xfId="0" applyNumberFormat="1" applyFont="1" applyBorder="1" applyAlignment="1">
      <alignment horizontal="center" vertical="center" wrapText="1"/>
    </xf>
    <xf numFmtId="0" fontId="21" fillId="0" borderId="0" xfId="0" applyFont="1" applyAlignment="1">
      <alignment horizontal="center" vertical="center" wrapText="1"/>
    </xf>
    <xf numFmtId="0" fontId="17" fillId="9" borderId="2" xfId="0" applyFont="1" applyFill="1" applyBorder="1" applyAlignment="1">
      <alignment horizontal="center" vertical="center" wrapText="1"/>
    </xf>
    <xf numFmtId="0" fontId="22" fillId="0" borderId="0" xfId="0" applyFont="1" applyAlignment="1">
      <alignment horizontal="center" vertical="center"/>
    </xf>
    <xf numFmtId="0" fontId="17" fillId="0" borderId="0" xfId="0" applyFont="1" applyAlignment="1">
      <alignment horizontal="center" vertical="center" wrapText="1"/>
    </xf>
    <xf numFmtId="0" fontId="1" fillId="0" borderId="0" xfId="0" applyFont="1" applyAlignment="1">
      <alignment horizontal="center" vertical="center" wrapText="1"/>
    </xf>
    <xf numFmtId="0" fontId="15" fillId="0" borderId="0" xfId="0" applyFont="1"/>
    <xf numFmtId="172" fontId="31" fillId="0" borderId="0" xfId="0" applyNumberFormat="1" applyFont="1"/>
    <xf numFmtId="3" fontId="6" fillId="0" borderId="0" xfId="0" applyNumberFormat="1" applyFont="1"/>
    <xf numFmtId="169" fontId="6" fillId="0" borderId="0" xfId="6" applyNumberFormat="1" applyFont="1"/>
    <xf numFmtId="0" fontId="22" fillId="9" borderId="2" xfId="0" applyFont="1" applyFill="1" applyBorder="1" applyAlignment="1">
      <alignment horizontal="center" vertical="center" wrapText="1"/>
    </xf>
    <xf numFmtId="3" fontId="6" fillId="0" borderId="3" xfId="7" applyNumberFormat="1" applyFont="1" applyBorder="1" applyAlignment="1">
      <alignment horizontal="center" vertical="center"/>
    </xf>
    <xf numFmtId="0" fontId="18" fillId="6" borderId="12" xfId="0" applyFont="1" applyFill="1" applyBorder="1" applyAlignment="1">
      <alignment horizontal="center" vertical="center" wrapText="1"/>
    </xf>
    <xf numFmtId="1" fontId="1" fillId="0" borderId="23" xfId="7" applyNumberFormat="1" applyFont="1" applyBorder="1" applyAlignment="1">
      <alignment horizontal="center" vertical="center"/>
    </xf>
    <xf numFmtId="0" fontId="6" fillId="0" borderId="23" xfId="0" applyFont="1" applyBorder="1"/>
    <xf numFmtId="167" fontId="6" fillId="0" borderId="23" xfId="0" applyNumberFormat="1" applyFont="1" applyBorder="1"/>
    <xf numFmtId="0" fontId="7" fillId="0" borderId="0" xfId="0" applyFont="1" applyAlignment="1">
      <alignment horizontal="center" vertical="center" wrapText="1"/>
    </xf>
    <xf numFmtId="0" fontId="7" fillId="6" borderId="23" xfId="0" applyFont="1" applyFill="1" applyBorder="1" applyAlignment="1">
      <alignment horizontal="center" vertical="center" wrapText="1"/>
    </xf>
    <xf numFmtId="0" fontId="8" fillId="0" borderId="23" xfId="5" applyBorder="1" applyAlignment="1">
      <alignment horizontal="center" vertical="center"/>
    </xf>
    <xf numFmtId="0" fontId="21" fillId="0" borderId="2" xfId="0" applyFont="1" applyBorder="1" applyAlignment="1">
      <alignment horizontal="center" vertical="center" wrapText="1"/>
    </xf>
    <xf numFmtId="0" fontId="21" fillId="0" borderId="19" xfId="0" applyFont="1" applyBorder="1" applyAlignment="1">
      <alignment horizontal="center" vertical="center" wrapText="1"/>
    </xf>
    <xf numFmtId="0" fontId="17" fillId="6" borderId="23" xfId="0" applyFont="1" applyFill="1" applyBorder="1" applyAlignment="1">
      <alignment horizontal="center" vertical="center" wrapText="1"/>
    </xf>
    <xf numFmtId="3" fontId="6" fillId="0" borderId="23" xfId="0" applyNumberFormat="1" applyFont="1" applyBorder="1" applyAlignment="1">
      <alignment horizontal="center" vertical="center"/>
    </xf>
    <xf numFmtId="0" fontId="22" fillId="6" borderId="23" xfId="0" applyFont="1" applyFill="1" applyBorder="1" applyAlignment="1">
      <alignment horizontal="left" vertical="center" wrapText="1"/>
    </xf>
    <xf numFmtId="0" fontId="6" fillId="0" borderId="23" xfId="0" applyFont="1" applyBorder="1" applyAlignment="1">
      <alignment vertical="center"/>
    </xf>
    <xf numFmtId="172" fontId="6" fillId="0" borderId="23" xfId="0" applyNumberFormat="1" applyFont="1" applyBorder="1" applyAlignment="1">
      <alignment vertical="center"/>
    </xf>
    <xf numFmtId="172" fontId="1" fillId="0" borderId="23" xfId="0" applyNumberFormat="1" applyFont="1" applyBorder="1" applyAlignment="1">
      <alignment vertical="center"/>
    </xf>
    <xf numFmtId="0" fontId="21" fillId="0" borderId="44" xfId="0" applyFont="1" applyBorder="1" applyAlignment="1">
      <alignment horizontal="center" vertical="center"/>
    </xf>
    <xf numFmtId="0" fontId="21" fillId="0" borderId="51" xfId="0" applyFont="1" applyBorder="1" applyAlignment="1">
      <alignment horizontal="center" vertical="center"/>
    </xf>
    <xf numFmtId="0" fontId="21" fillId="0" borderId="22" xfId="0" applyFont="1" applyBorder="1" applyAlignment="1">
      <alignment horizontal="left" vertical="center" wrapText="1"/>
    </xf>
    <xf numFmtId="1" fontId="9" fillId="0" borderId="23" xfId="3" applyNumberFormat="1" applyFont="1" applyBorder="1" applyAlignment="1">
      <alignment horizontal="left" vertical="center" wrapText="1"/>
    </xf>
    <xf numFmtId="0" fontId="22" fillId="9" borderId="23" xfId="0" applyFont="1" applyFill="1" applyBorder="1" applyAlignment="1">
      <alignment horizontal="center" vertical="center" wrapText="1"/>
    </xf>
    <xf numFmtId="0" fontId="22" fillId="9" borderId="23" xfId="0" applyFont="1" applyFill="1" applyBorder="1" applyAlignment="1">
      <alignment horizontal="center" vertical="center"/>
    </xf>
    <xf numFmtId="0" fontId="9" fillId="0" borderId="23" xfId="3" applyFont="1" applyBorder="1" applyAlignment="1">
      <alignment horizontal="left" vertical="center" wrapText="1"/>
    </xf>
    <xf numFmtId="0" fontId="17" fillId="9" borderId="23" xfId="0" applyFont="1" applyFill="1" applyBorder="1" applyAlignment="1">
      <alignment horizontal="center" vertical="center" wrapText="1"/>
    </xf>
    <xf numFmtId="3" fontId="6" fillId="0" borderId="23" xfId="7" applyNumberFormat="1" applyFont="1" applyBorder="1" applyAlignment="1">
      <alignment horizontal="center" vertical="center"/>
    </xf>
    <xf numFmtId="43" fontId="21" fillId="0" borderId="23" xfId="6" applyFont="1" applyBorder="1" applyAlignment="1">
      <alignment horizontal="center" vertical="center" wrapText="1"/>
    </xf>
    <xf numFmtId="169" fontId="21" fillId="0" borderId="23" xfId="6" applyNumberFormat="1" applyFont="1" applyBorder="1" applyAlignment="1">
      <alignment horizontal="center" vertical="center"/>
    </xf>
    <xf numFmtId="169" fontId="21" fillId="0" borderId="23" xfId="6" applyNumberFormat="1" applyFont="1" applyBorder="1" applyAlignment="1">
      <alignment horizontal="center" vertical="center" wrapText="1"/>
    </xf>
    <xf numFmtId="169" fontId="21" fillId="0" borderId="23" xfId="0" applyNumberFormat="1" applyFont="1" applyBorder="1" applyAlignment="1">
      <alignment vertical="center"/>
    </xf>
    <xf numFmtId="0" fontId="10" fillId="0" borderId="23" xfId="0" applyFont="1" applyBorder="1"/>
    <xf numFmtId="4" fontId="6" fillId="0" borderId="23" xfId="7" applyNumberFormat="1" applyFont="1" applyBorder="1" applyAlignment="1">
      <alignment horizontal="center" vertical="center"/>
    </xf>
    <xf numFmtId="0" fontId="13" fillId="0" borderId="23" xfId="0" applyFont="1" applyBorder="1"/>
    <xf numFmtId="173" fontId="6" fillId="0" borderId="23" xfId="7" applyNumberFormat="1" applyFont="1" applyBorder="1" applyAlignment="1">
      <alignment horizontal="center" vertical="center"/>
    </xf>
    <xf numFmtId="0" fontId="9" fillId="0" borderId="23" xfId="3" applyFont="1" applyBorder="1" applyAlignment="1">
      <alignment horizontal="center" vertical="center" wrapText="1"/>
    </xf>
    <xf numFmtId="0" fontId="1" fillId="0" borderId="23" xfId="0" quotePrefix="1" applyFont="1" applyBorder="1" applyAlignment="1">
      <alignment horizontal="center" vertical="center" wrapText="1"/>
    </xf>
    <xf numFmtId="0" fontId="6" fillId="0" borderId="23" xfId="0" applyFont="1" applyBorder="1" applyAlignment="1">
      <alignment horizontal="left" vertical="center" wrapText="1"/>
    </xf>
    <xf numFmtId="0" fontId="1" fillId="0" borderId="23" xfId="0" applyFont="1" applyBorder="1" applyAlignment="1">
      <alignment horizontal="center" vertical="center"/>
    </xf>
    <xf numFmtId="0" fontId="22" fillId="0" borderId="23" xfId="0" applyFont="1" applyBorder="1" applyAlignment="1">
      <alignment horizontal="center" vertical="center"/>
    </xf>
    <xf numFmtId="0" fontId="6" fillId="0" borderId="43" xfId="0" applyFont="1" applyBorder="1"/>
    <xf numFmtId="0" fontId="6" fillId="0" borderId="24" xfId="0" applyFont="1" applyBorder="1"/>
    <xf numFmtId="169" fontId="6" fillId="0" borderId="23" xfId="6" applyNumberFormat="1" applyFont="1" applyBorder="1" applyAlignment="1">
      <alignment horizontal="left" vertical="center" wrapText="1"/>
    </xf>
    <xf numFmtId="169" fontId="6" fillId="0" borderId="23" xfId="6" applyNumberFormat="1" applyFont="1" applyBorder="1" applyAlignment="1">
      <alignment horizontal="left" vertical="center"/>
    </xf>
    <xf numFmtId="43" fontId="6" fillId="0" borderId="23" xfId="6" applyFont="1" applyBorder="1" applyAlignment="1">
      <alignment horizontal="left" vertical="center"/>
    </xf>
    <xf numFmtId="170" fontId="6" fillId="0" borderId="23" xfId="6" applyNumberFormat="1" applyFont="1" applyBorder="1" applyAlignment="1">
      <alignment horizontal="left" vertical="center"/>
    </xf>
    <xf numFmtId="169" fontId="1" fillId="0" borderId="23" xfId="6" applyNumberFormat="1" applyFont="1" applyBorder="1" applyAlignment="1">
      <alignment horizontal="left" vertical="center"/>
    </xf>
    <xf numFmtId="0" fontId="10" fillId="0" borderId="0" xfId="0" applyFont="1" applyAlignment="1">
      <alignment wrapText="1"/>
    </xf>
    <xf numFmtId="0" fontId="6" fillId="0" borderId="23" xfId="0" quotePrefix="1" applyFont="1" applyBorder="1" applyAlignment="1">
      <alignment horizontal="center" vertical="center" wrapText="1"/>
    </xf>
    <xf numFmtId="0" fontId="17" fillId="6" borderId="12" xfId="0" applyFont="1" applyFill="1" applyBorder="1" applyAlignment="1">
      <alignment horizontal="center" vertical="center" wrapText="1"/>
    </xf>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9" xfId="0" applyFont="1" applyBorder="1" applyAlignment="1">
      <alignment horizontal="center" vertical="center"/>
    </xf>
    <xf numFmtId="0" fontId="6" fillId="0" borderId="29"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25" xfId="0" applyFont="1" applyBorder="1" applyAlignment="1">
      <alignment horizontal="center" vertical="center"/>
    </xf>
    <xf numFmtId="2" fontId="6" fillId="0" borderId="1" xfId="0" applyNumberFormat="1" applyFont="1" applyBorder="1" applyAlignment="1">
      <alignment horizontal="center" vertical="center"/>
    </xf>
    <xf numFmtId="2" fontId="6" fillId="0" borderId="5" xfId="0" applyNumberFormat="1" applyFont="1" applyBorder="1" applyAlignment="1">
      <alignment horizontal="center" vertical="center"/>
    </xf>
    <xf numFmtId="2" fontId="6" fillId="0" borderId="2" xfId="0" applyNumberFormat="1" applyFont="1" applyBorder="1" applyAlignment="1">
      <alignment horizontal="center" vertical="center"/>
    </xf>
    <xf numFmtId="2" fontId="6" fillId="0" borderId="7" xfId="0" applyNumberFormat="1" applyFont="1" applyBorder="1" applyAlignment="1">
      <alignment horizontal="center" vertical="center"/>
    </xf>
    <xf numFmtId="2" fontId="6" fillId="0" borderId="30" xfId="0" applyNumberFormat="1" applyFont="1" applyBorder="1" applyAlignment="1">
      <alignment horizontal="center" vertical="center"/>
    </xf>
    <xf numFmtId="2" fontId="6" fillId="0" borderId="9" xfId="0" applyNumberFormat="1" applyFont="1" applyBorder="1" applyAlignment="1">
      <alignment horizontal="center" vertical="center"/>
    </xf>
    <xf numFmtId="2" fontId="6" fillId="0" borderId="12" xfId="0" applyNumberFormat="1" applyFont="1" applyBorder="1" applyAlignment="1">
      <alignment horizontal="center" vertical="center"/>
    </xf>
    <xf numFmtId="2" fontId="6" fillId="0" borderId="33" xfId="0" applyNumberFormat="1" applyFont="1" applyBorder="1" applyAlignment="1">
      <alignment horizontal="center" vertical="center"/>
    </xf>
    <xf numFmtId="1" fontId="6" fillId="0" borderId="1" xfId="0" applyNumberFormat="1" applyFont="1" applyBorder="1" applyAlignment="1">
      <alignment horizontal="center" vertical="center"/>
    </xf>
    <xf numFmtId="1" fontId="6" fillId="0" borderId="5" xfId="0" applyNumberFormat="1" applyFont="1" applyBorder="1" applyAlignment="1">
      <alignment horizontal="center" vertical="center"/>
    </xf>
    <xf numFmtId="1" fontId="6" fillId="0" borderId="2" xfId="0" applyNumberFormat="1" applyFont="1" applyBorder="1" applyAlignment="1">
      <alignment horizontal="center" vertical="center"/>
    </xf>
    <xf numFmtId="1" fontId="6" fillId="0" borderId="7" xfId="0" applyNumberFormat="1" applyFont="1" applyBorder="1" applyAlignment="1">
      <alignment horizontal="center" vertical="center"/>
    </xf>
    <xf numFmtId="0" fontId="9" fillId="0" borderId="2" xfId="3" applyFont="1" applyFill="1" applyBorder="1" applyAlignment="1">
      <alignment horizontal="left" vertical="center" wrapText="1"/>
    </xf>
    <xf numFmtId="0" fontId="9" fillId="0" borderId="2" xfId="3" applyFont="1" applyBorder="1" applyAlignment="1">
      <alignment horizontal="left" vertical="center" wrapText="1"/>
    </xf>
    <xf numFmtId="169" fontId="9" fillId="0" borderId="2" xfId="6" applyNumberFormat="1" applyFont="1" applyFill="1" applyBorder="1" applyAlignment="1">
      <alignment horizontal="left" vertical="center" wrapText="1"/>
    </xf>
    <xf numFmtId="0" fontId="27" fillId="0" borderId="0" xfId="0" applyFont="1"/>
    <xf numFmtId="0" fontId="21" fillId="11" borderId="14" xfId="0" applyFont="1" applyFill="1" applyBorder="1" applyAlignment="1">
      <alignment vertical="center"/>
    </xf>
    <xf numFmtId="0" fontId="21" fillId="11" borderId="15" xfId="0" applyFont="1" applyFill="1" applyBorder="1" applyAlignment="1">
      <alignment vertical="center"/>
    </xf>
    <xf numFmtId="0" fontId="21" fillId="11" borderId="21" xfId="0" applyFont="1" applyFill="1" applyBorder="1" applyAlignment="1">
      <alignment vertical="center"/>
    </xf>
    <xf numFmtId="0" fontId="21" fillId="11" borderId="22" xfId="0" applyFont="1" applyFill="1" applyBorder="1" applyAlignment="1">
      <alignment vertical="center"/>
    </xf>
    <xf numFmtId="0" fontId="10" fillId="0" borderId="23" xfId="0" applyFont="1" applyBorder="1" applyAlignment="1">
      <alignment wrapText="1"/>
    </xf>
    <xf numFmtId="0" fontId="10" fillId="0" borderId="23" xfId="0" applyFont="1" applyBorder="1" applyAlignment="1">
      <alignment vertical="center"/>
    </xf>
    <xf numFmtId="169" fontId="10" fillId="0" borderId="23" xfId="0" applyNumberFormat="1" applyFont="1" applyBorder="1" applyAlignment="1">
      <alignment vertical="center"/>
    </xf>
    <xf numFmtId="0" fontId="17" fillId="6" borderId="23" xfId="0" applyFont="1" applyFill="1" applyBorder="1" applyAlignment="1">
      <alignment horizontal="left" vertical="center"/>
    </xf>
    <xf numFmtId="0" fontId="17" fillId="9" borderId="23" xfId="0" applyFont="1" applyFill="1" applyBorder="1" applyAlignment="1">
      <alignment horizontal="left" vertical="center"/>
    </xf>
    <xf numFmtId="0" fontId="22" fillId="9" borderId="43" xfId="0" applyFont="1" applyFill="1" applyBorder="1" applyAlignment="1">
      <alignment horizontal="center" vertical="center" wrapText="1"/>
    </xf>
    <xf numFmtId="0" fontId="22" fillId="9" borderId="43" xfId="0" applyFont="1" applyFill="1" applyBorder="1" applyAlignment="1">
      <alignment horizontal="center" vertical="center"/>
    </xf>
    <xf numFmtId="0" fontId="9" fillId="0" borderId="53" xfId="3" applyFont="1" applyBorder="1" applyAlignment="1">
      <alignment horizontal="center" vertical="center" wrapText="1"/>
    </xf>
    <xf numFmtId="0" fontId="9" fillId="0" borderId="54" xfId="3" applyFont="1" applyBorder="1" applyAlignment="1">
      <alignment horizontal="center" vertical="center" wrapText="1"/>
    </xf>
    <xf numFmtId="1" fontId="9" fillId="0" borderId="54" xfId="3" applyNumberFormat="1" applyFont="1" applyBorder="1" applyAlignment="1">
      <alignment horizontal="center" vertical="center" wrapText="1"/>
    </xf>
    <xf numFmtId="169" fontId="9" fillId="0" borderId="54" xfId="6" applyNumberFormat="1" applyFont="1" applyBorder="1" applyAlignment="1">
      <alignment horizontal="center" vertical="center" wrapText="1"/>
    </xf>
    <xf numFmtId="0" fontId="9" fillId="0" borderId="19" xfId="3" applyFont="1" applyBorder="1" applyAlignment="1">
      <alignment horizontal="center" vertical="center" wrapText="1"/>
    </xf>
    <xf numFmtId="0" fontId="6" fillId="0" borderId="45" xfId="0" applyFont="1" applyBorder="1" applyAlignment="1">
      <alignment horizontal="center" vertical="center" wrapText="1"/>
    </xf>
    <xf numFmtId="1" fontId="6" fillId="0" borderId="23" xfId="0" applyNumberFormat="1" applyFont="1" applyBorder="1" applyAlignment="1">
      <alignment vertical="center"/>
    </xf>
    <xf numFmtId="43" fontId="6" fillId="0" borderId="23" xfId="0" applyNumberFormat="1" applyFont="1" applyBorder="1" applyAlignment="1">
      <alignment vertical="center"/>
    </xf>
    <xf numFmtId="169" fontId="6" fillId="0" borderId="23" xfId="6" applyNumberFormat="1" applyFont="1" applyBorder="1" applyAlignment="1">
      <alignment vertical="center"/>
    </xf>
    <xf numFmtId="172" fontId="1" fillId="7" borderId="23" xfId="0" applyNumberFormat="1" applyFont="1" applyFill="1" applyBorder="1" applyAlignment="1">
      <alignment vertical="center"/>
    </xf>
    <xf numFmtId="0" fontId="6" fillId="0" borderId="56" xfId="4" applyBorder="1" applyAlignment="1">
      <alignment horizontal="center" vertical="center"/>
    </xf>
    <xf numFmtId="9" fontId="6" fillId="0" borderId="56" xfId="0" applyNumberFormat="1" applyFont="1" applyBorder="1" applyAlignment="1">
      <alignment horizontal="center"/>
    </xf>
    <xf numFmtId="0" fontId="6" fillId="0" borderId="43" xfId="0" quotePrefix="1" applyFont="1" applyBorder="1" applyAlignment="1">
      <alignment horizontal="center" vertical="center" wrapText="1"/>
    </xf>
    <xf numFmtId="0" fontId="6" fillId="0" borderId="43" xfId="0" applyFont="1" applyBorder="1" applyAlignment="1">
      <alignment horizontal="left" vertical="center" wrapText="1"/>
    </xf>
    <xf numFmtId="0" fontId="1" fillId="0" borderId="2" xfId="0" applyFont="1" applyBorder="1" applyAlignment="1">
      <alignment horizontal="center" vertical="center"/>
    </xf>
    <xf numFmtId="0" fontId="17" fillId="6" borderId="43" xfId="0" applyFont="1" applyFill="1" applyBorder="1" applyAlignment="1">
      <alignment horizontal="center" vertical="center" wrapText="1"/>
    </xf>
    <xf numFmtId="0" fontId="20" fillId="0" borderId="41" xfId="0" applyFont="1" applyBorder="1" applyAlignment="1">
      <alignment horizontal="center" vertical="center"/>
    </xf>
    <xf numFmtId="0" fontId="20" fillId="0" borderId="5" xfId="0" applyFont="1" applyBorder="1" applyAlignment="1">
      <alignment horizontal="center" vertical="center"/>
    </xf>
    <xf numFmtId="0" fontId="20" fillId="0" borderId="11" xfId="0" applyFont="1" applyBorder="1" applyAlignment="1">
      <alignment horizontal="center" vertical="center"/>
    </xf>
    <xf numFmtId="0" fontId="20" fillId="0" borderId="7" xfId="0" applyFont="1" applyBorder="1" applyAlignment="1">
      <alignment horizontal="center" vertical="center"/>
    </xf>
    <xf numFmtId="0" fontId="20" fillId="0" borderId="42" xfId="0" applyFont="1" applyBorder="1" applyAlignment="1">
      <alignment horizontal="center" vertical="center"/>
    </xf>
    <xf numFmtId="0" fontId="20" fillId="0" borderId="9" xfId="0" applyFont="1" applyBorder="1" applyAlignment="1">
      <alignment horizontal="center" vertical="center"/>
    </xf>
    <xf numFmtId="1" fontId="6" fillId="0" borderId="12" xfId="0" applyNumberFormat="1" applyFont="1" applyBorder="1" applyAlignment="1">
      <alignment horizontal="center" vertical="center"/>
    </xf>
    <xf numFmtId="1" fontId="6" fillId="0" borderId="33" xfId="0" applyNumberFormat="1" applyFont="1" applyBorder="1" applyAlignment="1">
      <alignment horizontal="center" vertical="center"/>
    </xf>
    <xf numFmtId="0" fontId="20" fillId="0" borderId="74" xfId="0" applyFont="1" applyBorder="1" applyAlignment="1">
      <alignment horizontal="center" vertical="center"/>
    </xf>
    <xf numFmtId="0" fontId="20" fillId="0" borderId="75" xfId="0" applyFont="1" applyBorder="1" applyAlignment="1">
      <alignment horizontal="center" vertical="center"/>
    </xf>
    <xf numFmtId="1" fontId="20" fillId="0" borderId="56" xfId="0" applyNumberFormat="1" applyFont="1" applyBorder="1" applyAlignment="1">
      <alignment horizontal="center" vertical="center"/>
    </xf>
    <xf numFmtId="1" fontId="35" fillId="0" borderId="56" xfId="0" applyNumberFormat="1" applyFont="1" applyBorder="1" applyAlignment="1">
      <alignment horizontal="center" vertical="center"/>
    </xf>
    <xf numFmtId="0" fontId="20" fillId="0" borderId="76" xfId="0" applyFont="1" applyBorder="1" applyAlignment="1">
      <alignment horizontal="center" vertical="center"/>
    </xf>
    <xf numFmtId="1" fontId="35" fillId="0" borderId="57" xfId="0" applyNumberFormat="1" applyFont="1" applyBorder="1" applyAlignment="1">
      <alignment horizontal="center" vertical="center"/>
    </xf>
    <xf numFmtId="1" fontId="20" fillId="0" borderId="2" xfId="0" applyNumberFormat="1" applyFont="1" applyBorder="1" applyAlignment="1">
      <alignment horizontal="center" vertical="center"/>
    </xf>
    <xf numFmtId="1" fontId="20" fillId="0" borderId="19" xfId="0" applyNumberFormat="1" applyFont="1" applyBorder="1" applyAlignment="1">
      <alignment horizontal="center" vertical="center"/>
    </xf>
    <xf numFmtId="1" fontId="20" fillId="0" borderId="1" xfId="0" applyNumberFormat="1" applyFont="1" applyBorder="1" applyAlignment="1">
      <alignment horizontal="center" vertical="center"/>
    </xf>
    <xf numFmtId="1" fontId="20" fillId="0" borderId="5" xfId="0" applyNumberFormat="1" applyFont="1" applyBorder="1" applyAlignment="1">
      <alignment horizontal="center" vertical="center"/>
    </xf>
    <xf numFmtId="1" fontId="20" fillId="0" borderId="7"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0" borderId="9" xfId="0" applyNumberFormat="1" applyFont="1" applyBorder="1" applyAlignment="1">
      <alignment horizontal="center" vertical="center"/>
    </xf>
    <xf numFmtId="1" fontId="20" fillId="0" borderId="12" xfId="0" applyNumberFormat="1" applyFont="1" applyBorder="1" applyAlignment="1">
      <alignment horizontal="center" vertical="center"/>
    </xf>
    <xf numFmtId="1" fontId="35" fillId="0" borderId="58" xfId="0" applyNumberFormat="1" applyFont="1" applyBorder="1" applyAlignment="1">
      <alignment horizontal="center" vertical="center"/>
    </xf>
    <xf numFmtId="1" fontId="20" fillId="0" borderId="61" xfId="0" applyNumberFormat="1" applyFont="1" applyBorder="1" applyAlignment="1">
      <alignment horizontal="center" vertical="center"/>
    </xf>
    <xf numFmtId="0" fontId="20" fillId="0" borderId="89" xfId="0" applyFont="1" applyBorder="1" applyAlignment="1">
      <alignment horizontal="center" vertical="center"/>
    </xf>
    <xf numFmtId="1" fontId="20" fillId="0" borderId="64" xfId="0" applyNumberFormat="1" applyFont="1" applyBorder="1" applyAlignment="1">
      <alignment horizontal="center" vertical="center"/>
    </xf>
    <xf numFmtId="1" fontId="20" fillId="0" borderId="67" xfId="0" applyNumberFormat="1" applyFont="1" applyBorder="1" applyAlignment="1">
      <alignment horizontal="center" vertical="center"/>
    </xf>
    <xf numFmtId="1" fontId="35" fillId="0" borderId="60" xfId="0" applyNumberFormat="1" applyFont="1" applyBorder="1" applyAlignment="1">
      <alignment horizontal="center" vertical="center"/>
    </xf>
    <xf numFmtId="1" fontId="35" fillId="0" borderId="61" xfId="0" applyNumberFormat="1" applyFont="1" applyBorder="1" applyAlignment="1">
      <alignment horizontal="center" vertical="center"/>
    </xf>
    <xf numFmtId="1" fontId="35" fillId="0" borderId="90" xfId="0" applyNumberFormat="1" applyFont="1" applyBorder="1" applyAlignment="1">
      <alignment horizontal="center" vertical="center"/>
    </xf>
    <xf numFmtId="1" fontId="20" fillId="0" borderId="59" xfId="0" applyNumberFormat="1" applyFont="1" applyBorder="1" applyAlignment="1">
      <alignment horizontal="center" vertical="center"/>
    </xf>
    <xf numFmtId="1" fontId="20" fillId="0" borderId="33" xfId="0" applyNumberFormat="1" applyFont="1" applyBorder="1" applyAlignment="1">
      <alignment horizontal="center" vertical="center"/>
    </xf>
    <xf numFmtId="0" fontId="20" fillId="0" borderId="22" xfId="0" applyFont="1" applyBorder="1" applyAlignment="1">
      <alignment horizontal="center" vertical="center"/>
    </xf>
    <xf numFmtId="0" fontId="20" fillId="0" borderId="15" xfId="0" applyFont="1" applyBorder="1" applyAlignment="1">
      <alignment horizontal="center" vertical="center"/>
    </xf>
    <xf numFmtId="0" fontId="6" fillId="0" borderId="41" xfId="0" applyFont="1" applyBorder="1" applyAlignment="1">
      <alignment horizontal="center" vertical="center"/>
    </xf>
    <xf numFmtId="0" fontId="6" fillId="0" borderId="11" xfId="0" applyFont="1" applyBorder="1" applyAlignment="1">
      <alignment horizontal="center" vertical="center"/>
    </xf>
    <xf numFmtId="0" fontId="6" fillId="0" borderId="15" xfId="0" applyFont="1" applyBorder="1" applyAlignment="1">
      <alignment horizontal="center" vertical="center"/>
    </xf>
    <xf numFmtId="0" fontId="7" fillId="0" borderId="0" xfId="0" applyFont="1" applyAlignment="1">
      <alignment horizontal="center" vertical="center"/>
    </xf>
    <xf numFmtId="2" fontId="20" fillId="0" borderId="1" xfId="0" applyNumberFormat="1" applyFont="1" applyBorder="1" applyAlignment="1">
      <alignment horizontal="center" vertical="center"/>
    </xf>
    <xf numFmtId="2" fontId="20" fillId="0" borderId="5" xfId="0" applyNumberFormat="1" applyFont="1" applyBorder="1" applyAlignment="1">
      <alignment horizontal="center" vertical="center"/>
    </xf>
    <xf numFmtId="0" fontId="37" fillId="11" borderId="0" xfId="0" applyFont="1" applyFill="1" applyAlignment="1">
      <alignment horizontal="center" vertical="center"/>
    </xf>
    <xf numFmtId="2" fontId="20" fillId="0" borderId="2" xfId="0" applyNumberFormat="1" applyFont="1" applyBorder="1" applyAlignment="1">
      <alignment horizontal="center" vertical="center"/>
    </xf>
    <xf numFmtId="2" fontId="38" fillId="0" borderId="12" xfId="0" applyNumberFormat="1" applyFont="1" applyBorder="1" applyAlignment="1">
      <alignment horizontal="center" vertical="center"/>
    </xf>
    <xf numFmtId="2" fontId="38" fillId="0" borderId="2" xfId="0" applyNumberFormat="1" applyFont="1" applyBorder="1" applyAlignment="1">
      <alignment horizontal="center" vertical="center"/>
    </xf>
    <xf numFmtId="2" fontId="20" fillId="0" borderId="7" xfId="0" applyNumberFormat="1" applyFont="1" applyBorder="1" applyAlignment="1">
      <alignment horizontal="center" vertical="center"/>
    </xf>
    <xf numFmtId="2" fontId="20" fillId="0" borderId="12" xfId="0" applyNumberFormat="1" applyFont="1" applyBorder="1" applyAlignment="1">
      <alignment horizontal="center" vertical="center"/>
    </xf>
    <xf numFmtId="2" fontId="20" fillId="0" borderId="33" xfId="0" applyNumberFormat="1" applyFont="1" applyBorder="1" applyAlignment="1">
      <alignment horizontal="center" vertical="center"/>
    </xf>
    <xf numFmtId="0" fontId="20" fillId="0" borderId="101" xfId="0" applyFont="1" applyBorder="1" applyAlignment="1">
      <alignment horizontal="center" vertical="center"/>
    </xf>
    <xf numFmtId="0" fontId="37" fillId="0" borderId="0" xfId="0" applyFont="1" applyAlignment="1">
      <alignment horizontal="center" vertical="center"/>
    </xf>
    <xf numFmtId="2" fontId="20" fillId="0" borderId="30" xfId="0" applyNumberFormat="1" applyFont="1" applyBorder="1" applyAlignment="1">
      <alignment horizontal="center" vertical="center"/>
    </xf>
    <xf numFmtId="2" fontId="20" fillId="0" borderId="9" xfId="0" applyNumberFormat="1" applyFont="1" applyBorder="1" applyAlignment="1">
      <alignment horizontal="center" vertical="center"/>
    </xf>
    <xf numFmtId="2" fontId="38" fillId="0" borderId="102" xfId="0" applyNumberFormat="1" applyFont="1" applyBorder="1" applyAlignment="1">
      <alignment horizontal="center" vertical="center"/>
    </xf>
    <xf numFmtId="2" fontId="38" fillId="0" borderId="103" xfId="0" applyNumberFormat="1" applyFont="1" applyBorder="1" applyAlignment="1">
      <alignment horizontal="center" vertical="center"/>
    </xf>
    <xf numFmtId="2" fontId="38" fillId="0" borderId="104" xfId="0" applyNumberFormat="1" applyFont="1" applyBorder="1" applyAlignment="1">
      <alignment horizontal="center" vertical="center"/>
    </xf>
    <xf numFmtId="2" fontId="38" fillId="0" borderId="105" xfId="0" applyNumberFormat="1" applyFont="1" applyBorder="1" applyAlignment="1">
      <alignment horizontal="center" vertical="center"/>
    </xf>
    <xf numFmtId="0" fontId="20" fillId="0" borderId="107" xfId="0" applyFont="1" applyBorder="1" applyAlignment="1">
      <alignment horizontal="center" vertical="center"/>
    </xf>
    <xf numFmtId="2" fontId="38" fillId="0" borderId="108" xfId="0" applyNumberFormat="1" applyFont="1" applyBorder="1" applyAlignment="1">
      <alignment horizontal="center" vertical="center"/>
    </xf>
    <xf numFmtId="2" fontId="38" fillId="0" borderId="109" xfId="0" applyNumberFormat="1" applyFont="1" applyBorder="1" applyAlignment="1">
      <alignment horizontal="center" vertical="center"/>
    </xf>
    <xf numFmtId="2" fontId="20" fillId="0" borderId="19" xfId="0" applyNumberFormat="1" applyFont="1" applyBorder="1" applyAlignment="1">
      <alignment horizontal="center" vertical="center"/>
    </xf>
    <xf numFmtId="2" fontId="20" fillId="0" borderId="59" xfId="0" applyNumberFormat="1" applyFont="1" applyBorder="1" applyAlignment="1">
      <alignment horizontal="center" vertical="center"/>
    </xf>
    <xf numFmtId="2" fontId="20" fillId="0" borderId="58" xfId="0" applyNumberFormat="1" applyFont="1" applyBorder="1" applyAlignment="1">
      <alignment horizontal="center" vertical="center"/>
    </xf>
    <xf numFmtId="2" fontId="20" fillId="0" borderId="110" xfId="0" applyNumberFormat="1" applyFont="1" applyBorder="1" applyAlignment="1">
      <alignment horizontal="center" vertical="center"/>
    </xf>
    <xf numFmtId="2" fontId="20" fillId="0" borderId="56" xfId="0" applyNumberFormat="1" applyFont="1" applyBorder="1" applyAlignment="1">
      <alignment horizontal="center" vertical="center"/>
    </xf>
    <xf numFmtId="2" fontId="20" fillId="0" borderId="111" xfId="0" applyNumberFormat="1" applyFont="1" applyBorder="1" applyAlignment="1">
      <alignment horizontal="center" vertical="center"/>
    </xf>
    <xf numFmtId="2" fontId="20" fillId="0" borderId="106" xfId="0" applyNumberFormat="1" applyFont="1" applyBorder="1" applyAlignment="1">
      <alignment horizontal="center" vertical="center"/>
    </xf>
    <xf numFmtId="2" fontId="20" fillId="0" borderId="112" xfId="0" applyNumberFormat="1" applyFont="1" applyBorder="1" applyAlignment="1">
      <alignment horizontal="center" vertical="center"/>
    </xf>
    <xf numFmtId="0" fontId="20" fillId="0" borderId="4" xfId="0" applyFont="1" applyBorder="1" applyAlignment="1">
      <alignment horizontal="center" vertical="center"/>
    </xf>
    <xf numFmtId="0" fontId="20" fillId="0" borderId="6" xfId="0" applyFont="1" applyBorder="1" applyAlignment="1">
      <alignment horizontal="center" vertical="center"/>
    </xf>
    <xf numFmtId="0" fontId="20" fillId="0" borderId="8" xfId="0" applyFont="1" applyBorder="1" applyAlignment="1">
      <alignment horizontal="center" vertical="center"/>
    </xf>
    <xf numFmtId="0" fontId="20" fillId="0" borderId="65" xfId="0" applyFont="1" applyBorder="1" applyAlignment="1">
      <alignment horizontal="center" vertical="center"/>
    </xf>
    <xf numFmtId="2" fontId="20" fillId="0" borderId="123" xfId="0" applyNumberFormat="1" applyFont="1" applyBorder="1" applyAlignment="1">
      <alignment horizontal="center" vertical="center"/>
    </xf>
    <xf numFmtId="2" fontId="20" fillId="0" borderId="124" xfId="0" applyNumberFormat="1" applyFont="1" applyBorder="1" applyAlignment="1">
      <alignment horizontal="center" vertical="center"/>
    </xf>
    <xf numFmtId="2" fontId="20" fillId="0" borderId="125" xfId="0" applyNumberFormat="1" applyFont="1" applyBorder="1" applyAlignment="1">
      <alignment horizontal="center" vertical="center"/>
    </xf>
    <xf numFmtId="2" fontId="20" fillId="0" borderId="126" xfId="0" applyNumberFormat="1" applyFont="1" applyBorder="1" applyAlignment="1">
      <alignment horizontal="center" vertical="center"/>
    </xf>
    <xf numFmtId="2" fontId="20" fillId="0" borderId="104" xfId="0" applyNumberFormat="1" applyFont="1" applyBorder="1" applyAlignment="1">
      <alignment horizontal="center" vertical="center"/>
    </xf>
    <xf numFmtId="2" fontId="20" fillId="0" borderId="127" xfId="0" applyNumberFormat="1" applyFont="1" applyBorder="1" applyAlignment="1">
      <alignment horizontal="center" vertical="center"/>
    </xf>
    <xf numFmtId="2" fontId="20" fillId="0" borderId="128" xfId="0" applyNumberFormat="1" applyFont="1" applyBorder="1" applyAlignment="1">
      <alignment horizontal="center" vertical="center"/>
    </xf>
    <xf numFmtId="2" fontId="20" fillId="0" borderId="129" xfId="0" applyNumberFormat="1" applyFont="1" applyBorder="1" applyAlignment="1">
      <alignment horizontal="center" vertical="center"/>
    </xf>
    <xf numFmtId="2" fontId="20" fillId="0" borderId="130" xfId="0" applyNumberFormat="1" applyFont="1" applyBorder="1" applyAlignment="1">
      <alignment horizontal="center" vertical="center"/>
    </xf>
    <xf numFmtId="0" fontId="20" fillId="0" borderId="132" xfId="0" applyFont="1" applyBorder="1" applyAlignment="1">
      <alignment horizontal="center" vertical="center"/>
    </xf>
    <xf numFmtId="2" fontId="20" fillId="0" borderId="133" xfId="0" applyNumberFormat="1" applyFont="1" applyBorder="1" applyAlignment="1">
      <alignment horizontal="center" vertical="center"/>
    </xf>
    <xf numFmtId="2" fontId="39" fillId="0" borderId="133" xfId="0" applyNumberFormat="1" applyFont="1" applyBorder="1" applyAlignment="1">
      <alignment horizontal="center" vertical="center"/>
    </xf>
    <xf numFmtId="2" fontId="20" fillId="0" borderId="134" xfId="0" applyNumberFormat="1" applyFont="1" applyBorder="1" applyAlignment="1">
      <alignment horizontal="center" vertical="center"/>
    </xf>
    <xf numFmtId="0" fontId="20" fillId="0" borderId="126" xfId="0" applyFont="1" applyBorder="1" applyAlignment="1">
      <alignment horizontal="center" vertical="center"/>
    </xf>
    <xf numFmtId="2" fontId="39" fillId="0" borderId="104" xfId="0" applyNumberFormat="1" applyFont="1" applyBorder="1" applyAlignment="1">
      <alignment horizontal="center" vertical="center"/>
    </xf>
    <xf numFmtId="2" fontId="20" fillId="0" borderId="105" xfId="0" applyNumberFormat="1" applyFont="1" applyBorder="1" applyAlignment="1">
      <alignment horizontal="center" vertical="center"/>
    </xf>
    <xf numFmtId="0" fontId="20" fillId="0" borderId="137" xfId="0" applyFont="1" applyBorder="1" applyAlignment="1">
      <alignment horizontal="center" vertical="center"/>
    </xf>
    <xf numFmtId="2" fontId="20" fillId="0" borderId="138" xfId="0" applyNumberFormat="1" applyFont="1" applyBorder="1" applyAlignment="1">
      <alignment horizontal="center" vertical="center"/>
    </xf>
    <xf numFmtId="2" fontId="39" fillId="0" borderId="138" xfId="0" applyNumberFormat="1" applyFont="1" applyBorder="1" applyAlignment="1">
      <alignment horizontal="center" vertical="center"/>
    </xf>
    <xf numFmtId="2" fontId="20" fillId="0" borderId="139" xfId="0" applyNumberFormat="1" applyFont="1" applyBorder="1" applyAlignment="1">
      <alignment horizontal="center" vertical="center"/>
    </xf>
    <xf numFmtId="0" fontId="20" fillId="0" borderId="141" xfId="0" applyFont="1" applyBorder="1" applyAlignment="1">
      <alignment horizontal="center" vertical="center"/>
    </xf>
    <xf numFmtId="2" fontId="38" fillId="0" borderId="124" xfId="0" applyNumberFormat="1" applyFont="1" applyBorder="1" applyAlignment="1">
      <alignment horizontal="center" vertical="center"/>
    </xf>
    <xf numFmtId="0" fontId="20" fillId="0" borderId="142" xfId="0" applyFont="1" applyBorder="1" applyAlignment="1">
      <alignment horizontal="center" vertical="center"/>
    </xf>
    <xf numFmtId="0" fontId="20" fillId="0" borderId="145" xfId="0" applyFont="1" applyBorder="1" applyAlignment="1">
      <alignment horizontal="center" vertical="center"/>
    </xf>
    <xf numFmtId="2" fontId="38" fillId="0" borderId="129" xfId="0" applyNumberFormat="1" applyFont="1" applyBorder="1" applyAlignment="1">
      <alignment horizontal="center" vertical="center"/>
    </xf>
    <xf numFmtId="2" fontId="39" fillId="0" borderId="124" xfId="0" applyNumberFormat="1" applyFont="1" applyBorder="1" applyAlignment="1">
      <alignment horizontal="center" vertical="center"/>
    </xf>
    <xf numFmtId="2" fontId="39" fillId="0" borderId="147" xfId="0" applyNumberFormat="1" applyFont="1" applyBorder="1" applyAlignment="1">
      <alignment horizontal="center" vertical="center"/>
    </xf>
    <xf numFmtId="2" fontId="39" fillId="0" borderId="129" xfId="0" applyNumberFormat="1" applyFont="1" applyBorder="1" applyAlignment="1">
      <alignment horizontal="center" vertical="center"/>
    </xf>
    <xf numFmtId="2" fontId="39" fillId="0" borderId="149" xfId="0" applyNumberFormat="1" applyFont="1" applyBorder="1" applyAlignment="1">
      <alignment horizontal="center" vertical="center"/>
    </xf>
    <xf numFmtId="2" fontId="20" fillId="0" borderId="149" xfId="0" applyNumberFormat="1" applyFont="1" applyBorder="1" applyAlignment="1">
      <alignment horizontal="center" vertical="center"/>
    </xf>
    <xf numFmtId="0" fontId="20" fillId="0" borderId="123" xfId="0" applyFont="1" applyBorder="1" applyAlignment="1">
      <alignment horizontal="center" vertical="center"/>
    </xf>
    <xf numFmtId="0" fontId="20" fillId="0" borderId="128" xfId="0" applyFont="1" applyBorder="1" applyAlignment="1">
      <alignment horizontal="center" vertical="center"/>
    </xf>
    <xf numFmtId="2" fontId="39" fillId="0" borderId="1" xfId="0" applyNumberFormat="1" applyFont="1" applyBorder="1" applyAlignment="1">
      <alignment horizontal="center" vertical="center"/>
    </xf>
    <xf numFmtId="2" fontId="39" fillId="0" borderId="2" xfId="0" applyNumberFormat="1" applyFont="1" applyBorder="1" applyAlignment="1">
      <alignment horizontal="center" vertical="center"/>
    </xf>
    <xf numFmtId="2" fontId="39" fillId="0" borderId="12" xfId="0" applyNumberFormat="1" applyFont="1" applyBorder="1" applyAlignment="1">
      <alignment horizontal="center" vertical="center"/>
    </xf>
    <xf numFmtId="0" fontId="20" fillId="0" borderId="157" xfId="0" applyFont="1" applyBorder="1" applyAlignment="1">
      <alignment horizontal="center" vertical="center"/>
    </xf>
    <xf numFmtId="2" fontId="40" fillId="0" borderId="102" xfId="0" applyNumberFormat="1" applyFont="1" applyBorder="1" applyAlignment="1">
      <alignment horizontal="center" vertical="center"/>
    </xf>
    <xf numFmtId="2" fontId="39" fillId="0" borderId="102" xfId="0" applyNumberFormat="1" applyFont="1" applyBorder="1" applyAlignment="1">
      <alignment horizontal="center" vertical="center"/>
    </xf>
    <xf numFmtId="2" fontId="40" fillId="0" borderId="103" xfId="0" applyNumberFormat="1" applyFont="1" applyBorder="1" applyAlignment="1">
      <alignment horizontal="center" vertical="center"/>
    </xf>
    <xf numFmtId="2" fontId="40" fillId="0" borderId="104" xfId="0" applyNumberFormat="1" applyFont="1" applyBorder="1" applyAlignment="1">
      <alignment horizontal="center" vertical="center"/>
    </xf>
    <xf numFmtId="2" fontId="40" fillId="0" borderId="105" xfId="0" applyNumberFormat="1" applyFont="1" applyBorder="1" applyAlignment="1">
      <alignment horizontal="center" vertical="center"/>
    </xf>
    <xf numFmtId="0" fontId="20" fillId="0" borderId="158" xfId="0" applyFont="1" applyBorder="1" applyAlignment="1">
      <alignment horizontal="center" vertical="center"/>
    </xf>
    <xf numFmtId="2" fontId="40" fillId="0" borderId="108" xfId="0" applyNumberFormat="1" applyFont="1" applyBorder="1" applyAlignment="1">
      <alignment horizontal="center" vertical="center"/>
    </xf>
    <xf numFmtId="2" fontId="39" fillId="0" borderId="108" xfId="0" applyNumberFormat="1" applyFont="1" applyBorder="1" applyAlignment="1">
      <alignment horizontal="center" vertical="center"/>
    </xf>
    <xf numFmtId="2" fontId="40" fillId="0" borderId="109" xfId="0" applyNumberFormat="1" applyFont="1" applyBorder="1" applyAlignment="1">
      <alignment horizontal="center" vertical="center"/>
    </xf>
    <xf numFmtId="2" fontId="39" fillId="0" borderId="19" xfId="0" applyNumberFormat="1" applyFont="1" applyBorder="1" applyAlignment="1">
      <alignment horizontal="center" vertical="center"/>
    </xf>
    <xf numFmtId="2" fontId="39" fillId="0" borderId="161" xfId="0" applyNumberFormat="1" applyFont="1" applyBorder="1" applyAlignment="1">
      <alignment horizontal="center" vertical="center"/>
    </xf>
    <xf numFmtId="2" fontId="20" fillId="0" borderId="162" xfId="0" applyNumberFormat="1" applyFont="1" applyBorder="1" applyAlignment="1">
      <alignment horizontal="center" vertical="center"/>
    </xf>
    <xf numFmtId="0" fontId="20" fillId="0" borderId="166" xfId="0" applyFont="1" applyBorder="1" applyAlignment="1">
      <alignment horizontal="center" vertical="center"/>
    </xf>
    <xf numFmtId="0" fontId="20" fillId="0" borderId="167" xfId="0" applyFont="1" applyBorder="1" applyAlignment="1">
      <alignment horizontal="center" vertical="center"/>
    </xf>
    <xf numFmtId="0" fontId="20" fillId="0" borderId="159" xfId="0" applyFont="1" applyBorder="1" applyAlignment="1">
      <alignment horizontal="center" vertical="center"/>
    </xf>
    <xf numFmtId="0" fontId="20" fillId="0" borderId="160" xfId="0" applyFont="1" applyBorder="1" applyAlignment="1">
      <alignment horizontal="center" vertical="center"/>
    </xf>
    <xf numFmtId="1" fontId="20" fillId="0" borderId="4" xfId="0" applyNumberFormat="1" applyFont="1" applyBorder="1" applyAlignment="1">
      <alignment horizontal="center" vertical="center"/>
    </xf>
    <xf numFmtId="1" fontId="20" fillId="0" borderId="6" xfId="0" applyNumberFormat="1" applyFont="1" applyBorder="1" applyAlignment="1">
      <alignment horizontal="center" vertical="center"/>
    </xf>
    <xf numFmtId="1" fontId="20" fillId="0" borderId="8" xfId="0" applyNumberFormat="1" applyFont="1" applyBorder="1" applyAlignment="1">
      <alignment horizontal="center" vertical="center"/>
    </xf>
    <xf numFmtId="1" fontId="20" fillId="0" borderId="91" xfId="0" applyNumberFormat="1" applyFont="1" applyBorder="1" applyAlignment="1">
      <alignment horizontal="center" vertical="center"/>
    </xf>
    <xf numFmtId="1" fontId="20" fillId="0" borderId="58" xfId="0" applyNumberFormat="1" applyFont="1" applyBorder="1" applyAlignment="1">
      <alignment horizontal="center" vertical="center"/>
    </xf>
    <xf numFmtId="1" fontId="20" fillId="0" borderId="60" xfId="0" applyNumberFormat="1" applyFont="1" applyBorder="1" applyAlignment="1">
      <alignment horizontal="center" vertical="center"/>
    </xf>
    <xf numFmtId="2" fontId="41" fillId="0" borderId="1" xfId="0" applyNumberFormat="1" applyFont="1" applyBorder="1" applyAlignment="1">
      <alignment horizontal="center" vertical="center"/>
    </xf>
    <xf numFmtId="2" fontId="41" fillId="0" borderId="5" xfId="0" applyNumberFormat="1" applyFont="1" applyBorder="1" applyAlignment="1">
      <alignment horizontal="center" vertical="center"/>
    </xf>
    <xf numFmtId="2" fontId="41" fillId="0" borderId="2" xfId="0" applyNumberFormat="1" applyFont="1" applyBorder="1" applyAlignment="1">
      <alignment horizontal="center" vertical="center"/>
    </xf>
    <xf numFmtId="2" fontId="41" fillId="0" borderId="7" xfId="0" applyNumberFormat="1" applyFont="1" applyBorder="1" applyAlignment="1">
      <alignment horizontal="center" vertical="center"/>
    </xf>
    <xf numFmtId="2" fontId="41" fillId="0" borderId="30" xfId="0" applyNumberFormat="1" applyFont="1" applyBorder="1" applyAlignment="1">
      <alignment horizontal="center" vertical="center"/>
    </xf>
    <xf numFmtId="2" fontId="41" fillId="0" borderId="9" xfId="0" applyNumberFormat="1" applyFont="1" applyBorder="1" applyAlignment="1">
      <alignment horizontal="center" vertical="center"/>
    </xf>
    <xf numFmtId="2" fontId="1" fillId="0" borderId="171" xfId="0" applyNumberFormat="1" applyFont="1" applyBorder="1" applyAlignment="1">
      <alignment horizontal="center" vertical="center"/>
    </xf>
    <xf numFmtId="2" fontId="1" fillId="0" borderId="172" xfId="0" applyNumberFormat="1" applyFont="1" applyBorder="1" applyAlignment="1">
      <alignment horizontal="center" vertical="center"/>
    </xf>
    <xf numFmtId="2" fontId="1" fillId="0" borderId="173" xfId="0" applyNumberFormat="1" applyFont="1" applyBorder="1" applyAlignment="1">
      <alignment horizontal="center" vertical="center"/>
    </xf>
    <xf numFmtId="2" fontId="1" fillId="0" borderId="174" xfId="0" applyNumberFormat="1" applyFont="1" applyBorder="1" applyAlignment="1">
      <alignment horizontal="center" vertical="center"/>
    </xf>
    <xf numFmtId="2" fontId="1" fillId="0" borderId="175" xfId="0" applyNumberFormat="1" applyFont="1" applyBorder="1" applyAlignment="1">
      <alignment horizontal="center" vertical="center"/>
    </xf>
    <xf numFmtId="2" fontId="1" fillId="0" borderId="176" xfId="0" applyNumberFormat="1" applyFont="1" applyBorder="1" applyAlignment="1">
      <alignment horizontal="center" vertical="center"/>
    </xf>
    <xf numFmtId="2" fontId="1" fillId="0" borderId="177" xfId="0" applyNumberFormat="1" applyFont="1" applyBorder="1" applyAlignment="1">
      <alignment horizontal="center" vertical="center"/>
    </xf>
    <xf numFmtId="2" fontId="1" fillId="0" borderId="178" xfId="0" applyNumberFormat="1" applyFont="1" applyBorder="1" applyAlignment="1">
      <alignment horizontal="center" vertical="center"/>
    </xf>
    <xf numFmtId="2" fontId="1" fillId="0" borderId="179" xfId="0" applyNumberFormat="1" applyFont="1" applyBorder="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3" fillId="0" borderId="0" xfId="0" applyFont="1" applyAlignment="1">
      <alignment vertical="center" wrapText="1"/>
    </xf>
    <xf numFmtId="0" fontId="41" fillId="0" borderId="24" xfId="0" applyFont="1" applyBorder="1" applyAlignment="1">
      <alignment horizontal="center" vertical="center"/>
    </xf>
    <xf numFmtId="0" fontId="41" fillId="0" borderId="29" xfId="0" applyFont="1" applyBorder="1" applyAlignment="1">
      <alignment horizontal="center" vertical="center"/>
    </xf>
    <xf numFmtId="0" fontId="41" fillId="0" borderId="23" xfId="0" applyFont="1" applyBorder="1" applyAlignment="1">
      <alignment horizontal="center" vertical="center"/>
    </xf>
    <xf numFmtId="0" fontId="41" fillId="0" borderId="26" xfId="0" applyFont="1" applyBorder="1" applyAlignment="1">
      <alignment horizontal="center" vertical="center"/>
    </xf>
    <xf numFmtId="0" fontId="41" fillId="0" borderId="27" xfId="0" applyFont="1" applyBorder="1" applyAlignment="1">
      <alignment horizontal="center" vertical="center"/>
    </xf>
    <xf numFmtId="0" fontId="41" fillId="0" borderId="28" xfId="0" applyFont="1" applyBorder="1" applyAlignment="1">
      <alignment horizontal="center" vertical="center"/>
    </xf>
    <xf numFmtId="0" fontId="1" fillId="0" borderId="0" xfId="0" applyFont="1" applyAlignment="1">
      <alignment horizontal="center" vertical="center"/>
    </xf>
    <xf numFmtId="0" fontId="6" fillId="0" borderId="186" xfId="0" applyFont="1" applyBorder="1" applyAlignment="1">
      <alignment horizontal="left" vertical="center"/>
    </xf>
    <xf numFmtId="0" fontId="1" fillId="0" borderId="1" xfId="0" applyFont="1" applyBorder="1" applyAlignment="1">
      <alignment horizontal="center" vertical="center"/>
    </xf>
    <xf numFmtId="0" fontId="6" fillId="0" borderId="189" xfId="0" applyFont="1" applyBorder="1" applyAlignment="1">
      <alignment horizontal="left" vertical="center"/>
    </xf>
    <xf numFmtId="0" fontId="6" fillId="0" borderId="190" xfId="0" applyFont="1" applyBorder="1" applyAlignment="1">
      <alignment horizontal="left" vertical="center"/>
    </xf>
    <xf numFmtId="0" fontId="1" fillId="0" borderId="30" xfId="0" applyFont="1" applyBorder="1" applyAlignment="1">
      <alignment horizontal="center" vertical="center"/>
    </xf>
    <xf numFmtId="0" fontId="22" fillId="9" borderId="192" xfId="0" applyFont="1" applyFill="1" applyBorder="1" applyAlignment="1">
      <alignment horizontal="center"/>
    </xf>
    <xf numFmtId="0" fontId="22" fillId="9" borderId="43" xfId="0" applyFont="1" applyFill="1" applyBorder="1" applyAlignment="1">
      <alignment horizontal="center"/>
    </xf>
    <xf numFmtId="2" fontId="20" fillId="0" borderId="23" xfId="0" applyNumberFormat="1" applyFont="1" applyBorder="1" applyAlignment="1">
      <alignment horizontal="center" vertical="center"/>
    </xf>
    <xf numFmtId="2" fontId="38" fillId="0" borderId="138" xfId="0" applyNumberFormat="1" applyFont="1" applyBorder="1" applyAlignment="1">
      <alignment horizontal="center" vertical="center"/>
    </xf>
    <xf numFmtId="2" fontId="20" fillId="0" borderId="202" xfId="0" applyNumberFormat="1" applyFont="1" applyBorder="1" applyAlignment="1">
      <alignment horizontal="center" vertical="center"/>
    </xf>
    <xf numFmtId="0" fontId="20" fillId="0" borderId="203" xfId="0" applyFont="1" applyBorder="1" applyAlignment="1">
      <alignment horizontal="center" vertical="center"/>
    </xf>
    <xf numFmtId="2" fontId="20" fillId="0" borderId="204" xfId="0" applyNumberFormat="1" applyFont="1" applyBorder="1" applyAlignment="1">
      <alignment horizontal="center" vertical="center"/>
    </xf>
    <xf numFmtId="2" fontId="20" fillId="0" borderId="205" xfId="0" applyNumberFormat="1" applyFont="1" applyBorder="1" applyAlignment="1">
      <alignment horizontal="center" vertical="center"/>
    </xf>
    <xf numFmtId="0" fontId="20" fillId="0" borderId="206" xfId="0" applyFont="1" applyBorder="1" applyAlignment="1">
      <alignment horizontal="center" vertical="center"/>
    </xf>
    <xf numFmtId="2" fontId="20" fillId="0" borderId="207" xfId="0" applyNumberFormat="1" applyFont="1" applyBorder="1" applyAlignment="1">
      <alignment horizontal="center" vertical="center"/>
    </xf>
    <xf numFmtId="0" fontId="20" fillId="0" borderId="208" xfId="0" applyFont="1" applyBorder="1" applyAlignment="1">
      <alignment horizontal="center" vertical="center"/>
    </xf>
    <xf numFmtId="2" fontId="20" fillId="0" borderId="209" xfId="0" applyNumberFormat="1" applyFont="1" applyBorder="1" applyAlignment="1">
      <alignment horizontal="center" vertical="center"/>
    </xf>
    <xf numFmtId="2" fontId="20" fillId="0" borderId="210" xfId="0" applyNumberFormat="1" applyFont="1" applyBorder="1" applyAlignment="1">
      <alignment horizontal="center" vertical="center"/>
    </xf>
    <xf numFmtId="0" fontId="20" fillId="0" borderId="213" xfId="0" applyFont="1" applyBorder="1" applyAlignment="1">
      <alignment horizontal="center" vertical="center"/>
    </xf>
    <xf numFmtId="0" fontId="22" fillId="9" borderId="214" xfId="0" applyFont="1" applyFill="1" applyBorder="1" applyAlignment="1">
      <alignment horizontal="center" vertical="center" wrapText="1"/>
    </xf>
    <xf numFmtId="0" fontId="7" fillId="6" borderId="43" xfId="0" applyFont="1" applyFill="1" applyBorder="1" applyAlignment="1">
      <alignment horizontal="center" vertical="center" wrapText="1"/>
    </xf>
    <xf numFmtId="0" fontId="7" fillId="6" borderId="12" xfId="0" applyFont="1" applyFill="1" applyBorder="1" applyAlignment="1">
      <alignment horizontal="center" vertical="center" wrapText="1"/>
    </xf>
    <xf numFmtId="2" fontId="20" fillId="0" borderId="35" xfId="0" applyNumberFormat="1" applyFont="1" applyBorder="1" applyAlignment="1">
      <alignment horizontal="center" vertical="center"/>
    </xf>
    <xf numFmtId="0" fontId="17" fillId="0" borderId="2" xfId="0" applyFont="1" applyBorder="1" applyAlignment="1">
      <alignment horizontal="center" vertical="center" wrapText="1"/>
    </xf>
    <xf numFmtId="0" fontId="22" fillId="6" borderId="2" xfId="0" applyFont="1" applyFill="1" applyBorder="1" applyAlignment="1">
      <alignment horizontal="center" vertical="center"/>
    </xf>
    <xf numFmtId="0" fontId="6" fillId="0" borderId="2" xfId="4" applyBorder="1" applyAlignment="1">
      <alignment horizontal="center" vertical="center"/>
    </xf>
    <xf numFmtId="169" fontId="6" fillId="0" borderId="2" xfId="6" applyNumberFormat="1" applyFont="1" applyBorder="1" applyAlignment="1">
      <alignment horizontal="center" vertical="center"/>
    </xf>
    <xf numFmtId="171" fontId="6" fillId="0" borderId="2" xfId="6" applyNumberFormat="1" applyFont="1" applyBorder="1" applyAlignment="1">
      <alignment horizontal="center" vertical="center"/>
    </xf>
    <xf numFmtId="171" fontId="6" fillId="0" borderId="2" xfId="0" applyNumberFormat="1" applyFont="1" applyBorder="1"/>
    <xf numFmtId="171" fontId="21" fillId="0" borderId="2" xfId="0" applyNumberFormat="1" applyFont="1" applyBorder="1" applyAlignment="1">
      <alignment horizontal="center" vertical="center"/>
    </xf>
    <xf numFmtId="165" fontId="21" fillId="0" borderId="2" xfId="0" applyNumberFormat="1" applyFont="1" applyBorder="1" applyAlignment="1">
      <alignment horizontal="center" vertical="center"/>
    </xf>
    <xf numFmtId="164" fontId="6" fillId="0" borderId="2" xfId="2" applyNumberFormat="1" applyFont="1" applyBorder="1" applyAlignment="1">
      <alignment horizontal="center" vertical="center"/>
    </xf>
    <xf numFmtId="0" fontId="44" fillId="0" borderId="0" xfId="0" applyFont="1" applyAlignment="1">
      <alignment horizontal="center" vertical="center"/>
    </xf>
    <xf numFmtId="1" fontId="20" fillId="0" borderId="0" xfId="0" applyNumberFormat="1" applyFont="1" applyAlignment="1">
      <alignment horizontal="center" vertical="center"/>
    </xf>
    <xf numFmtId="0" fontId="42" fillId="0" borderId="0" xfId="0" applyFont="1" applyAlignment="1">
      <alignment horizontal="center" vertical="center" wrapText="1"/>
    </xf>
    <xf numFmtId="0" fontId="1" fillId="0" borderId="2" xfId="0" applyFont="1" applyBorder="1" applyAlignment="1">
      <alignment horizontal="center" vertical="center" wrapText="1"/>
    </xf>
    <xf numFmtId="1" fontId="6" fillId="0" borderId="2" xfId="0" applyNumberFormat="1" applyFont="1" applyBorder="1" applyAlignment="1">
      <alignment horizontal="left" vertical="center" wrapText="1"/>
    </xf>
    <xf numFmtId="1" fontId="6" fillId="0" borderId="2" xfId="0" applyNumberFormat="1" applyFont="1" applyBorder="1" applyAlignment="1">
      <alignment horizontal="left" vertical="center"/>
    </xf>
    <xf numFmtId="0" fontId="1" fillId="0" borderId="2" xfId="0" applyFont="1" applyBorder="1" applyAlignment="1">
      <alignment vertical="center" wrapText="1"/>
    </xf>
    <xf numFmtId="0" fontId="1" fillId="0" borderId="2" xfId="0" applyFont="1" applyBorder="1" applyAlignment="1">
      <alignment vertical="center"/>
    </xf>
    <xf numFmtId="0" fontId="8" fillId="0" borderId="0" xfId="5"/>
    <xf numFmtId="0" fontId="10" fillId="2" borderId="0" xfId="0" applyFont="1" applyFill="1"/>
    <xf numFmtId="166" fontId="6" fillId="0" borderId="3" xfId="7" applyNumberFormat="1" applyFont="1" applyBorder="1" applyAlignment="1">
      <alignment horizontal="center" vertical="center"/>
    </xf>
    <xf numFmtId="165" fontId="1" fillId="0" borderId="23" xfId="7" applyNumberFormat="1" applyFont="1" applyBorder="1" applyAlignment="1">
      <alignment horizontal="center" vertical="center"/>
    </xf>
    <xf numFmtId="0" fontId="21" fillId="0" borderId="0" xfId="0" applyFont="1" applyAlignment="1">
      <alignment horizontal="center" vertical="center"/>
    </xf>
    <xf numFmtId="0" fontId="11" fillId="0" borderId="0" xfId="0" applyFont="1" applyAlignment="1">
      <alignment horizontal="center" vertical="center" wrapText="1"/>
    </xf>
    <xf numFmtId="0" fontId="7" fillId="9" borderId="2" xfId="0" applyFont="1" applyFill="1" applyBorder="1" applyAlignment="1">
      <alignment horizontal="center" vertical="center" wrapText="1"/>
    </xf>
    <xf numFmtId="2" fontId="6" fillId="0" borderId="2" xfId="0" applyNumberFormat="1" applyFont="1" applyBorder="1" applyAlignment="1">
      <alignment horizontal="center" vertical="center" wrapText="1"/>
    </xf>
    <xf numFmtId="0" fontId="6" fillId="0" borderId="229" xfId="0" applyFont="1" applyBorder="1"/>
    <xf numFmtId="43" fontId="7" fillId="0" borderId="2" xfId="6" applyFont="1" applyBorder="1" applyAlignment="1">
      <alignment horizontal="center" vertical="center"/>
    </xf>
    <xf numFmtId="43" fontId="6" fillId="0" borderId="2" xfId="6" applyFont="1" applyBorder="1" applyAlignment="1">
      <alignment horizontal="center" vertical="center"/>
    </xf>
    <xf numFmtId="0" fontId="6" fillId="0" borderId="0" xfId="13" applyFont="1"/>
    <xf numFmtId="0" fontId="21" fillId="0" borderId="0" xfId="13" applyFont="1" applyAlignment="1">
      <alignment vertical="center" wrapText="1"/>
    </xf>
    <xf numFmtId="165" fontId="21" fillId="0" borderId="0" xfId="13" applyNumberFormat="1" applyFont="1" applyAlignment="1">
      <alignment horizontal="left" vertical="center" wrapText="1"/>
    </xf>
    <xf numFmtId="0" fontId="21" fillId="0" borderId="0" xfId="13" applyFont="1" applyAlignment="1">
      <alignment vertical="center"/>
    </xf>
    <xf numFmtId="0" fontId="42" fillId="0" borderId="0" xfId="13" applyFont="1" applyAlignment="1">
      <alignment vertical="center" wrapText="1"/>
    </xf>
    <xf numFmtId="168" fontId="21" fillId="0" borderId="0" xfId="13" applyNumberFormat="1" applyFont="1" applyAlignment="1">
      <alignment horizontal="left" vertical="center" wrapText="1"/>
    </xf>
    <xf numFmtId="0" fontId="42" fillId="0" borderId="0" xfId="13" applyFont="1" applyAlignment="1">
      <alignment vertical="center"/>
    </xf>
    <xf numFmtId="0" fontId="21" fillId="0" borderId="0" xfId="13" applyFont="1" applyAlignment="1">
      <alignment horizontal="left" vertical="center" wrapText="1"/>
    </xf>
    <xf numFmtId="167" fontId="21" fillId="0" borderId="0" xfId="13" applyNumberFormat="1" applyFont="1" applyAlignment="1">
      <alignment horizontal="left" vertical="center" wrapText="1"/>
    </xf>
    <xf numFmtId="0" fontId="6" fillId="0" borderId="0" xfId="13" applyFont="1" applyAlignment="1">
      <alignment horizontal="left"/>
    </xf>
    <xf numFmtId="0" fontId="45" fillId="0" borderId="0" xfId="13"/>
    <xf numFmtId="0" fontId="22" fillId="15" borderId="37" xfId="13" applyFont="1" applyFill="1" applyBorder="1" applyAlignment="1">
      <alignment horizontal="center" vertical="center" wrapText="1"/>
    </xf>
    <xf numFmtId="0" fontId="22" fillId="15" borderId="12" xfId="13" applyFont="1" applyFill="1" applyBorder="1" applyAlignment="1">
      <alignment vertical="center" wrapText="1"/>
    </xf>
    <xf numFmtId="0" fontId="21" fillId="0" borderId="37" xfId="13" applyFont="1" applyBorder="1" applyAlignment="1">
      <alignment horizontal="center" vertical="center" wrapText="1"/>
    </xf>
    <xf numFmtId="165" fontId="21" fillId="18" borderId="37" xfId="13" applyNumberFormat="1" applyFont="1" applyFill="1" applyBorder="1" applyAlignment="1">
      <alignment horizontal="center" vertical="center" wrapText="1"/>
    </xf>
    <xf numFmtId="3" fontId="21" fillId="0" borderId="37" xfId="13" applyNumberFormat="1" applyFont="1" applyBorder="1" applyAlignment="1">
      <alignment horizontal="center" vertical="center" wrapText="1"/>
    </xf>
    <xf numFmtId="3" fontId="21" fillId="0" borderId="50" xfId="13" applyNumberFormat="1" applyFont="1" applyBorder="1" applyAlignment="1">
      <alignment horizontal="center" vertical="center" wrapText="1"/>
    </xf>
    <xf numFmtId="0" fontId="8" fillId="0" borderId="0" xfId="5" applyAlignment="1">
      <alignment horizontal="left" vertical="top"/>
    </xf>
    <xf numFmtId="0" fontId="6" fillId="0" borderId="0" xfId="13" applyFont="1" applyAlignment="1">
      <alignment wrapText="1"/>
    </xf>
    <xf numFmtId="0" fontId="6" fillId="7" borderId="18" xfId="13" applyFont="1" applyFill="1" applyBorder="1" applyAlignment="1">
      <alignment horizontal="left" vertical="center"/>
    </xf>
    <xf numFmtId="0" fontId="45" fillId="0" borderId="0" xfId="13" applyAlignment="1">
      <alignment horizontal="left" vertical="center"/>
    </xf>
    <xf numFmtId="0" fontId="6" fillId="0" borderId="0" xfId="13" applyFont="1" applyAlignment="1">
      <alignment horizontal="left" vertical="center"/>
    </xf>
    <xf numFmtId="0" fontId="6" fillId="7" borderId="22" xfId="13" applyFont="1" applyFill="1" applyBorder="1" applyAlignment="1">
      <alignment horizontal="left" vertical="center"/>
    </xf>
    <xf numFmtId="0" fontId="7" fillId="9" borderId="52" xfId="0" applyFont="1" applyFill="1" applyBorder="1" applyAlignment="1">
      <alignment horizontal="center" vertical="center" wrapText="1"/>
    </xf>
    <xf numFmtId="0" fontId="47" fillId="0" borderId="0" xfId="5" applyFont="1" applyAlignment="1">
      <alignment horizontal="left"/>
    </xf>
    <xf numFmtId="0" fontId="48" fillId="15" borderId="23" xfId="0" applyFont="1" applyFill="1" applyBorder="1" applyAlignment="1">
      <alignment horizontal="center" vertical="center" wrapText="1"/>
    </xf>
    <xf numFmtId="2" fontId="49" fillId="0" borderId="23" xfId="0" applyNumberFormat="1" applyFont="1" applyBorder="1" applyAlignment="1">
      <alignment horizontal="center" vertical="center" wrapText="1"/>
    </xf>
    <xf numFmtId="1" fontId="49" fillId="0" borderId="23" xfId="0" applyNumberFormat="1" applyFont="1" applyBorder="1" applyAlignment="1">
      <alignment horizontal="center" vertical="center" wrapText="1"/>
    </xf>
    <xf numFmtId="0" fontId="36" fillId="0" borderId="2" xfId="1" applyFont="1" applyBorder="1" applyAlignment="1">
      <alignment vertical="center"/>
    </xf>
    <xf numFmtId="10" fontId="36" fillId="0" borderId="2" xfId="0" applyNumberFormat="1" applyFont="1" applyBorder="1" applyAlignment="1">
      <alignment horizontal="center" vertical="center" wrapText="1"/>
    </xf>
    <xf numFmtId="0" fontId="36" fillId="0" borderId="2" xfId="1" applyFont="1" applyBorder="1" applyAlignment="1">
      <alignment vertical="center" wrapText="1"/>
    </xf>
    <xf numFmtId="0" fontId="36" fillId="0" borderId="2" xfId="1" applyFont="1" applyBorder="1" applyAlignment="1">
      <alignment horizontal="center" vertical="center" wrapText="1"/>
    </xf>
    <xf numFmtId="0" fontId="36" fillId="0" borderId="0" xfId="0" applyFont="1" applyAlignment="1">
      <alignment wrapText="1"/>
    </xf>
    <xf numFmtId="0" fontId="36" fillId="0" borderId="0" xfId="0" applyFont="1"/>
    <xf numFmtId="0" fontId="36" fillId="0" borderId="2" xfId="3" applyFont="1" applyFill="1" applyBorder="1" applyAlignment="1">
      <alignment horizontal="left" vertical="top" wrapText="1"/>
    </xf>
    <xf numFmtId="0" fontId="36" fillId="0" borderId="2" xfId="3" applyFont="1" applyBorder="1" applyAlignment="1">
      <alignment horizontal="left" vertical="top" wrapText="1"/>
    </xf>
    <xf numFmtId="1" fontId="36" fillId="0" borderId="23" xfId="7" applyNumberFormat="1" applyFont="1" applyBorder="1" applyAlignment="1">
      <alignment horizontal="center" vertical="center"/>
    </xf>
    <xf numFmtId="0" fontId="36" fillId="0" borderId="2" xfId="0" applyFont="1" applyBorder="1" applyAlignment="1">
      <alignment horizontal="left" vertical="center"/>
    </xf>
    <xf numFmtId="0" fontId="36" fillId="16" borderId="23" xfId="3" applyFont="1" applyFill="1" applyBorder="1" applyAlignment="1">
      <alignment horizontal="left" vertical="top" wrapText="1"/>
    </xf>
    <xf numFmtId="0" fontId="36" fillId="16" borderId="23" xfId="0" applyFont="1" applyFill="1" applyBorder="1"/>
    <xf numFmtId="169" fontId="36" fillId="16" borderId="23" xfId="0" applyNumberFormat="1" applyFont="1" applyFill="1" applyBorder="1"/>
    <xf numFmtId="3" fontId="36" fillId="16" borderId="23" xfId="0" applyNumberFormat="1" applyFont="1" applyFill="1" applyBorder="1"/>
    <xf numFmtId="1" fontId="36" fillId="16" borderId="23" xfId="0" applyNumberFormat="1" applyFont="1" applyFill="1" applyBorder="1" applyAlignment="1">
      <alignment vertical="center"/>
    </xf>
    <xf numFmtId="43" fontId="36" fillId="16" borderId="46" xfId="0" applyNumberFormat="1" applyFont="1" applyFill="1" applyBorder="1" applyAlignment="1">
      <alignment vertical="center"/>
    </xf>
    <xf numFmtId="0" fontId="36" fillId="0" borderId="2" xfId="0" applyFont="1" applyBorder="1"/>
    <xf numFmtId="169" fontId="36" fillId="0" borderId="23" xfId="6" applyNumberFormat="1" applyFont="1" applyBorder="1" applyAlignment="1">
      <alignment horizontal="right" vertical="center" wrapText="1"/>
    </xf>
    <xf numFmtId="0" fontId="36" fillId="0" borderId="23" xfId="0" applyFont="1" applyBorder="1" applyAlignment="1">
      <alignment horizontal="right" vertical="center"/>
    </xf>
    <xf numFmtId="169" fontId="36" fillId="0" borderId="23" xfId="6" applyNumberFormat="1" applyFont="1" applyBorder="1" applyAlignment="1">
      <alignment horizontal="right" vertical="center"/>
    </xf>
    <xf numFmtId="169" fontId="36" fillId="0" borderId="23" xfId="0" applyNumberFormat="1" applyFont="1" applyBorder="1" applyAlignment="1">
      <alignment horizontal="right" vertical="center"/>
    </xf>
    <xf numFmtId="0" fontId="35" fillId="0" borderId="225" xfId="0" applyFont="1" applyBorder="1" applyAlignment="1">
      <alignment horizontal="center" vertical="center"/>
    </xf>
    <xf numFmtId="0" fontId="35" fillId="0" borderId="10" xfId="0" applyFont="1" applyBorder="1" applyAlignment="1">
      <alignment horizontal="center" vertical="center"/>
    </xf>
    <xf numFmtId="0" fontId="35" fillId="0" borderId="226" xfId="0" applyFont="1" applyBorder="1" applyAlignment="1">
      <alignment horizontal="center" vertical="center"/>
    </xf>
    <xf numFmtId="0" fontId="7" fillId="6" borderId="57" xfId="0" applyFont="1" applyFill="1" applyBorder="1" applyAlignment="1">
      <alignment horizontal="center" vertical="center" wrapText="1"/>
    </xf>
    <xf numFmtId="0" fontId="36" fillId="0" borderId="2" xfId="0" applyFont="1" applyBorder="1" applyAlignment="1">
      <alignment vertical="center"/>
    </xf>
    <xf numFmtId="0" fontId="6" fillId="0" borderId="2" xfId="0" applyFont="1" applyBorder="1" applyAlignment="1">
      <alignment horizontal="right" vertical="center"/>
    </xf>
    <xf numFmtId="0" fontId="46" fillId="5" borderId="192" xfId="13" applyFont="1" applyFill="1" applyBorder="1" applyAlignment="1">
      <alignment vertical="center" wrapText="1"/>
    </xf>
    <xf numFmtId="0" fontId="50" fillId="7" borderId="14" xfId="13" applyFont="1" applyFill="1" applyBorder="1" applyAlignment="1">
      <alignment horizontal="left" vertical="center"/>
    </xf>
    <xf numFmtId="0" fontId="50" fillId="7" borderId="0" xfId="13" applyFont="1" applyFill="1" applyAlignment="1">
      <alignment horizontal="left" vertical="center"/>
    </xf>
    <xf numFmtId="0" fontId="36" fillId="7" borderId="0" xfId="13" applyFont="1" applyFill="1" applyAlignment="1">
      <alignment horizontal="left" vertical="center"/>
    </xf>
    <xf numFmtId="0" fontId="36" fillId="7" borderId="18" xfId="13" applyFont="1" applyFill="1" applyBorder="1" applyAlignment="1">
      <alignment horizontal="left" vertical="center"/>
    </xf>
    <xf numFmtId="3" fontId="36" fillId="20" borderId="0" xfId="6" applyNumberFormat="1" applyFont="1" applyFill="1" applyBorder="1" applyAlignment="1">
      <alignment horizontal="left" vertical="center"/>
    </xf>
    <xf numFmtId="3" fontId="36" fillId="0" borderId="37" xfId="13" applyNumberFormat="1" applyFont="1" applyBorder="1" applyAlignment="1">
      <alignment horizontal="center" vertical="center" wrapText="1"/>
    </xf>
    <xf numFmtId="0" fontId="6" fillId="0" borderId="43" xfId="0" applyFont="1" applyBorder="1" applyAlignment="1">
      <alignment horizontal="center" vertical="center"/>
    </xf>
    <xf numFmtId="0" fontId="6" fillId="0" borderId="24" xfId="0" applyFont="1" applyBorder="1" applyAlignment="1">
      <alignment horizontal="center" vertical="center"/>
    </xf>
    <xf numFmtId="0" fontId="51" fillId="0" borderId="2" xfId="0" applyFont="1" applyBorder="1" applyAlignment="1">
      <alignment vertical="center" wrapText="1"/>
    </xf>
    <xf numFmtId="0" fontId="54" fillId="5" borderId="224" xfId="13" applyFont="1" applyFill="1" applyBorder="1" applyAlignment="1">
      <alignment vertical="center" wrapText="1"/>
    </xf>
    <xf numFmtId="0" fontId="54" fillId="19" borderId="13" xfId="13" applyFont="1" applyFill="1" applyBorder="1" applyAlignment="1">
      <alignment vertical="center" wrapText="1"/>
    </xf>
    <xf numFmtId="0" fontId="54" fillId="19" borderId="14" xfId="13" applyFont="1" applyFill="1" applyBorder="1" applyAlignment="1">
      <alignment vertical="center" wrapText="1"/>
    </xf>
    <xf numFmtId="0" fontId="46" fillId="19" borderId="14" xfId="13" applyFont="1" applyFill="1" applyBorder="1" applyAlignment="1">
      <alignment vertical="center" wrapText="1"/>
    </xf>
    <xf numFmtId="0" fontId="54" fillId="19" borderId="14" xfId="13" applyFont="1" applyFill="1" applyBorder="1" applyAlignment="1">
      <alignment horizontal="left" vertical="center" wrapText="1"/>
    </xf>
    <xf numFmtId="0" fontId="54" fillId="19" borderId="15" xfId="13" applyFont="1" applyFill="1" applyBorder="1" applyAlignment="1">
      <alignment vertical="center" wrapText="1"/>
    </xf>
    <xf numFmtId="2" fontId="36" fillId="16" borderId="233" xfId="13" applyNumberFormat="1" applyFont="1" applyFill="1" applyBorder="1" applyAlignment="1">
      <alignment horizontal="center" vertical="center" wrapText="1"/>
    </xf>
    <xf numFmtId="0" fontId="21" fillId="0" borderId="0" xfId="0" applyFont="1"/>
    <xf numFmtId="0" fontId="21" fillId="0" borderId="235" xfId="0" applyFont="1" applyBorder="1" applyAlignment="1">
      <alignment horizontal="center" vertical="center" wrapText="1"/>
    </xf>
    <xf numFmtId="0" fontId="21" fillId="0" borderId="54" xfId="0" applyFont="1" applyBorder="1" applyAlignment="1">
      <alignment horizontal="center" vertical="center" wrapText="1"/>
    </xf>
    <xf numFmtId="0" fontId="21" fillId="0" borderId="0" xfId="0" applyFont="1" applyAlignment="1">
      <alignment vertical="center"/>
    </xf>
    <xf numFmtId="0" fontId="6" fillId="0" borderId="0" xfId="0" applyFont="1" applyAlignment="1">
      <alignment vertical="center"/>
    </xf>
    <xf numFmtId="0" fontId="6" fillId="0" borderId="0" xfId="0" applyFont="1" applyAlignment="1">
      <alignment horizontal="left"/>
    </xf>
    <xf numFmtId="0" fontId="55" fillId="0" borderId="0" xfId="5" applyFont="1" applyAlignment="1"/>
    <xf numFmtId="0" fontId="55" fillId="0" borderId="0" xfId="5" applyFont="1" applyAlignment="1">
      <alignment horizontal="left"/>
    </xf>
    <xf numFmtId="0" fontId="14" fillId="0" borderId="0" xfId="5" applyFont="1" applyAlignment="1">
      <alignment horizontal="left" vertical="center"/>
    </xf>
    <xf numFmtId="0" fontId="14" fillId="0" borderId="0" xfId="5" applyFont="1" applyAlignment="1">
      <alignment horizontal="left"/>
    </xf>
    <xf numFmtId="0" fontId="55" fillId="0" borderId="0" xfId="5" applyFont="1" applyAlignment="1">
      <alignment horizontal="left" vertical="center"/>
    </xf>
    <xf numFmtId="2" fontId="36" fillId="0" borderId="54" xfId="0" applyNumberFormat="1" applyFont="1" applyBorder="1" applyAlignment="1">
      <alignment horizontal="center" vertical="center" wrapText="1"/>
    </xf>
    <xf numFmtId="0" fontId="56" fillId="0" borderId="0" xfId="0" applyFont="1"/>
    <xf numFmtId="0" fontId="34" fillId="11" borderId="236" xfId="0" applyFont="1" applyFill="1" applyBorder="1" applyAlignment="1">
      <alignment horizontal="left" vertical="center"/>
    </xf>
    <xf numFmtId="0" fontId="34" fillId="11" borderId="229" xfId="0" applyFont="1" applyFill="1" applyBorder="1" applyAlignment="1">
      <alignment horizontal="left" vertical="center"/>
    </xf>
    <xf numFmtId="3" fontId="36" fillId="0" borderId="2" xfId="0" applyNumberFormat="1" applyFont="1" applyBorder="1" applyAlignment="1">
      <alignment horizontal="center" vertical="center" wrapText="1"/>
    </xf>
    <xf numFmtId="169" fontId="36" fillId="0" borderId="2" xfId="0" applyNumberFormat="1" applyFont="1" applyBorder="1" applyAlignment="1">
      <alignment horizontal="center" vertical="center" wrapText="1"/>
    </xf>
    <xf numFmtId="0" fontId="46" fillId="9" borderId="2" xfId="0" applyFont="1" applyFill="1" applyBorder="1" applyAlignment="1">
      <alignment horizontal="center" vertical="center" wrapText="1"/>
    </xf>
    <xf numFmtId="0" fontId="36" fillId="0" borderId="56" xfId="0" applyFont="1" applyBorder="1" applyAlignment="1">
      <alignment horizontal="center" vertical="center" wrapText="1"/>
    </xf>
    <xf numFmtId="0" fontId="52" fillId="0" borderId="2" xfId="0" applyFont="1" applyBorder="1" applyAlignment="1">
      <alignment horizontal="left" vertical="center" wrapText="1"/>
    </xf>
    <xf numFmtId="0" fontId="21" fillId="0" borderId="19" xfId="0" applyFont="1" applyBorder="1" applyAlignment="1">
      <alignment horizontal="left" vertical="center"/>
    </xf>
    <xf numFmtId="0" fontId="52" fillId="0" borderId="19" xfId="0" applyFont="1" applyBorder="1" applyAlignment="1">
      <alignment horizontal="left" vertical="center" wrapText="1"/>
    </xf>
    <xf numFmtId="2" fontId="17" fillId="0" borderId="2" xfId="0" applyNumberFormat="1" applyFont="1" applyBorder="1" applyAlignment="1">
      <alignment horizontal="center" vertical="center" wrapText="1"/>
    </xf>
    <xf numFmtId="169" fontId="6" fillId="0" borderId="23" xfId="0" applyNumberFormat="1" applyFont="1" applyBorder="1" applyAlignment="1">
      <alignment vertical="center"/>
    </xf>
    <xf numFmtId="3" fontId="6" fillId="0" borderId="23" xfId="0" applyNumberFormat="1" applyFont="1" applyBorder="1" applyAlignment="1">
      <alignment vertical="center"/>
    </xf>
    <xf numFmtId="165" fontId="6" fillId="0" borderId="23" xfId="0" applyNumberFormat="1" applyFont="1" applyBorder="1" applyAlignment="1">
      <alignment vertical="center"/>
    </xf>
    <xf numFmtId="171" fontId="6" fillId="0" borderId="46" xfId="0" applyNumberFormat="1" applyFont="1" applyBorder="1" applyAlignment="1">
      <alignment vertical="center"/>
    </xf>
    <xf numFmtId="165" fontId="36" fillId="0" borderId="23" xfId="0" applyNumberFormat="1" applyFont="1" applyBorder="1" applyAlignment="1">
      <alignment vertical="center"/>
    </xf>
    <xf numFmtId="1" fontId="36" fillId="0" borderId="2" xfId="0" applyNumberFormat="1" applyFont="1" applyBorder="1" applyAlignment="1">
      <alignment horizontal="center" vertical="center" wrapText="1"/>
    </xf>
    <xf numFmtId="43" fontId="7" fillId="0" borderId="0" xfId="6" applyFont="1" applyBorder="1" applyAlignment="1">
      <alignment horizontal="center" vertical="center"/>
    </xf>
    <xf numFmtId="43" fontId="7" fillId="0" borderId="0" xfId="6" applyFont="1" applyBorder="1" applyAlignment="1">
      <alignment horizontal="left" vertical="center"/>
    </xf>
    <xf numFmtId="2" fontId="17" fillId="0" borderId="0" xfId="0" applyNumberFormat="1" applyFont="1" applyAlignment="1">
      <alignment horizontal="center" vertical="center" wrapText="1"/>
    </xf>
    <xf numFmtId="43" fontId="6" fillId="0" borderId="0" xfId="6" applyFont="1" applyBorder="1" applyAlignment="1">
      <alignment horizontal="center" vertical="center"/>
    </xf>
    <xf numFmtId="43" fontId="36" fillId="0" borderId="0" xfId="6" applyFont="1" applyBorder="1" applyAlignment="1">
      <alignment horizontal="center" vertical="center" wrapText="1"/>
    </xf>
    <xf numFmtId="0" fontId="7" fillId="9" borderId="57" xfId="0" applyFont="1" applyFill="1" applyBorder="1" applyAlignment="1">
      <alignment horizontal="center" vertical="center" wrapText="1"/>
    </xf>
    <xf numFmtId="0" fontId="14" fillId="0" borderId="0" xfId="5" applyFont="1" applyAlignment="1"/>
    <xf numFmtId="0" fontId="14" fillId="0" borderId="0" xfId="5" applyFont="1" applyAlignment="1">
      <alignment wrapText="1"/>
    </xf>
    <xf numFmtId="0" fontId="14" fillId="0" borderId="0" xfId="5" applyFont="1" applyFill="1" applyBorder="1" applyAlignment="1"/>
    <xf numFmtId="0" fontId="36" fillId="0" borderId="0" xfId="0" applyFont="1" applyAlignment="1">
      <alignment vertical="center"/>
    </xf>
    <xf numFmtId="0" fontId="57" fillId="0" borderId="0" xfId="0" applyFont="1"/>
    <xf numFmtId="3" fontId="6" fillId="0" borderId="241" xfId="7" applyNumberFormat="1" applyFont="1" applyBorder="1" applyAlignment="1">
      <alignment horizontal="center" vertical="center"/>
    </xf>
    <xf numFmtId="3" fontId="6" fillId="0" borderId="242" xfId="7" applyNumberFormat="1" applyFont="1" applyBorder="1" applyAlignment="1">
      <alignment horizontal="center" vertical="center"/>
    </xf>
    <xf numFmtId="3" fontId="6" fillId="0" borderId="45" xfId="7" applyNumberFormat="1" applyFont="1" applyBorder="1" applyAlignment="1">
      <alignment horizontal="center" vertical="center"/>
    </xf>
    <xf numFmtId="0" fontId="53" fillId="0" borderId="2" xfId="3" applyFont="1" applyBorder="1" applyAlignment="1">
      <alignment horizontal="center" vertical="center" wrapText="1"/>
    </xf>
    <xf numFmtId="0" fontId="53" fillId="0" borderId="0" xfId="0" applyFont="1"/>
    <xf numFmtId="0" fontId="6" fillId="0" borderId="243" xfId="0" applyFont="1" applyBorder="1" applyAlignment="1">
      <alignment horizontal="left" vertical="center"/>
    </xf>
    <xf numFmtId="0" fontId="1" fillId="0" borderId="12" xfId="0" applyFont="1" applyBorder="1" applyAlignment="1">
      <alignment horizontal="center" vertical="center"/>
    </xf>
    <xf numFmtId="0" fontId="53" fillId="0" borderId="245" xfId="0" applyFont="1" applyBorder="1" applyAlignment="1">
      <alignment vertical="center"/>
    </xf>
    <xf numFmtId="0" fontId="53" fillId="0" borderId="247" xfId="0" applyFont="1" applyBorder="1" applyAlignment="1">
      <alignment vertical="center"/>
    </xf>
    <xf numFmtId="0" fontId="53" fillId="0" borderId="204" xfId="0" applyFont="1" applyBorder="1" applyAlignment="1">
      <alignment horizontal="center" vertical="center"/>
    </xf>
    <xf numFmtId="0" fontId="53" fillId="0" borderId="23" xfId="0" applyFont="1" applyBorder="1" applyAlignment="1">
      <alignment horizontal="center" vertical="center"/>
    </xf>
    <xf numFmtId="3" fontId="36" fillId="0" borderId="23" xfId="7" applyNumberFormat="1" applyFont="1" applyBorder="1" applyAlignment="1">
      <alignment horizontal="center" vertical="center"/>
    </xf>
    <xf numFmtId="0" fontId="46" fillId="0" borderId="23" xfId="0" applyFont="1" applyBorder="1" applyAlignment="1">
      <alignment horizontal="center" vertical="center" wrapText="1"/>
    </xf>
    <xf numFmtId="43" fontId="36" fillId="0" borderId="23" xfId="6" applyFont="1" applyBorder="1" applyAlignment="1">
      <alignment horizontal="center" vertical="center" wrapText="1"/>
    </xf>
    <xf numFmtId="169" fontId="36" fillId="0" borderId="23" xfId="6" applyNumberFormat="1" applyFont="1" applyBorder="1" applyAlignment="1">
      <alignment horizontal="center" vertical="center"/>
    </xf>
    <xf numFmtId="169" fontId="36" fillId="0" borderId="23" xfId="6" applyNumberFormat="1" applyFont="1" applyFill="1" applyBorder="1" applyAlignment="1">
      <alignment horizontal="center" vertical="center" wrapText="1"/>
    </xf>
    <xf numFmtId="169" fontId="36" fillId="0" borderId="23" xfId="6" applyNumberFormat="1" applyFont="1" applyBorder="1" applyAlignment="1">
      <alignment horizontal="center" vertical="center" wrapText="1"/>
    </xf>
    <xf numFmtId="169" fontId="36" fillId="0" borderId="23" xfId="0" applyNumberFormat="1" applyFont="1" applyBorder="1" applyAlignment="1">
      <alignment vertical="center"/>
    </xf>
    <xf numFmtId="0" fontId="50" fillId="0" borderId="23" xfId="0" applyFont="1" applyBorder="1"/>
    <xf numFmtId="1" fontId="36" fillId="0" borderId="6" xfId="3" applyNumberFormat="1" applyFont="1" applyBorder="1" applyAlignment="1">
      <alignment horizontal="left" vertical="center" wrapText="1"/>
    </xf>
    <xf numFmtId="169" fontId="36" fillId="0" borderId="2" xfId="6" applyNumberFormat="1" applyFont="1" applyBorder="1" applyAlignment="1">
      <alignment horizontal="center" vertical="center" wrapText="1"/>
    </xf>
    <xf numFmtId="1" fontId="50" fillId="0" borderId="2" xfId="0" applyNumberFormat="1" applyFont="1" applyBorder="1" applyAlignment="1">
      <alignment horizontal="center" vertical="center"/>
    </xf>
    <xf numFmtId="0" fontId="50" fillId="0" borderId="2" xfId="0" applyFont="1" applyBorder="1" applyAlignment="1">
      <alignment horizontal="center" vertical="center"/>
    </xf>
    <xf numFmtId="43" fontId="50" fillId="0" borderId="2" xfId="0" applyNumberFormat="1" applyFont="1" applyBorder="1" applyAlignment="1">
      <alignment horizontal="center" vertical="center"/>
    </xf>
    <xf numFmtId="169" fontId="50" fillId="0" borderId="7" xfId="6" applyNumberFormat="1" applyFont="1" applyFill="1" applyBorder="1" applyAlignment="1">
      <alignment horizontal="center" vertical="center"/>
    </xf>
    <xf numFmtId="1" fontId="36" fillId="0" borderId="2" xfId="0" applyNumberFormat="1" applyFont="1" applyBorder="1" applyAlignment="1">
      <alignment horizontal="left" vertical="center"/>
    </xf>
    <xf numFmtId="0" fontId="52" fillId="0" borderId="2" xfId="0" applyFont="1" applyBorder="1" applyAlignment="1">
      <alignment wrapText="1"/>
    </xf>
    <xf numFmtId="1" fontId="36" fillId="0" borderId="2" xfId="0" applyNumberFormat="1" applyFont="1" applyBorder="1" applyAlignment="1">
      <alignment horizontal="left" vertical="center" wrapText="1"/>
    </xf>
    <xf numFmtId="0" fontId="36" fillId="0" borderId="2" xfId="3" applyFont="1" applyBorder="1" applyAlignment="1">
      <alignment horizontal="left" vertical="center" wrapText="1"/>
    </xf>
    <xf numFmtId="0" fontId="36" fillId="0" borderId="23" xfId="0" applyFont="1" applyBorder="1" applyAlignment="1">
      <alignment vertical="center"/>
    </xf>
    <xf numFmtId="3" fontId="36" fillId="0" borderId="23" xfId="0" applyNumberFormat="1" applyFont="1" applyBorder="1" applyAlignment="1">
      <alignment vertical="center"/>
    </xf>
    <xf numFmtId="1" fontId="36" fillId="0" borderId="23" xfId="0" applyNumberFormat="1" applyFont="1" applyBorder="1" applyAlignment="1">
      <alignment vertical="center"/>
    </xf>
    <xf numFmtId="169" fontId="36" fillId="0" borderId="2" xfId="3" applyNumberFormat="1" applyFont="1" applyBorder="1" applyAlignment="1">
      <alignment horizontal="center" vertical="center" wrapText="1"/>
    </xf>
    <xf numFmtId="0" fontId="36" fillId="0" borderId="19" xfId="3" applyFont="1" applyBorder="1" applyAlignment="1">
      <alignment horizontal="center" vertical="center" wrapText="1"/>
    </xf>
    <xf numFmtId="169" fontId="36" fillId="0" borderId="19" xfId="6" applyNumberFormat="1" applyFont="1" applyBorder="1" applyAlignment="1">
      <alignment horizontal="center" vertical="center" wrapText="1"/>
    </xf>
    <xf numFmtId="0" fontId="36" fillId="0" borderId="2" xfId="3" applyFont="1" applyBorder="1" applyAlignment="1">
      <alignment horizontal="center" vertical="center" wrapText="1"/>
    </xf>
    <xf numFmtId="171" fontId="36" fillId="0" borderId="46" xfId="0" applyNumberFormat="1" applyFont="1" applyBorder="1" applyAlignment="1">
      <alignment vertical="center"/>
    </xf>
    <xf numFmtId="0" fontId="1" fillId="0" borderId="23" xfId="0" applyFont="1" applyBorder="1" applyAlignment="1">
      <alignment horizontal="center" vertical="center" wrapText="1"/>
    </xf>
    <xf numFmtId="0" fontId="59" fillId="6" borderId="57" xfId="0" applyFont="1" applyFill="1" applyBorder="1" applyAlignment="1">
      <alignment horizontal="center" vertical="center" wrapText="1"/>
    </xf>
    <xf numFmtId="0" fontId="7" fillId="4" borderId="0" xfId="0" applyFont="1" applyFill="1" applyAlignment="1">
      <alignment vertical="center"/>
    </xf>
    <xf numFmtId="0" fontId="7" fillId="4" borderId="216" xfId="0" applyFont="1" applyFill="1" applyBorder="1" applyAlignment="1">
      <alignment vertical="center"/>
    </xf>
    <xf numFmtId="0" fontId="7" fillId="4" borderId="217" xfId="0" applyFont="1" applyFill="1" applyBorder="1" applyAlignment="1">
      <alignment vertical="center"/>
    </xf>
    <xf numFmtId="0" fontId="7" fillId="4" borderId="218" xfId="0" applyFont="1" applyFill="1" applyBorder="1" applyAlignment="1">
      <alignment vertical="center"/>
    </xf>
    <xf numFmtId="0" fontId="7" fillId="4" borderId="219" xfId="0" applyFont="1" applyFill="1" applyBorder="1" applyAlignment="1">
      <alignment vertical="center"/>
    </xf>
    <xf numFmtId="0" fontId="7" fillId="4" borderId="220" xfId="0" applyFont="1" applyFill="1" applyBorder="1" applyAlignment="1">
      <alignment vertical="center"/>
    </xf>
    <xf numFmtId="10" fontId="58" fillId="0" borderId="46" xfId="2" applyNumberFormat="1" applyFont="1" applyBorder="1" applyAlignment="1">
      <alignment horizontal="left" vertical="center" wrapText="1"/>
    </xf>
    <xf numFmtId="0" fontId="60" fillId="2" borderId="0" xfId="0" applyFont="1" applyFill="1" applyAlignment="1">
      <alignment vertical="center"/>
    </xf>
    <xf numFmtId="0" fontId="60" fillId="4" borderId="221" xfId="0" applyFont="1" applyFill="1" applyBorder="1" applyAlignment="1">
      <alignment vertical="center"/>
    </xf>
    <xf numFmtId="0" fontId="60" fillId="4" borderId="222" xfId="0" applyFont="1" applyFill="1" applyBorder="1" applyAlignment="1">
      <alignment vertical="center"/>
    </xf>
    <xf numFmtId="0" fontId="60" fillId="4" borderId="223" xfId="0" applyFont="1" applyFill="1" applyBorder="1" applyAlignment="1">
      <alignment vertical="center"/>
    </xf>
    <xf numFmtId="1" fontId="1" fillId="0" borderId="46" xfId="7" applyNumberFormat="1" applyFont="1" applyBorder="1" applyAlignment="1">
      <alignment horizontal="center" vertical="center"/>
    </xf>
    <xf numFmtId="0" fontId="9" fillId="0" borderId="11" xfId="3" applyFont="1" applyFill="1" applyBorder="1" applyAlignment="1">
      <alignment horizontal="center" vertical="center" wrapText="1"/>
    </xf>
    <xf numFmtId="0" fontId="36" fillId="0" borderId="11" xfId="3" applyFont="1" applyFill="1" applyBorder="1" applyAlignment="1">
      <alignment horizontal="center" vertical="center" wrapText="1"/>
    </xf>
    <xf numFmtId="0" fontId="40" fillId="0" borderId="0" xfId="0" applyFont="1" applyAlignment="1">
      <alignment vertical="center"/>
    </xf>
    <xf numFmtId="0" fontId="38" fillId="0" borderId="0" xfId="0" applyFont="1" applyAlignment="1">
      <alignment vertical="center"/>
    </xf>
    <xf numFmtId="168" fontId="14" fillId="0" borderId="0" xfId="5" applyNumberFormat="1" applyFont="1" applyAlignment="1">
      <alignment horizontal="left" vertical="center"/>
    </xf>
    <xf numFmtId="0" fontId="1" fillId="0" borderId="0" xfId="0" applyFont="1" applyAlignment="1">
      <alignment vertical="center"/>
    </xf>
    <xf numFmtId="0" fontId="1" fillId="0" borderId="2" xfId="3" applyFont="1" applyBorder="1" applyAlignment="1">
      <alignment horizontal="center" vertical="center" wrapText="1"/>
    </xf>
    <xf numFmtId="9" fontId="6" fillId="0" borderId="2" xfId="0" applyNumberFormat="1" applyFont="1" applyBorder="1" applyAlignment="1">
      <alignment vertical="center"/>
    </xf>
    <xf numFmtId="0" fontId="14" fillId="0" borderId="0" xfId="5" applyFont="1" applyAlignment="1">
      <alignment vertical="center"/>
    </xf>
    <xf numFmtId="0" fontId="14" fillId="0" borderId="0" xfId="5" applyFont="1" applyAlignment="1">
      <alignment horizontal="center" vertical="center"/>
    </xf>
    <xf numFmtId="168" fontId="14" fillId="0" borderId="0" xfId="5" applyNumberFormat="1" applyFont="1" applyAlignment="1">
      <alignment horizontal="center" vertical="center"/>
    </xf>
    <xf numFmtId="169" fontId="7" fillId="0" borderId="0" xfId="0" applyNumberFormat="1" applyFont="1" applyAlignment="1">
      <alignment horizontal="center" vertical="center" wrapText="1"/>
    </xf>
    <xf numFmtId="3" fontId="6" fillId="0" borderId="0" xfId="0" applyNumberFormat="1" applyFont="1" applyAlignment="1">
      <alignment horizontal="center" vertical="center" wrapText="1"/>
    </xf>
    <xf numFmtId="0" fontId="7" fillId="2" borderId="0" xfId="0" applyFont="1" applyFill="1" applyAlignment="1">
      <alignment vertical="center" wrapText="1"/>
    </xf>
    <xf numFmtId="0" fontId="53" fillId="0" borderId="11" xfId="3" applyFont="1" applyBorder="1" applyAlignment="1">
      <alignment horizontal="center" vertical="center" wrapText="1"/>
    </xf>
    <xf numFmtId="0" fontId="17" fillId="9" borderId="2" xfId="0" applyFont="1" applyFill="1" applyBorder="1" applyAlignment="1">
      <alignment horizontal="center" vertical="center"/>
    </xf>
    <xf numFmtId="167" fontId="6" fillId="0" borderId="23" xfId="0" applyNumberFormat="1" applyFont="1" applyBorder="1" applyAlignment="1">
      <alignment horizontal="center" vertical="center" wrapText="1"/>
    </xf>
    <xf numFmtId="167" fontId="53" fillId="0" borderId="23" xfId="0" applyNumberFormat="1" applyFont="1" applyBorder="1" applyAlignment="1">
      <alignment horizontal="center" vertical="center" wrapText="1"/>
    </xf>
    <xf numFmtId="167" fontId="6" fillId="0" borderId="23" xfId="0" applyNumberFormat="1" applyFont="1" applyBorder="1" applyAlignment="1">
      <alignment horizontal="center" vertical="center"/>
    </xf>
    <xf numFmtId="0" fontId="6" fillId="0" borderId="23" xfId="0" applyFont="1" applyBorder="1" applyAlignment="1">
      <alignment horizontal="left" vertical="center"/>
    </xf>
    <xf numFmtId="0" fontId="7" fillId="6" borderId="56" xfId="0" applyFont="1" applyFill="1" applyBorder="1" applyAlignment="1">
      <alignment horizontal="center" vertical="center"/>
    </xf>
    <xf numFmtId="0" fontId="6" fillId="7" borderId="56" xfId="0" applyFont="1" applyFill="1" applyBorder="1" applyAlignment="1">
      <alignment horizontal="center" vertical="center"/>
    </xf>
    <xf numFmtId="0" fontId="6" fillId="5" borderId="56" xfId="0" applyFont="1" applyFill="1" applyBorder="1" applyAlignment="1">
      <alignment horizontal="center" vertical="center"/>
    </xf>
    <xf numFmtId="168" fontId="6" fillId="5" borderId="56" xfId="0" applyNumberFormat="1" applyFont="1" applyFill="1" applyBorder="1" applyAlignment="1">
      <alignment horizontal="center" vertical="center"/>
    </xf>
    <xf numFmtId="0" fontId="6" fillId="3" borderId="56" xfId="0" applyFont="1" applyFill="1" applyBorder="1" applyAlignment="1">
      <alignment horizontal="center" vertical="center"/>
    </xf>
    <xf numFmtId="168" fontId="6" fillId="3" borderId="56" xfId="0" applyNumberFormat="1" applyFont="1" applyFill="1" applyBorder="1" applyAlignment="1">
      <alignment horizontal="center" vertical="center"/>
    </xf>
    <xf numFmtId="0" fontId="36" fillId="10" borderId="56" xfId="0" applyFont="1" applyFill="1" applyBorder="1" applyAlignment="1">
      <alignment horizontal="center" vertical="center"/>
    </xf>
    <xf numFmtId="0" fontId="6" fillId="22" borderId="56" xfId="0" applyFont="1" applyFill="1" applyBorder="1" applyAlignment="1">
      <alignment horizontal="center" vertical="center"/>
    </xf>
    <xf numFmtId="0" fontId="1" fillId="22" borderId="56" xfId="0" applyFont="1" applyFill="1" applyBorder="1" applyAlignment="1">
      <alignment horizontal="center" vertical="center"/>
    </xf>
    <xf numFmtId="168" fontId="6" fillId="22" borderId="56" xfId="0" applyNumberFormat="1" applyFont="1" applyFill="1" applyBorder="1" applyAlignment="1">
      <alignment horizontal="center" vertical="center"/>
    </xf>
    <xf numFmtId="2" fontId="6" fillId="0" borderId="56" xfId="0" applyNumberFormat="1" applyFont="1" applyBorder="1" applyAlignment="1">
      <alignment horizontal="center" vertical="center"/>
    </xf>
    <xf numFmtId="0" fontId="6" fillId="4" borderId="56" xfId="0" applyFont="1" applyFill="1" applyBorder="1" applyAlignment="1">
      <alignment horizontal="center" vertical="center"/>
    </xf>
    <xf numFmtId="2" fontId="6" fillId="7" borderId="56" xfId="0" applyNumberFormat="1" applyFont="1" applyFill="1" applyBorder="1" applyAlignment="1">
      <alignment horizontal="center" vertical="center"/>
    </xf>
    <xf numFmtId="0" fontId="51" fillId="5" borderId="56" xfId="0" applyFont="1" applyFill="1" applyBorder="1" applyAlignment="1">
      <alignment horizontal="center" vertical="center" wrapText="1"/>
    </xf>
    <xf numFmtId="0" fontId="36" fillId="23" borderId="56" xfId="0" applyFont="1" applyFill="1" applyBorder="1" applyAlignment="1">
      <alignment horizontal="center" vertical="center"/>
    </xf>
    <xf numFmtId="168" fontId="36" fillId="23" borderId="56" xfId="0" applyNumberFormat="1" applyFont="1" applyFill="1" applyBorder="1" applyAlignment="1">
      <alignment horizontal="center" vertical="center"/>
    </xf>
    <xf numFmtId="2" fontId="36" fillId="23" borderId="56" xfId="0" applyNumberFormat="1" applyFont="1" applyFill="1" applyBorder="1" applyAlignment="1">
      <alignment horizontal="center" vertical="center"/>
    </xf>
    <xf numFmtId="0" fontId="46" fillId="6" borderId="249" xfId="0" applyFont="1" applyFill="1" applyBorder="1" applyAlignment="1">
      <alignment horizontal="center" vertical="center" wrapText="1"/>
    </xf>
    <xf numFmtId="0" fontId="36" fillId="0" borderId="249" xfId="0" applyFont="1" applyBorder="1" applyAlignment="1">
      <alignment horizontal="center" vertical="center" wrapText="1"/>
    </xf>
    <xf numFmtId="37" fontId="36" fillId="24" borderId="13" xfId="6" applyNumberFormat="1" applyFont="1" applyFill="1" applyBorder="1" applyAlignment="1">
      <alignment horizontal="left" vertical="center"/>
    </xf>
    <xf numFmtId="37" fontId="36" fillId="24" borderId="17" xfId="6" applyNumberFormat="1" applyFont="1" applyFill="1" applyBorder="1" applyAlignment="1">
      <alignment horizontal="left" vertical="center"/>
    </xf>
    <xf numFmtId="37" fontId="6" fillId="24" borderId="17" xfId="6" applyNumberFormat="1" applyFont="1" applyFill="1" applyBorder="1" applyAlignment="1">
      <alignment horizontal="left" vertical="center"/>
    </xf>
    <xf numFmtId="37" fontId="6" fillId="24" borderId="20" xfId="6" applyNumberFormat="1" applyFont="1" applyFill="1" applyBorder="1" applyAlignment="1">
      <alignment horizontal="left" vertical="center"/>
    </xf>
    <xf numFmtId="0" fontId="36" fillId="20" borderId="0" xfId="13" applyFont="1" applyFill="1" applyAlignment="1">
      <alignment horizontal="left" vertical="center"/>
    </xf>
    <xf numFmtId="0" fontId="36" fillId="24" borderId="0" xfId="13" applyFont="1" applyFill="1" applyAlignment="1">
      <alignment horizontal="left" vertical="center"/>
    </xf>
    <xf numFmtId="0" fontId="36" fillId="20" borderId="192" xfId="13" applyFont="1" applyFill="1" applyBorder="1" applyAlignment="1">
      <alignment horizontal="left" vertical="center"/>
    </xf>
    <xf numFmtId="0" fontId="36" fillId="20" borderId="224" xfId="13" applyFont="1" applyFill="1" applyBorder="1" applyAlignment="1">
      <alignment horizontal="left" vertical="center"/>
    </xf>
    <xf numFmtId="3" fontId="36" fillId="20" borderId="224" xfId="6" applyNumberFormat="1" applyFont="1" applyFill="1" applyBorder="1" applyAlignment="1">
      <alignment horizontal="left" vertical="center"/>
    </xf>
    <xf numFmtId="0" fontId="36" fillId="20" borderId="254" xfId="13" applyFont="1" applyFill="1" applyBorder="1" applyAlignment="1">
      <alignment horizontal="left" vertical="center"/>
    </xf>
    <xf numFmtId="0" fontId="36" fillId="20" borderId="229" xfId="13" applyFont="1" applyFill="1" applyBorder="1" applyAlignment="1">
      <alignment horizontal="left" vertical="center"/>
    </xf>
    <xf numFmtId="0" fontId="36" fillId="20" borderId="253" xfId="13" applyFont="1" applyFill="1" applyBorder="1" applyAlignment="1">
      <alignment horizontal="left" vertical="center"/>
    </xf>
    <xf numFmtId="0" fontId="36" fillId="20" borderId="255" xfId="13" applyFont="1" applyFill="1" applyBorder="1" applyAlignment="1">
      <alignment horizontal="left" vertical="center"/>
    </xf>
    <xf numFmtId="0" fontId="36" fillId="20" borderId="227" xfId="13" applyFont="1" applyFill="1" applyBorder="1" applyAlignment="1">
      <alignment horizontal="left" vertical="center"/>
    </xf>
    <xf numFmtId="0" fontId="36" fillId="20" borderId="256" xfId="13" applyFont="1" applyFill="1" applyBorder="1" applyAlignment="1">
      <alignment horizontal="left" vertical="center"/>
    </xf>
    <xf numFmtId="0" fontId="7" fillId="0" borderId="0" xfId="0" applyFont="1" applyAlignment="1">
      <alignment wrapText="1"/>
    </xf>
    <xf numFmtId="0" fontId="7" fillId="0" borderId="0" xfId="0" applyFont="1" applyAlignment="1">
      <alignment horizontal="left"/>
    </xf>
    <xf numFmtId="0" fontId="7" fillId="0" borderId="0" xfId="0" applyFont="1" applyAlignment="1">
      <alignment horizontal="center"/>
    </xf>
    <xf numFmtId="0" fontId="35" fillId="0" borderId="0" xfId="0" applyFont="1" applyAlignment="1">
      <alignment horizontal="center" vertical="center"/>
    </xf>
    <xf numFmtId="0" fontId="35" fillId="0" borderId="262" xfId="0" applyFont="1" applyBorder="1" applyAlignment="1">
      <alignment horizontal="center" vertical="center"/>
    </xf>
    <xf numFmtId="0" fontId="35" fillId="0" borderId="1" xfId="0" applyFont="1" applyBorder="1" applyAlignment="1">
      <alignment horizontal="center" vertical="center"/>
    </xf>
    <xf numFmtId="0" fontId="35" fillId="0" borderId="263" xfId="0" applyFont="1" applyBorder="1" applyAlignment="1">
      <alignment horizontal="center" vertical="center"/>
    </xf>
    <xf numFmtId="0" fontId="35" fillId="0" borderId="199" xfId="0" applyFont="1" applyBorder="1" applyAlignment="1">
      <alignment horizontal="center" vertical="center"/>
    </xf>
    <xf numFmtId="0" fontId="35" fillId="0" borderId="2" xfId="0" applyFont="1" applyBorder="1" applyAlignment="1">
      <alignment horizontal="center" vertical="center"/>
    </xf>
    <xf numFmtId="0" fontId="35" fillId="0" borderId="259" xfId="0" applyFont="1" applyBorder="1" applyAlignment="1">
      <alignment horizontal="center" vertical="center"/>
    </xf>
    <xf numFmtId="0" fontId="35" fillId="0" borderId="200" xfId="0" applyFont="1" applyBorder="1" applyAlignment="1">
      <alignment horizontal="center" vertical="center"/>
    </xf>
    <xf numFmtId="0" fontId="35" fillId="0" borderId="264" xfId="0" applyFont="1" applyBorder="1" applyAlignment="1">
      <alignment horizontal="center" vertical="center"/>
    </xf>
    <xf numFmtId="0" fontId="35" fillId="0" borderId="265" xfId="0" applyFont="1" applyBorder="1" applyAlignment="1">
      <alignment horizontal="center" vertical="center"/>
    </xf>
    <xf numFmtId="0" fontId="1" fillId="0" borderId="227" xfId="0" applyFont="1" applyBorder="1" applyAlignment="1">
      <alignment horizontal="center" vertical="center"/>
    </xf>
    <xf numFmtId="0" fontId="9" fillId="0" borderId="22" xfId="3" applyFont="1" applyFill="1" applyBorder="1" applyAlignment="1">
      <alignment horizontal="center" vertical="center" wrapText="1"/>
    </xf>
    <xf numFmtId="0" fontId="53" fillId="0" borderId="56" xfId="0" applyFont="1" applyBorder="1" applyAlignment="1">
      <alignment horizontal="center" vertical="center" wrapText="1"/>
    </xf>
    <xf numFmtId="168" fontId="53" fillId="0" borderId="57" xfId="0" applyNumberFormat="1" applyFont="1" applyBorder="1" applyAlignment="1">
      <alignment horizontal="center" vertical="center"/>
    </xf>
    <xf numFmtId="168" fontId="53" fillId="0" borderId="24" xfId="0" applyNumberFormat="1" applyFont="1" applyBorder="1" applyAlignment="1">
      <alignment horizontal="center" vertical="center"/>
    </xf>
    <xf numFmtId="0" fontId="49" fillId="0" borderId="2" xfId="0" applyFont="1" applyBorder="1" applyAlignment="1">
      <alignment horizontal="center"/>
    </xf>
    <xf numFmtId="0" fontId="53" fillId="0" borderId="46" xfId="0" applyFont="1" applyBorder="1" applyAlignment="1">
      <alignment horizontal="center" wrapText="1"/>
    </xf>
    <xf numFmtId="0" fontId="53" fillId="0" borderId="23" xfId="0" applyFont="1" applyBorder="1" applyAlignment="1">
      <alignment horizontal="center" wrapText="1"/>
    </xf>
    <xf numFmtId="0" fontId="53" fillId="0" borderId="23" xfId="0" applyFont="1" applyBorder="1" applyAlignment="1">
      <alignment horizontal="center" vertical="center" wrapText="1"/>
    </xf>
    <xf numFmtId="168" fontId="36" fillId="0" borderId="56" xfId="0" applyNumberFormat="1" applyFont="1" applyBorder="1" applyAlignment="1">
      <alignment horizontal="center" vertical="center"/>
    </xf>
    <xf numFmtId="168" fontId="6" fillId="0" borderId="56" xfId="0" applyNumberFormat="1" applyFont="1" applyBorder="1" applyAlignment="1">
      <alignment horizontal="center" vertical="center" wrapText="1"/>
    </xf>
    <xf numFmtId="0" fontId="22" fillId="0" borderId="0" xfId="0" applyFont="1" applyAlignment="1">
      <alignment vertical="center"/>
    </xf>
    <xf numFmtId="0" fontId="6" fillId="0" borderId="0" xfId="4" applyAlignment="1">
      <alignment vertical="center"/>
    </xf>
    <xf numFmtId="9" fontId="6" fillId="0" borderId="0" xfId="2" applyFont="1" applyFill="1" applyBorder="1" applyAlignment="1">
      <alignment vertical="center"/>
    </xf>
    <xf numFmtId="164" fontId="6" fillId="0" borderId="0" xfId="2" applyNumberFormat="1" applyFont="1" applyFill="1" applyBorder="1" applyAlignment="1">
      <alignment vertical="center"/>
    </xf>
    <xf numFmtId="0" fontId="51" fillId="0" borderId="0" xfId="0" applyFont="1"/>
    <xf numFmtId="9" fontId="62" fillId="0" borderId="0" xfId="0" applyNumberFormat="1" applyFont="1"/>
    <xf numFmtId="9" fontId="62" fillId="0" borderId="23" xfId="0" applyNumberFormat="1" applyFont="1" applyBorder="1"/>
    <xf numFmtId="9" fontId="6" fillId="0" borderId="0" xfId="4" applyNumberFormat="1" applyAlignment="1">
      <alignment horizontal="center" vertical="center"/>
    </xf>
    <xf numFmtId="9" fontId="51" fillId="0" borderId="0" xfId="4" applyNumberFormat="1" applyFont="1" applyAlignment="1">
      <alignment horizontal="center" vertical="center"/>
    </xf>
    <xf numFmtId="9" fontId="62" fillId="0" borderId="23" xfId="0" applyNumberFormat="1" applyFont="1" applyBorder="1" applyAlignment="1">
      <alignment horizontal="center"/>
    </xf>
    <xf numFmtId="0" fontId="51" fillId="0" borderId="0" xfId="4" applyFont="1" applyAlignment="1">
      <alignment horizontal="center" vertical="center"/>
    </xf>
    <xf numFmtId="9" fontId="6" fillId="0" borderId="23" xfId="2" applyFont="1" applyFill="1" applyBorder="1" applyAlignment="1">
      <alignment horizontal="center" vertical="center"/>
    </xf>
    <xf numFmtId="169" fontId="6" fillId="0" borderId="0" xfId="0" applyNumberFormat="1" applyFont="1" applyAlignment="1">
      <alignment horizontal="center" vertical="center" wrapText="1"/>
    </xf>
    <xf numFmtId="169" fontId="6" fillId="0" borderId="0" xfId="0" applyNumberFormat="1" applyFont="1" applyAlignment="1">
      <alignment vertical="center"/>
    </xf>
    <xf numFmtId="0" fontId="35" fillId="0" borderId="276" xfId="0" applyFont="1" applyBorder="1" applyAlignment="1">
      <alignment horizontal="center" vertical="center"/>
    </xf>
    <xf numFmtId="2" fontId="35" fillId="0" borderId="63" xfId="0" applyNumberFormat="1" applyFont="1" applyBorder="1" applyAlignment="1">
      <alignment horizontal="center" vertical="center"/>
    </xf>
    <xf numFmtId="2" fontId="35" fillId="0" borderId="66" xfId="0" applyNumberFormat="1" applyFont="1" applyBorder="1" applyAlignment="1">
      <alignment horizontal="center" vertical="center"/>
    </xf>
    <xf numFmtId="0" fontId="35" fillId="0" borderId="75" xfId="0" applyFont="1" applyBorder="1" applyAlignment="1">
      <alignment horizontal="center" vertical="center"/>
    </xf>
    <xf numFmtId="2" fontId="35" fillId="0" borderId="56" xfId="0" applyNumberFormat="1" applyFont="1" applyBorder="1" applyAlignment="1">
      <alignment horizontal="center" vertical="center"/>
    </xf>
    <xf numFmtId="2" fontId="35" fillId="0" borderId="61" xfId="0" applyNumberFormat="1" applyFont="1" applyBorder="1" applyAlignment="1">
      <alignment horizontal="center" vertical="center"/>
    </xf>
    <xf numFmtId="0" fontId="35" fillId="0" borderId="89" xfId="0" applyFont="1" applyBorder="1" applyAlignment="1">
      <alignment horizontal="center" vertical="center"/>
    </xf>
    <xf numFmtId="2" fontId="35" fillId="0" borderId="64" xfId="0" applyNumberFormat="1" applyFont="1" applyBorder="1" applyAlignment="1">
      <alignment horizontal="center" vertical="center"/>
    </xf>
    <xf numFmtId="2" fontId="35" fillId="0" borderId="67" xfId="0" applyNumberFormat="1" applyFont="1" applyBorder="1" applyAlignment="1">
      <alignment horizontal="center" vertical="center"/>
    </xf>
    <xf numFmtId="0" fontId="35" fillId="0" borderId="74" xfId="0" applyFont="1" applyBorder="1" applyAlignment="1">
      <alignment horizontal="center" vertical="center"/>
    </xf>
    <xf numFmtId="2" fontId="35" fillId="0" borderId="58" xfId="0" applyNumberFormat="1" applyFont="1" applyBorder="1" applyAlignment="1">
      <alignment horizontal="center" vertical="center"/>
    </xf>
    <xf numFmtId="2" fontId="35" fillId="0" borderId="110" xfId="0" applyNumberFormat="1" applyFont="1" applyBorder="1" applyAlignment="1">
      <alignment horizontal="center" vertical="center"/>
    </xf>
    <xf numFmtId="2" fontId="35" fillId="0" borderId="111" xfId="0" applyNumberFormat="1" applyFont="1" applyBorder="1" applyAlignment="1">
      <alignment horizontal="center" vertical="center"/>
    </xf>
    <xf numFmtId="0" fontId="35" fillId="0" borderId="107" xfId="0" applyFont="1" applyBorder="1" applyAlignment="1">
      <alignment horizontal="center" vertical="center"/>
    </xf>
    <xf numFmtId="2" fontId="35" fillId="0" borderId="106" xfId="0" applyNumberFormat="1" applyFont="1" applyBorder="1" applyAlignment="1">
      <alignment horizontal="center" vertical="center"/>
    </xf>
    <xf numFmtId="2" fontId="35" fillId="0" borderId="112" xfId="0" applyNumberFormat="1" applyFont="1" applyBorder="1" applyAlignment="1">
      <alignment horizontal="center" vertical="center"/>
    </xf>
    <xf numFmtId="0" fontId="35" fillId="0" borderId="101" xfId="0" applyFont="1" applyBorder="1" applyAlignment="1">
      <alignment horizontal="center" vertical="center"/>
    </xf>
    <xf numFmtId="2" fontId="35" fillId="0" borderId="100" xfId="0" applyNumberFormat="1" applyFont="1" applyBorder="1" applyAlignment="1">
      <alignment horizontal="center" vertical="center"/>
    </xf>
    <xf numFmtId="2" fontId="35" fillId="0" borderId="278" xfId="0" applyNumberFormat="1" applyFont="1" applyBorder="1" applyAlignment="1">
      <alignment horizontal="center" vertical="center"/>
    </xf>
    <xf numFmtId="0" fontId="35" fillId="0" borderId="76" xfId="0" applyFont="1" applyBorder="1" applyAlignment="1">
      <alignment horizontal="center" vertical="center"/>
    </xf>
    <xf numFmtId="2" fontId="35" fillId="0" borderId="57" xfId="0" applyNumberFormat="1" applyFont="1" applyBorder="1" applyAlignment="1">
      <alignment horizontal="center" vertical="center"/>
    </xf>
    <xf numFmtId="2" fontId="35" fillId="0" borderId="279" xfId="0" applyNumberFormat="1" applyFont="1" applyBorder="1" applyAlignment="1">
      <alignment horizontal="center" vertical="center"/>
    </xf>
    <xf numFmtId="0" fontId="49" fillId="0" borderId="0" xfId="0" applyFont="1" applyAlignment="1">
      <alignment horizontal="center" vertical="center" wrapText="1"/>
    </xf>
    <xf numFmtId="0" fontId="36" fillId="0" borderId="0" xfId="0" applyFont="1" applyAlignment="1">
      <alignment horizontal="center" vertical="center"/>
    </xf>
    <xf numFmtId="0" fontId="36" fillId="0" borderId="0" xfId="0" applyFont="1" applyAlignment="1">
      <alignment horizontal="left" vertical="center"/>
    </xf>
    <xf numFmtId="0" fontId="53" fillId="0" borderId="282" xfId="0" applyFont="1" applyBorder="1" applyAlignment="1">
      <alignment vertical="center"/>
    </xf>
    <xf numFmtId="0" fontId="53" fillId="0" borderId="43" xfId="0" applyFont="1" applyBorder="1" applyAlignment="1">
      <alignment horizontal="center" vertical="center"/>
    </xf>
    <xf numFmtId="0" fontId="36" fillId="0" borderId="2" xfId="0" applyFont="1" applyBorder="1" applyAlignment="1">
      <alignment horizontal="left" vertical="center" wrapText="1"/>
    </xf>
    <xf numFmtId="0" fontId="36" fillId="0" borderId="4" xfId="0" applyFont="1" applyBorder="1" applyAlignment="1">
      <alignment horizontal="left" vertical="center"/>
    </xf>
    <xf numFmtId="0" fontId="36" fillId="0" borderId="6" xfId="0" applyFont="1" applyBorder="1" applyAlignment="1">
      <alignment horizontal="left" vertical="center"/>
    </xf>
    <xf numFmtId="0" fontId="35" fillId="0" borderId="290" xfId="0" applyFont="1" applyBorder="1" applyAlignment="1">
      <alignment horizontal="center" vertical="center"/>
    </xf>
    <xf numFmtId="0" fontId="35" fillId="0" borderId="286" xfId="0" applyFont="1" applyBorder="1" applyAlignment="1">
      <alignment horizontal="center" vertical="center"/>
    </xf>
    <xf numFmtId="0" fontId="35" fillId="0" borderId="287" xfId="0" applyFont="1" applyBorder="1" applyAlignment="1">
      <alignment horizontal="center" vertical="center"/>
    </xf>
    <xf numFmtId="0" fontId="35" fillId="0" borderId="291" xfId="0" applyFont="1" applyBorder="1" applyAlignment="1">
      <alignment horizontal="center" vertical="center"/>
    </xf>
    <xf numFmtId="0" fontId="35" fillId="0" borderId="23" xfId="0" applyFont="1" applyBorder="1" applyAlignment="1">
      <alignment horizontal="center" vertical="center"/>
    </xf>
    <xf numFmtId="0" fontId="35" fillId="0" borderId="294" xfId="0" applyFont="1" applyBorder="1" applyAlignment="1">
      <alignment horizontal="center" vertical="center"/>
    </xf>
    <xf numFmtId="0" fontId="35" fillId="0" borderId="245" xfId="0" applyFont="1" applyBorder="1" applyAlignment="1">
      <alignment horizontal="center" vertical="center"/>
    </xf>
    <xf numFmtId="0" fontId="35" fillId="0" borderId="204" xfId="0" applyFont="1" applyBorder="1" applyAlignment="1">
      <alignment horizontal="center" vertical="center"/>
    </xf>
    <xf numFmtId="0" fontId="35" fillId="0" borderId="205" xfId="0" applyFont="1" applyBorder="1" applyAlignment="1">
      <alignment horizontal="center" vertical="center"/>
    </xf>
    <xf numFmtId="0" fontId="35" fillId="0" borderId="247" xfId="0" applyFont="1" applyBorder="1" applyAlignment="1">
      <alignment horizontal="center" vertical="center"/>
    </xf>
    <xf numFmtId="0" fontId="35" fillId="0" borderId="207" xfId="0" applyFont="1" applyBorder="1" applyAlignment="1">
      <alignment horizontal="center" vertical="center"/>
    </xf>
    <xf numFmtId="0" fontId="35" fillId="0" borderId="248" xfId="0" applyFont="1" applyBorder="1" applyAlignment="1">
      <alignment horizontal="center" vertical="center"/>
    </xf>
    <xf numFmtId="0" fontId="35" fillId="0" borderId="209" xfId="0" applyFont="1" applyBorder="1" applyAlignment="1">
      <alignment horizontal="center" vertical="center"/>
    </xf>
    <xf numFmtId="0" fontId="35" fillId="0" borderId="210" xfId="0" applyFont="1" applyBorder="1" applyAlignment="1">
      <alignment horizontal="center" vertical="center"/>
    </xf>
    <xf numFmtId="0" fontId="35" fillId="0" borderId="41" xfId="0" applyFont="1" applyBorder="1" applyAlignment="1">
      <alignment horizontal="center" vertical="center"/>
    </xf>
    <xf numFmtId="2" fontId="35" fillId="0" borderId="1" xfId="0" applyNumberFormat="1" applyFont="1" applyBorder="1" applyAlignment="1">
      <alignment horizontal="center" vertical="center"/>
    </xf>
    <xf numFmtId="2" fontId="35" fillId="0" borderId="5" xfId="0" applyNumberFormat="1" applyFont="1" applyBorder="1" applyAlignment="1">
      <alignment horizontal="center" vertical="center"/>
    </xf>
    <xf numFmtId="0" fontId="35" fillId="0" borderId="11" xfId="0" applyFont="1" applyBorder="1" applyAlignment="1">
      <alignment horizontal="center" vertical="center"/>
    </xf>
    <xf numFmtId="2" fontId="35" fillId="0" borderId="2" xfId="0" applyNumberFormat="1" applyFont="1" applyBorder="1" applyAlignment="1">
      <alignment horizontal="center" vertical="center"/>
    </xf>
    <xf numFmtId="2" fontId="35" fillId="0" borderId="12" xfId="0" applyNumberFormat="1" applyFont="1" applyBorder="1" applyAlignment="1">
      <alignment horizontal="center" vertical="center"/>
    </xf>
    <xf numFmtId="2" fontId="35" fillId="0" borderId="7" xfId="0" applyNumberFormat="1" applyFont="1" applyBorder="1" applyAlignment="1">
      <alignment horizontal="center" vertical="center"/>
    </xf>
    <xf numFmtId="0" fontId="35" fillId="0" borderId="15" xfId="0" applyFont="1" applyBorder="1" applyAlignment="1">
      <alignment horizontal="center" vertical="center"/>
    </xf>
    <xf numFmtId="2" fontId="35" fillId="0" borderId="33" xfId="0" applyNumberFormat="1" applyFont="1" applyBorder="1" applyAlignment="1">
      <alignment horizontal="center" vertical="center"/>
    </xf>
    <xf numFmtId="2" fontId="35" fillId="0" borderId="30" xfId="0" applyNumberFormat="1" applyFont="1" applyBorder="1" applyAlignment="1">
      <alignment horizontal="center" vertical="center"/>
    </xf>
    <xf numFmtId="2" fontId="35" fillId="0" borderId="87" xfId="0" applyNumberFormat="1" applyFont="1" applyBorder="1" applyAlignment="1">
      <alignment horizontal="center" vertical="center"/>
    </xf>
    <xf numFmtId="2" fontId="35" fillId="0" borderId="88" xfId="0" applyNumberFormat="1" applyFont="1" applyBorder="1" applyAlignment="1">
      <alignment horizontal="center" vertical="center"/>
    </xf>
    <xf numFmtId="2" fontId="35" fillId="0" borderId="19" xfId="0" applyNumberFormat="1" applyFont="1" applyBorder="1" applyAlignment="1">
      <alignment horizontal="center" vertical="center"/>
    </xf>
    <xf numFmtId="2" fontId="35" fillId="0" borderId="59" xfId="0" applyNumberFormat="1" applyFont="1" applyBorder="1" applyAlignment="1">
      <alignment horizontal="center" vertical="center"/>
    </xf>
    <xf numFmtId="2" fontId="35" fillId="0" borderId="9" xfId="0" applyNumberFormat="1" applyFont="1" applyBorder="1" applyAlignment="1">
      <alignment horizontal="center" vertical="center"/>
    </xf>
    <xf numFmtId="1" fontId="35" fillId="0" borderId="23" xfId="0" applyNumberFormat="1" applyFont="1" applyBorder="1" applyAlignment="1">
      <alignment horizontal="center" vertical="center"/>
    </xf>
    <xf numFmtId="1" fontId="35" fillId="0" borderId="204" xfId="0" applyNumberFormat="1" applyFont="1" applyBorder="1" applyAlignment="1">
      <alignment horizontal="center" vertical="center"/>
    </xf>
    <xf numFmtId="1" fontId="35" fillId="0" borderId="205" xfId="0" applyNumberFormat="1" applyFont="1" applyBorder="1" applyAlignment="1">
      <alignment horizontal="center" vertical="center"/>
    </xf>
    <xf numFmtId="1" fontId="35" fillId="0" borderId="207" xfId="0" applyNumberFormat="1" applyFont="1" applyBorder="1" applyAlignment="1">
      <alignment horizontal="center" vertical="center"/>
    </xf>
    <xf numFmtId="1" fontId="35" fillId="0" borderId="209" xfId="0" applyNumberFormat="1" applyFont="1" applyBorder="1" applyAlignment="1">
      <alignment horizontal="center" vertical="center"/>
    </xf>
    <xf numFmtId="1" fontId="35" fillId="0" borderId="210" xfId="0" applyNumberFormat="1" applyFont="1" applyBorder="1" applyAlignment="1">
      <alignment horizontal="center" vertical="center"/>
    </xf>
    <xf numFmtId="0" fontId="49" fillId="0" borderId="0" xfId="0" applyFont="1"/>
    <xf numFmtId="0" fontId="65" fillId="0" borderId="0" xfId="0" applyFont="1" applyAlignment="1">
      <alignment horizontal="center" vertical="center" wrapText="1"/>
    </xf>
    <xf numFmtId="0" fontId="65" fillId="0" borderId="0" xfId="0" applyFont="1" applyAlignment="1">
      <alignment vertical="center" wrapText="1"/>
    </xf>
    <xf numFmtId="0" fontId="67" fillId="0" borderId="0" xfId="0" applyFont="1" applyAlignment="1">
      <alignment vertical="center" wrapText="1"/>
    </xf>
    <xf numFmtId="0" fontId="66" fillId="0" borderId="0" xfId="0" applyFont="1" applyAlignment="1">
      <alignment vertical="center" wrapText="1"/>
    </xf>
    <xf numFmtId="0" fontId="36" fillId="0" borderId="2" xfId="3" applyFont="1" applyFill="1" applyBorder="1" applyAlignment="1">
      <alignment horizontal="center" vertical="center" wrapText="1"/>
    </xf>
    <xf numFmtId="0" fontId="6" fillId="0" borderId="0" xfId="0" applyFont="1" applyAlignment="1">
      <alignment horizontal="left" vertical="center"/>
    </xf>
    <xf numFmtId="0" fontId="6" fillId="0" borderId="0" xfId="0" applyFont="1" applyAlignment="1">
      <alignment vertical="center" wrapText="1"/>
    </xf>
    <xf numFmtId="0" fontId="6" fillId="0" borderId="0" xfId="0" applyFont="1" applyAlignment="1">
      <alignment horizontal="left" vertical="center" wrapText="1"/>
    </xf>
    <xf numFmtId="0" fontId="21" fillId="0" borderId="0" xfId="0" applyFont="1" applyAlignment="1">
      <alignment horizontal="left" vertical="center"/>
    </xf>
    <xf numFmtId="0" fontId="6" fillId="0" borderId="56" xfId="0" applyFont="1" applyBorder="1" applyAlignment="1">
      <alignment horizontal="center" vertical="center"/>
    </xf>
    <xf numFmtId="0" fontId="6" fillId="0" borderId="0" xfId="0" applyFont="1" applyAlignment="1">
      <alignment horizontal="center"/>
    </xf>
    <xf numFmtId="0" fontId="21" fillId="0" borderId="23" xfId="0" applyFont="1" applyBorder="1" applyAlignment="1">
      <alignment horizontal="center" vertical="center"/>
    </xf>
    <xf numFmtId="0" fontId="29" fillId="8" borderId="23" xfId="0" applyFont="1" applyFill="1" applyBorder="1" applyAlignment="1">
      <alignment horizontal="center" vertical="center" wrapText="1"/>
    </xf>
    <xf numFmtId="0" fontId="6" fillId="0" borderId="23" xfId="0" applyFont="1" applyBorder="1" applyAlignment="1">
      <alignment horizontal="center" vertical="center"/>
    </xf>
    <xf numFmtId="0" fontId="6" fillId="0" borderId="23" xfId="0" applyFont="1" applyBorder="1" applyAlignment="1">
      <alignment horizontal="center" vertical="center" wrapText="1"/>
    </xf>
    <xf numFmtId="0" fontId="36" fillId="0" borderId="23" xfId="0" applyFont="1" applyBorder="1" applyAlignment="1">
      <alignment horizontal="center" vertical="center"/>
    </xf>
    <xf numFmtId="0" fontId="36" fillId="0" borderId="23" xfId="0" applyFont="1" applyBorder="1" applyAlignment="1">
      <alignment horizontal="center" vertical="center" wrapText="1"/>
    </xf>
    <xf numFmtId="0" fontId="21" fillId="0" borderId="23" xfId="0" applyFont="1" applyBorder="1" applyAlignment="1">
      <alignment horizontal="center" vertical="center" wrapText="1"/>
    </xf>
    <xf numFmtId="0" fontId="6" fillId="0" borderId="235" xfId="0" applyFont="1" applyBorder="1" applyAlignment="1">
      <alignment horizontal="center" vertical="center"/>
    </xf>
    <xf numFmtId="0" fontId="1" fillId="0" borderId="43"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54" xfId="0" applyFont="1" applyBorder="1" applyAlignment="1">
      <alignment horizontal="center" vertical="center" wrapText="1"/>
    </xf>
    <xf numFmtId="0" fontId="6" fillId="0" borderId="2" xfId="0" applyFont="1" applyBorder="1" applyAlignment="1">
      <alignment horizontal="center" vertical="center" wrapText="1"/>
    </xf>
    <xf numFmtId="0" fontId="36" fillId="0" borderId="2" xfId="0" applyFont="1" applyBorder="1" applyAlignment="1">
      <alignment horizontal="center" vertical="center" wrapText="1"/>
    </xf>
    <xf numFmtId="0" fontId="7" fillId="6" borderId="56" xfId="0" applyFont="1" applyFill="1" applyBorder="1" applyAlignment="1">
      <alignment horizontal="center" vertical="center" wrapText="1"/>
    </xf>
    <xf numFmtId="0" fontId="7" fillId="6" borderId="23" xfId="0" applyFont="1" applyFill="1" applyBorder="1" applyAlignment="1">
      <alignment horizontal="center" vertical="center"/>
    </xf>
    <xf numFmtId="0" fontId="7" fillId="6" borderId="43" xfId="0" applyFont="1" applyFill="1" applyBorder="1" applyAlignment="1">
      <alignment horizontal="center" vertical="center"/>
    </xf>
    <xf numFmtId="0" fontId="22" fillId="6" borderId="23" xfId="0" applyFont="1" applyFill="1" applyBorder="1" applyAlignment="1">
      <alignment horizontal="center" vertical="center" wrapText="1"/>
    </xf>
    <xf numFmtId="0" fontId="49" fillId="0" borderId="23" xfId="0" applyFont="1" applyBorder="1" applyAlignment="1">
      <alignment horizontal="center" vertical="center" wrapText="1"/>
    </xf>
    <xf numFmtId="0" fontId="35" fillId="0" borderId="288" xfId="0" applyFont="1" applyBorder="1" applyAlignment="1">
      <alignment horizontal="center" vertical="center"/>
    </xf>
    <xf numFmtId="0" fontId="35" fillId="0" borderId="58" xfId="0" applyFont="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0" xfId="0" applyFont="1" applyBorder="1" applyAlignment="1">
      <alignment horizontal="center" vertical="center"/>
    </xf>
    <xf numFmtId="0" fontId="36" fillId="0" borderId="1" xfId="0" applyFont="1" applyBorder="1" applyAlignment="1">
      <alignment horizontal="center" vertical="center"/>
    </xf>
    <xf numFmtId="0" fontId="36" fillId="0" borderId="2" xfId="0" applyFont="1" applyBorder="1" applyAlignment="1">
      <alignment horizontal="center" vertical="center"/>
    </xf>
    <xf numFmtId="0" fontId="36" fillId="0" borderId="30" xfId="0" applyFont="1" applyBorder="1" applyAlignment="1">
      <alignment horizontal="center" vertical="center"/>
    </xf>
    <xf numFmtId="0" fontId="7" fillId="6" borderId="12" xfId="0" applyFont="1" applyFill="1" applyBorder="1" applyAlignment="1">
      <alignment horizontal="center" vertical="center"/>
    </xf>
    <xf numFmtId="0" fontId="17" fillId="6" borderId="2" xfId="0" applyFont="1" applyFill="1" applyBorder="1" applyAlignment="1">
      <alignment horizontal="center" vertical="center" wrapText="1"/>
    </xf>
    <xf numFmtId="0" fontId="7" fillId="6" borderId="0" xfId="0" applyFont="1" applyFill="1" applyAlignment="1">
      <alignment horizontal="center" vertical="center"/>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0" fillId="0" borderId="30" xfId="0" applyFont="1" applyBorder="1" applyAlignment="1">
      <alignment horizontal="center" vertical="center"/>
    </xf>
    <xf numFmtId="0" fontId="21" fillId="0" borderId="2" xfId="0" applyFont="1" applyBorder="1" applyAlignment="1">
      <alignment horizontal="center" vertical="center"/>
    </xf>
    <xf numFmtId="9" fontId="6" fillId="0" borderId="56" xfId="2" applyFont="1" applyFill="1" applyBorder="1" applyAlignment="1">
      <alignment horizontal="center" vertical="center"/>
    </xf>
    <xf numFmtId="0" fontId="22" fillId="6" borderId="56" xfId="0" applyFont="1" applyFill="1" applyBorder="1" applyAlignment="1">
      <alignment horizontal="center" vertical="center"/>
    </xf>
    <xf numFmtId="3" fontId="36" fillId="0" borderId="23" xfId="0" applyNumberFormat="1" applyFont="1" applyBorder="1" applyAlignment="1">
      <alignment horizontal="center" vertical="center"/>
    </xf>
    <xf numFmtId="0" fontId="6" fillId="7" borderId="46" xfId="0" applyFont="1" applyFill="1" applyBorder="1" applyAlignment="1">
      <alignment horizontal="left" vertical="center"/>
    </xf>
    <xf numFmtId="0" fontId="6" fillId="7" borderId="47" xfId="0" applyFont="1" applyFill="1" applyBorder="1" applyAlignment="1">
      <alignment horizontal="left" vertical="center"/>
    </xf>
    <xf numFmtId="0" fontId="6" fillId="7" borderId="48" xfId="0" applyFont="1" applyFill="1" applyBorder="1" applyAlignment="1">
      <alignment horizontal="left" vertical="center"/>
    </xf>
    <xf numFmtId="0" fontId="29" fillId="8" borderId="23" xfId="0" applyFont="1" applyFill="1" applyBorder="1" applyAlignment="1">
      <alignment horizontal="center" vertical="center"/>
    </xf>
    <xf numFmtId="0" fontId="22" fillId="6" borderId="23" xfId="0" applyFont="1" applyFill="1" applyBorder="1" applyAlignment="1">
      <alignment horizontal="center" vertical="center" wrapText="1"/>
    </xf>
    <xf numFmtId="0" fontId="6" fillId="0" borderId="0" xfId="0" applyFont="1" applyAlignment="1">
      <alignment horizontal="left" vertical="center"/>
    </xf>
    <xf numFmtId="0" fontId="68" fillId="8" borderId="0" xfId="0" applyFont="1" applyFill="1" applyAlignment="1">
      <alignment horizontal="center" vertical="center"/>
    </xf>
    <xf numFmtId="0" fontId="6" fillId="0" borderId="0" xfId="0" applyFont="1" applyAlignment="1">
      <alignment vertical="center" wrapText="1"/>
    </xf>
    <xf numFmtId="0" fontId="29" fillId="8" borderId="0" xfId="0" applyFont="1" applyFill="1" applyAlignment="1">
      <alignment horizontal="center" vertical="center"/>
    </xf>
    <xf numFmtId="0" fontId="6" fillId="0" borderId="0" xfId="0" applyFont="1" applyAlignment="1">
      <alignment horizontal="left" vertical="center" wrapText="1"/>
    </xf>
    <xf numFmtId="0" fontId="30" fillId="0" borderId="0" xfId="5" applyFont="1" applyAlignment="1">
      <alignment vertical="center" wrapText="1"/>
    </xf>
    <xf numFmtId="0" fontId="6" fillId="0" borderId="0" xfId="0" applyFont="1" applyAlignment="1">
      <alignment vertical="center"/>
    </xf>
    <xf numFmtId="0" fontId="21" fillId="0" borderId="0" xfId="0" applyFont="1" applyAlignment="1">
      <alignment horizontal="left" vertical="center"/>
    </xf>
    <xf numFmtId="0" fontId="6" fillId="0" borderId="0" xfId="0" applyFont="1" applyAlignment="1">
      <alignment horizontal="left" vertical="top" wrapText="1"/>
    </xf>
    <xf numFmtId="0" fontId="16" fillId="0" borderId="21" xfId="0" applyFont="1" applyBorder="1" applyAlignment="1">
      <alignment horizontal="left" vertical="center"/>
    </xf>
    <xf numFmtId="0" fontId="29" fillId="8" borderId="3" xfId="1" applyFont="1" applyFill="1" applyBorder="1" applyAlignment="1">
      <alignment horizontal="center" vertical="center" wrapText="1"/>
    </xf>
    <xf numFmtId="0" fontId="29" fillId="8" borderId="10" xfId="1" applyFont="1" applyFill="1" applyBorder="1" applyAlignment="1">
      <alignment horizontal="center" vertical="center" wrapText="1"/>
    </xf>
    <xf numFmtId="1" fontId="51" fillId="0" borderId="43" xfId="0" applyNumberFormat="1" applyFont="1" applyBorder="1" applyAlignment="1">
      <alignment horizontal="center" vertical="center" wrapText="1"/>
    </xf>
    <xf numFmtId="1" fontId="51" fillId="0" borderId="170" xfId="0" applyNumberFormat="1" applyFont="1" applyBorder="1" applyAlignment="1">
      <alignment horizontal="center" vertical="center" wrapText="1"/>
    </xf>
    <xf numFmtId="1" fontId="51" fillId="0" borderId="24" xfId="0" applyNumberFormat="1" applyFont="1" applyBorder="1" applyAlignment="1">
      <alignment horizontal="center" vertical="center" wrapText="1"/>
    </xf>
    <xf numFmtId="0" fontId="69" fillId="8" borderId="0" xfId="0" applyFont="1" applyFill="1" applyAlignment="1">
      <alignment horizontal="center" vertical="center"/>
    </xf>
    <xf numFmtId="0" fontId="6" fillId="0" borderId="56" xfId="0" applyFont="1" applyBorder="1" applyAlignment="1">
      <alignment horizontal="center" vertical="center"/>
    </xf>
    <xf numFmtId="0" fontId="6" fillId="0" borderId="56" xfId="0" applyFont="1" applyBorder="1" applyAlignment="1">
      <alignment horizontal="center" vertical="center" wrapText="1"/>
    </xf>
    <xf numFmtId="0" fontId="61" fillId="0" borderId="56" xfId="0" applyFont="1" applyBorder="1" applyAlignment="1">
      <alignment horizontal="center" vertical="center" wrapText="1"/>
    </xf>
    <xf numFmtId="0" fontId="1" fillId="0" borderId="56" xfId="0" applyFont="1" applyBorder="1" applyAlignment="1">
      <alignment horizontal="center" vertical="center" wrapText="1"/>
    </xf>
    <xf numFmtId="0" fontId="29" fillId="8" borderId="0" xfId="0" applyFont="1" applyFill="1" applyAlignment="1">
      <alignment horizontal="center" vertical="center" wrapText="1"/>
    </xf>
    <xf numFmtId="0" fontId="51" fillId="0" borderId="56" xfId="0" applyFont="1" applyBorder="1" applyAlignment="1">
      <alignment horizontal="center" vertical="center" wrapText="1"/>
    </xf>
    <xf numFmtId="0" fontId="21" fillId="0" borderId="56" xfId="0" applyFont="1" applyBorder="1" applyAlignment="1">
      <alignment horizontal="center" vertical="center" wrapText="1"/>
    </xf>
    <xf numFmtId="0" fontId="36" fillId="0" borderId="250" xfId="0" applyFont="1" applyBorder="1" applyAlignment="1">
      <alignment horizontal="center" vertical="center"/>
    </xf>
    <xf numFmtId="0" fontId="36" fillId="0" borderId="251" xfId="0" applyFont="1" applyBorder="1" applyAlignment="1">
      <alignment horizontal="center" vertical="center"/>
    </xf>
    <xf numFmtId="0" fontId="36" fillId="0" borderId="252" xfId="0" applyFont="1" applyBorder="1" applyAlignment="1">
      <alignment horizontal="center" vertical="center"/>
    </xf>
    <xf numFmtId="0" fontId="29" fillId="8" borderId="253" xfId="0" applyFont="1" applyFill="1" applyBorder="1" applyAlignment="1">
      <alignment horizontal="center" vertical="center"/>
    </xf>
    <xf numFmtId="0" fontId="36" fillId="0" borderId="46" xfId="0" applyFont="1" applyBorder="1" applyAlignment="1">
      <alignment horizontal="center" vertical="center" wrapText="1"/>
    </xf>
    <xf numFmtId="0" fontId="36" fillId="0" borderId="47" xfId="0" applyFont="1" applyBorder="1" applyAlignment="1">
      <alignment horizontal="center" vertical="center" wrapText="1"/>
    </xf>
    <xf numFmtId="0" fontId="36" fillId="0" borderId="48" xfId="0" applyFont="1" applyBorder="1" applyAlignment="1">
      <alignment horizontal="center" vertical="center" wrapText="1"/>
    </xf>
    <xf numFmtId="0" fontId="6" fillId="0" borderId="0" xfId="0" applyFont="1" applyAlignment="1">
      <alignment horizontal="center"/>
    </xf>
    <xf numFmtId="0" fontId="6" fillId="0" borderId="46"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6" xfId="0" applyFont="1" applyBorder="1" applyAlignment="1">
      <alignment horizontal="center" vertical="center"/>
    </xf>
    <xf numFmtId="0" fontId="6" fillId="0" borderId="47" xfId="0" applyFont="1" applyBorder="1" applyAlignment="1">
      <alignment horizontal="center" vertical="center"/>
    </xf>
    <xf numFmtId="0" fontId="6" fillId="0" borderId="48" xfId="0" applyFont="1" applyBorder="1" applyAlignment="1">
      <alignment horizontal="center" vertical="center"/>
    </xf>
    <xf numFmtId="0" fontId="7" fillId="6" borderId="46" xfId="0" applyFont="1" applyFill="1" applyBorder="1" applyAlignment="1">
      <alignment horizontal="center" vertical="center" wrapText="1"/>
    </xf>
    <xf numFmtId="0" fontId="7" fillId="6" borderId="47" xfId="0" applyFont="1" applyFill="1" applyBorder="1" applyAlignment="1">
      <alignment horizontal="center" vertical="center" wrapText="1"/>
    </xf>
    <xf numFmtId="0" fontId="7" fillId="6" borderId="48" xfId="0" applyFont="1" applyFill="1" applyBorder="1" applyAlignment="1">
      <alignment horizontal="center" vertical="center" wrapText="1"/>
    </xf>
    <xf numFmtId="0" fontId="53" fillId="0" borderId="57" xfId="0" applyFont="1" applyBorder="1" applyAlignment="1">
      <alignment horizontal="center" vertical="center"/>
    </xf>
    <xf numFmtId="0" fontId="53" fillId="0" borderId="97" xfId="0" applyFont="1" applyBorder="1" applyAlignment="1">
      <alignment horizontal="center" vertical="center"/>
    </xf>
    <xf numFmtId="0" fontId="53" fillId="0" borderId="120" xfId="0" applyFont="1" applyBorder="1" applyAlignment="1">
      <alignment horizontal="center" vertical="center"/>
    </xf>
    <xf numFmtId="0" fontId="53" fillId="0" borderId="165" xfId="0" applyFont="1" applyBorder="1" applyAlignment="1">
      <alignment horizontal="center" vertical="center"/>
    </xf>
    <xf numFmtId="0" fontId="53" fillId="0" borderId="122" xfId="0" applyFont="1" applyBorder="1" applyAlignment="1">
      <alignment horizontal="center" vertical="center"/>
    </xf>
    <xf numFmtId="0" fontId="53" fillId="0" borderId="121" xfId="0" applyFont="1" applyBorder="1" applyAlignment="1">
      <alignment horizontal="center" vertical="center"/>
    </xf>
    <xf numFmtId="9" fontId="53" fillId="0" borderId="255" xfId="2" applyFont="1" applyBorder="1" applyAlignment="1">
      <alignment horizontal="left" vertical="center"/>
    </xf>
    <xf numFmtId="9" fontId="53" fillId="0" borderId="227" xfId="2" applyFont="1" applyBorder="1" applyAlignment="1">
      <alignment horizontal="left" vertical="center"/>
    </xf>
    <xf numFmtId="0" fontId="51" fillId="0" borderId="56" xfId="0" applyFont="1" applyBorder="1" applyAlignment="1">
      <alignment horizontal="center" vertical="center"/>
    </xf>
    <xf numFmtId="0" fontId="52" fillId="0" borderId="56" xfId="0" applyFont="1" applyBorder="1" applyAlignment="1">
      <alignment horizontal="center" vertical="center" wrapText="1"/>
    </xf>
    <xf numFmtId="0" fontId="53" fillId="0" borderId="56" xfId="0" applyFont="1" applyBorder="1" applyAlignment="1">
      <alignment horizontal="center" vertical="center"/>
    </xf>
    <xf numFmtId="0" fontId="53" fillId="0" borderId="271" xfId="0" applyFont="1" applyBorder="1" applyAlignment="1">
      <alignment horizontal="center" vertical="center"/>
    </xf>
    <xf numFmtId="0" fontId="21" fillId="0" borderId="54" xfId="0" applyFont="1" applyBorder="1" applyAlignment="1">
      <alignment horizontal="center" vertical="center"/>
    </xf>
    <xf numFmtId="0" fontId="21" fillId="0" borderId="23" xfId="0" applyFont="1" applyBorder="1" applyAlignment="1">
      <alignment horizontal="center" vertical="center"/>
    </xf>
    <xf numFmtId="0" fontId="29" fillId="8" borderId="23" xfId="0" applyFont="1" applyFill="1" applyBorder="1" applyAlignment="1">
      <alignment horizontal="center" vertical="center" wrapText="1"/>
    </xf>
    <xf numFmtId="0" fontId="6" fillId="0" borderId="23" xfId="0" applyFont="1" applyBorder="1" applyAlignment="1">
      <alignment horizontal="center" vertical="center"/>
    </xf>
    <xf numFmtId="0" fontId="6" fillId="0" borderId="23" xfId="0" applyFont="1" applyBorder="1" applyAlignment="1">
      <alignment horizontal="center" vertical="center" wrapText="1"/>
    </xf>
    <xf numFmtId="0" fontId="36" fillId="0" borderId="24" xfId="0" applyFont="1" applyBorder="1" applyAlignment="1">
      <alignment horizontal="center" vertical="center"/>
    </xf>
    <xf numFmtId="0" fontId="36" fillId="0" borderId="23" xfId="0" applyFont="1" applyBorder="1" applyAlignment="1">
      <alignment horizontal="center" vertical="center"/>
    </xf>
    <xf numFmtId="0" fontId="36" fillId="0" borderId="23" xfId="0" applyFont="1" applyBorder="1" applyAlignment="1">
      <alignment horizontal="center" vertical="center" wrapText="1"/>
    </xf>
    <xf numFmtId="0" fontId="21" fillId="0" borderId="23" xfId="0" applyFont="1" applyBorder="1" applyAlignment="1">
      <alignment horizontal="center" vertical="center" wrapText="1"/>
    </xf>
    <xf numFmtId="0" fontId="6" fillId="0" borderId="235" xfId="0" applyFont="1" applyBorder="1" applyAlignment="1">
      <alignment horizontal="center" vertical="center"/>
    </xf>
    <xf numFmtId="0" fontId="36" fillId="0" borderId="235" xfId="0" applyFont="1" applyBorder="1" applyAlignment="1">
      <alignment horizontal="center" vertical="center"/>
    </xf>
    <xf numFmtId="0" fontId="21" fillId="0" borderId="235" xfId="0" applyFont="1" applyBorder="1" applyAlignment="1">
      <alignment horizontal="center" vertical="center"/>
    </xf>
    <xf numFmtId="0" fontId="8" fillId="0" borderId="165" xfId="5" applyBorder="1" applyAlignment="1">
      <alignment horizontal="center" vertical="center"/>
    </xf>
    <xf numFmtId="0" fontId="8" fillId="0" borderId="239" xfId="5" applyBorder="1" applyAlignment="1">
      <alignment horizontal="center" vertical="center"/>
    </xf>
    <xf numFmtId="0" fontId="36" fillId="0" borderId="43" xfId="0" applyFont="1" applyBorder="1" applyAlignment="1">
      <alignment horizontal="center" vertical="center" wrapText="1"/>
    </xf>
    <xf numFmtId="0" fontId="36" fillId="0" borderId="240" xfId="0" applyFont="1" applyBorder="1" applyAlignment="1">
      <alignment horizontal="center" vertical="center"/>
    </xf>
    <xf numFmtId="0" fontId="22" fillId="21" borderId="23" xfId="0" applyFont="1" applyFill="1" applyBorder="1" applyAlignment="1">
      <alignment horizontal="center" vertical="center" wrapText="1"/>
    </xf>
    <xf numFmtId="0" fontId="22" fillId="21" borderId="235" xfId="0" applyFont="1" applyFill="1" applyBorder="1" applyAlignment="1">
      <alignment horizontal="center" vertical="center" wrapText="1"/>
    </xf>
    <xf numFmtId="0" fontId="69" fillId="8" borderId="192" xfId="0" applyFont="1" applyFill="1" applyBorder="1" applyAlignment="1">
      <alignment horizontal="center" vertical="center" wrapText="1"/>
    </xf>
    <xf numFmtId="0" fontId="69" fillId="8" borderId="224" xfId="0" applyFont="1" applyFill="1" applyBorder="1" applyAlignment="1">
      <alignment horizontal="center" vertical="center" wrapText="1"/>
    </xf>
    <xf numFmtId="0" fontId="29" fillId="12" borderId="23" xfId="0" applyFont="1" applyFill="1" applyBorder="1" applyAlignment="1">
      <alignment horizontal="center" vertical="center"/>
    </xf>
    <xf numFmtId="0" fontId="36" fillId="0" borderId="54" xfId="0" applyFont="1" applyBorder="1" applyAlignment="1">
      <alignment horizontal="center" vertical="center"/>
    </xf>
    <xf numFmtId="0" fontId="36" fillId="0" borderId="0" xfId="0" applyFont="1" applyAlignment="1">
      <alignment horizontal="left" vertical="center" wrapText="1"/>
    </xf>
    <xf numFmtId="0" fontId="36" fillId="0" borderId="0" xfId="0" applyFont="1" applyAlignment="1">
      <alignment horizontal="left" wrapText="1"/>
    </xf>
    <xf numFmtId="0" fontId="29" fillId="12" borderId="34" xfId="0" applyFont="1" applyFill="1" applyBorder="1" applyAlignment="1">
      <alignment horizontal="center" vertical="center" wrapText="1"/>
    </xf>
    <xf numFmtId="0" fontId="29" fillId="12" borderId="35" xfId="0" applyFont="1" applyFill="1" applyBorder="1" applyAlignment="1">
      <alignment horizontal="center" vertical="center" wrapText="1"/>
    </xf>
    <xf numFmtId="0" fontId="29" fillId="12" borderId="36" xfId="0" applyFont="1" applyFill="1" applyBorder="1" applyAlignment="1">
      <alignment horizontal="center" vertical="center" wrapText="1"/>
    </xf>
    <xf numFmtId="0" fontId="29" fillId="8" borderId="31" xfId="0" applyFont="1" applyFill="1" applyBorder="1" applyAlignment="1">
      <alignment horizontal="center" vertical="center" wrapText="1"/>
    </xf>
    <xf numFmtId="0" fontId="29" fillId="8" borderId="32" xfId="0" applyFont="1" applyFill="1" applyBorder="1" applyAlignment="1">
      <alignment horizontal="center" vertical="center" wrapText="1"/>
    </xf>
    <xf numFmtId="0" fontId="36" fillId="0" borderId="16" xfId="0" applyFont="1" applyBorder="1" applyAlignment="1">
      <alignment horizontal="center" vertical="center" wrapText="1"/>
    </xf>
    <xf numFmtId="0" fontId="36" fillId="0" borderId="19" xfId="0" applyFont="1" applyBorder="1" applyAlignment="1">
      <alignment horizontal="center" vertical="center" wrapText="1"/>
    </xf>
    <xf numFmtId="0" fontId="36" fillId="0" borderId="55" xfId="0" applyFont="1" applyBorder="1" applyAlignment="1">
      <alignment horizontal="center" vertical="center" wrapText="1"/>
    </xf>
    <xf numFmtId="0" fontId="51" fillId="0" borderId="205" xfId="0" applyFont="1" applyBorder="1" applyAlignment="1">
      <alignment horizontal="center" vertical="center" wrapText="1"/>
    </xf>
    <xf numFmtId="0" fontId="51" fillId="0" borderId="207" xfId="0" applyFont="1" applyBorder="1" applyAlignment="1">
      <alignment horizontal="center" vertical="center" wrapText="1"/>
    </xf>
    <xf numFmtId="0" fontId="51" fillId="0" borderId="281"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70" xfId="0" applyFont="1" applyBorder="1" applyAlignment="1">
      <alignment horizontal="center" vertical="center" wrapText="1"/>
    </xf>
    <xf numFmtId="0" fontId="1" fillId="0" borderId="24" xfId="0" applyFont="1" applyBorder="1" applyAlignment="1">
      <alignment horizontal="center" vertical="center" wrapText="1"/>
    </xf>
    <xf numFmtId="0" fontId="6" fillId="0" borderId="187" xfId="0" applyFont="1" applyBorder="1" applyAlignment="1">
      <alignment horizontal="center" vertical="center" wrapText="1"/>
    </xf>
    <xf numFmtId="0" fontId="6" fillId="0" borderId="191" xfId="0" applyFont="1" applyBorder="1" applyAlignment="1">
      <alignment horizontal="center" vertical="center" wrapText="1"/>
    </xf>
    <xf numFmtId="0" fontId="6" fillId="0" borderId="188"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8" xfId="0" applyFont="1" applyBorder="1" applyAlignment="1">
      <alignment horizontal="center" vertical="center" wrapText="1"/>
    </xf>
    <xf numFmtId="0" fontId="26" fillId="0" borderId="0" xfId="0" applyFont="1" applyAlignment="1">
      <alignment horizontal="left" vertical="center" wrapText="1"/>
    </xf>
    <xf numFmtId="0" fontId="7" fillId="2" borderId="0" xfId="0" applyFont="1" applyFill="1" applyAlignment="1">
      <alignment horizontal="left" vertic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8" xfId="0" applyBorder="1" applyAlignment="1">
      <alignment horizontal="center" vertical="center"/>
    </xf>
    <xf numFmtId="0" fontId="1" fillId="0" borderId="193" xfId="0" applyFont="1" applyBorder="1" applyAlignment="1">
      <alignment horizontal="center" vertical="center" wrapText="1"/>
    </xf>
    <xf numFmtId="0" fontId="1" fillId="0" borderId="194" xfId="0" applyFont="1" applyBorder="1" applyAlignment="1">
      <alignment horizontal="center" vertical="center" wrapText="1"/>
    </xf>
    <xf numFmtId="0" fontId="6" fillId="0" borderId="192" xfId="0" applyFont="1" applyBorder="1" applyAlignment="1">
      <alignment horizontal="center" vertical="center" wrapText="1"/>
    </xf>
    <xf numFmtId="0" fontId="6" fillId="0" borderId="244" xfId="0" applyFont="1" applyBorder="1" applyAlignment="1">
      <alignment horizontal="center" vertical="center" wrapText="1"/>
    </xf>
    <xf numFmtId="0" fontId="53" fillId="0" borderId="170" xfId="0" applyFont="1" applyBorder="1" applyAlignment="1">
      <alignment horizontal="center" vertical="center" wrapText="1"/>
    </xf>
    <xf numFmtId="0" fontId="29" fillId="8" borderId="228" xfId="0" applyFont="1" applyFill="1" applyBorder="1" applyAlignment="1">
      <alignment horizontal="center" vertical="center" wrapText="1"/>
    </xf>
    <xf numFmtId="0" fontId="29" fillId="8" borderId="227" xfId="0" applyFont="1" applyFill="1" applyBorder="1" applyAlignment="1">
      <alignment horizontal="center" vertical="center" wrapText="1"/>
    </xf>
    <xf numFmtId="0" fontId="6" fillId="0" borderId="224" xfId="0" applyFont="1" applyBorder="1" applyAlignment="1">
      <alignment horizontal="left" vertical="center" wrapText="1"/>
    </xf>
    <xf numFmtId="0" fontId="6" fillId="0" borderId="230" xfId="0" applyFont="1" applyBorder="1" applyAlignment="1">
      <alignment horizontal="center" vertical="center" wrapText="1"/>
    </xf>
    <xf numFmtId="0" fontId="6" fillId="0" borderId="231" xfId="0" applyFont="1" applyBorder="1" applyAlignment="1">
      <alignment horizontal="center" vertical="center" wrapText="1"/>
    </xf>
    <xf numFmtId="0" fontId="6" fillId="0" borderId="232" xfId="0" applyFont="1" applyBorder="1" applyAlignment="1">
      <alignment horizontal="center" vertical="center" wrapText="1"/>
    </xf>
    <xf numFmtId="43" fontId="7" fillId="0" borderId="3" xfId="6" applyFont="1" applyBorder="1" applyAlignment="1">
      <alignment horizontal="left" vertical="center"/>
    </xf>
    <xf numFmtId="43" fontId="7" fillId="0" borderId="10" xfId="6" applyFont="1" applyBorder="1" applyAlignment="1">
      <alignment horizontal="left" vertical="center"/>
    </xf>
    <xf numFmtId="43" fontId="7" fillId="0" borderId="11" xfId="6" applyFont="1" applyBorder="1" applyAlignment="1">
      <alignment horizontal="left" vertical="center"/>
    </xf>
    <xf numFmtId="43" fontId="36" fillId="0" borderId="16" xfId="6" applyFont="1" applyBorder="1" applyAlignment="1">
      <alignment horizontal="center" vertical="center" wrapText="1"/>
    </xf>
    <xf numFmtId="43" fontId="36" fillId="0" borderId="19" xfId="6" applyFont="1" applyBorder="1" applyAlignment="1">
      <alignment horizontal="center" vertical="center" wrapText="1"/>
    </xf>
    <xf numFmtId="0" fontId="29" fillId="8" borderId="229" xfId="0" applyFont="1" applyFill="1" applyBorder="1" applyAlignment="1">
      <alignment horizontal="center" vertical="center" wrapText="1"/>
    </xf>
    <xf numFmtId="0" fontId="29" fillId="17" borderId="49" xfId="13" applyFont="1" applyFill="1" applyBorder="1" applyAlignment="1">
      <alignment horizontal="center" vertical="center" wrapText="1"/>
    </xf>
    <xf numFmtId="0" fontId="29" fillId="17" borderId="0" xfId="13" applyFont="1" applyFill="1" applyAlignment="1">
      <alignment horizontal="center" vertical="center" wrapText="1"/>
    </xf>
    <xf numFmtId="0" fontId="22" fillId="15" borderId="237" xfId="13" applyFont="1" applyFill="1" applyBorder="1" applyAlignment="1">
      <alignment horizontal="center" vertical="center" wrapText="1"/>
    </xf>
    <xf numFmtId="0" fontId="22" fillId="15" borderId="238" xfId="13" applyFont="1" applyFill="1" applyBorder="1" applyAlignment="1">
      <alignment horizontal="center" vertical="center" wrapText="1"/>
    </xf>
    <xf numFmtId="0" fontId="22" fillId="15" borderId="2" xfId="13" applyFont="1" applyFill="1" applyBorder="1" applyAlignment="1">
      <alignment horizontal="center" vertical="center" wrapText="1"/>
    </xf>
    <xf numFmtId="0" fontId="6" fillId="0" borderId="43" xfId="0" applyFont="1" applyBorder="1" applyAlignment="1">
      <alignment horizontal="center" vertical="center" wrapText="1"/>
    </xf>
    <xf numFmtId="0" fontId="6" fillId="0" borderId="234" xfId="0" applyFont="1" applyBorder="1" applyAlignment="1">
      <alignment horizontal="center" vertical="center" wrapText="1"/>
    </xf>
    <xf numFmtId="0" fontId="6" fillId="0" borderId="54" xfId="0" applyFont="1" applyBorder="1" applyAlignment="1">
      <alignment horizontal="center" vertical="center" wrapText="1"/>
    </xf>
    <xf numFmtId="0" fontId="6" fillId="0" borderId="2" xfId="0" applyFont="1" applyBorder="1" applyAlignment="1">
      <alignment horizontal="center" vertical="center" wrapText="1"/>
    </xf>
    <xf numFmtId="0" fontId="36" fillId="0" borderId="2" xfId="0" applyFont="1" applyBorder="1" applyAlignment="1">
      <alignment horizontal="center" vertical="center" wrapText="1"/>
    </xf>
    <xf numFmtId="0" fontId="7" fillId="6" borderId="56" xfId="0" applyFont="1" applyFill="1" applyBorder="1" applyAlignment="1">
      <alignment horizontal="center" vertical="center" wrapText="1"/>
    </xf>
    <xf numFmtId="0" fontId="7" fillId="6" borderId="23" xfId="0" applyFont="1" applyFill="1" applyBorder="1" applyAlignment="1">
      <alignment horizontal="center" vertical="center"/>
    </xf>
    <xf numFmtId="0" fontId="7" fillId="6" borderId="43" xfId="0" applyFont="1" applyFill="1" applyBorder="1" applyAlignment="1">
      <alignment horizontal="center" vertical="center"/>
    </xf>
    <xf numFmtId="0" fontId="70" fillId="14" borderId="0" xfId="0" applyFont="1" applyFill="1" applyAlignment="1">
      <alignment horizontal="center" vertical="center"/>
    </xf>
    <xf numFmtId="0" fontId="49" fillId="0" borderId="0" xfId="0" applyFont="1"/>
    <xf numFmtId="0" fontId="49" fillId="0" borderId="23" xfId="0" applyFont="1" applyBorder="1" applyAlignment="1">
      <alignment horizontal="center" vertical="center" wrapText="1"/>
    </xf>
    <xf numFmtId="0" fontId="43" fillId="14" borderId="227" xfId="0" applyFont="1" applyFill="1" applyBorder="1" applyAlignment="1">
      <alignment horizontal="center" vertical="center"/>
    </xf>
    <xf numFmtId="0" fontId="36" fillId="0" borderId="12" xfId="0" applyFont="1" applyBorder="1" applyAlignment="1">
      <alignment horizontal="center" vertical="center" wrapText="1"/>
    </xf>
    <xf numFmtId="0" fontId="35" fillId="0" borderId="94" xfId="0" applyFont="1" applyBorder="1" applyAlignment="1">
      <alignment horizontal="center" vertical="center" wrapText="1"/>
    </xf>
    <xf numFmtId="0" fontId="35" fillId="0" borderId="96" xfId="0" applyFont="1" applyBorder="1" applyAlignment="1">
      <alignment horizontal="center" vertical="center" wrapText="1"/>
    </xf>
    <xf numFmtId="0" fontId="35" fillId="0" borderId="98" xfId="0" applyFont="1" applyBorder="1" applyAlignment="1">
      <alignment horizontal="center" vertical="center" wrapText="1"/>
    </xf>
    <xf numFmtId="0" fontId="35" fillId="0" borderId="95" xfId="0" applyFont="1" applyBorder="1" applyAlignment="1">
      <alignment horizontal="center" vertical="center"/>
    </xf>
    <xf numFmtId="0" fontId="35" fillId="0" borderId="97" xfId="0" applyFont="1" applyBorder="1" applyAlignment="1">
      <alignment horizontal="center" vertical="center"/>
    </xf>
    <xf numFmtId="0" fontId="35" fillId="0" borderId="100" xfId="0" applyFont="1" applyBorder="1" applyAlignment="1">
      <alignment horizontal="center" vertical="center" wrapText="1"/>
    </xf>
    <xf numFmtId="0" fontId="35" fillId="0" borderId="56" xfId="0" applyFont="1" applyBorder="1" applyAlignment="1">
      <alignment horizontal="center" vertical="center" wrapText="1"/>
    </xf>
    <xf numFmtId="0" fontId="35" fillId="0" borderId="57" xfId="0" applyFont="1" applyBorder="1" applyAlignment="1">
      <alignment horizontal="center" vertical="center" wrapText="1"/>
    </xf>
    <xf numFmtId="0" fontId="35" fillId="0" borderId="66" xfId="0" applyFont="1" applyBorder="1" applyAlignment="1">
      <alignment horizontal="center" vertical="center" wrapText="1"/>
    </xf>
    <xf numFmtId="0" fontId="35" fillId="0" borderId="61" xfId="0" applyFont="1" applyBorder="1" applyAlignment="1">
      <alignment horizontal="center" vertical="center" wrapText="1"/>
    </xf>
    <xf numFmtId="0" fontId="35" fillId="0" borderId="90" xfId="0" applyFont="1" applyBorder="1" applyAlignment="1">
      <alignment horizontal="center" vertical="center" wrapText="1"/>
    </xf>
    <xf numFmtId="0" fontId="35" fillId="0" borderId="283" xfId="0" applyFont="1" applyBorder="1" applyAlignment="1">
      <alignment horizontal="center" vertical="center" wrapText="1"/>
    </xf>
    <xf numFmtId="0" fontId="35" fillId="0" borderId="286" xfId="0" applyFont="1" applyBorder="1" applyAlignment="1">
      <alignment horizontal="center" vertical="center" wrapText="1"/>
    </xf>
    <xf numFmtId="0" fontId="35" fillId="0" borderId="287" xfId="0" applyFont="1" applyBorder="1" applyAlignment="1">
      <alignment horizontal="center" vertical="center" wrapText="1"/>
    </xf>
    <xf numFmtId="0" fontId="35" fillId="0" borderId="284" xfId="0" applyFont="1" applyBorder="1" applyAlignment="1">
      <alignment horizontal="center" vertical="center"/>
    </xf>
    <xf numFmtId="0" fontId="35" fillId="0" borderId="288" xfId="0" applyFont="1" applyBorder="1" applyAlignment="1">
      <alignment horizontal="center" vertical="center"/>
    </xf>
    <xf numFmtId="0" fontId="35" fillId="0" borderId="285" xfId="0" applyFont="1" applyBorder="1" applyAlignment="1">
      <alignment horizontal="center" vertical="center" wrapText="1"/>
    </xf>
    <xf numFmtId="0" fontId="35" fillId="0" borderId="115" xfId="0" applyFont="1" applyBorder="1" applyAlignment="1">
      <alignment horizontal="center" vertical="center" wrapText="1"/>
    </xf>
    <xf numFmtId="0" fontId="35" fillId="0" borderId="289" xfId="0" applyFont="1" applyBorder="1" applyAlignment="1">
      <alignment horizontal="center" vertical="center" wrapText="1"/>
    </xf>
    <xf numFmtId="0" fontId="35" fillId="0" borderId="211" xfId="0" applyFont="1" applyBorder="1" applyAlignment="1">
      <alignment horizontal="center" vertical="center" wrapText="1"/>
    </xf>
    <xf numFmtId="0" fontId="35" fillId="0" borderId="164" xfId="0" applyFont="1" applyBorder="1" applyAlignment="1">
      <alignment horizontal="center" vertical="center" wrapText="1"/>
    </xf>
    <xf numFmtId="0" fontId="35" fillId="0" borderId="212" xfId="0" applyFont="1" applyBorder="1" applyAlignment="1">
      <alignment horizontal="center" vertical="center" wrapText="1"/>
    </xf>
    <xf numFmtId="0" fontId="35" fillId="0" borderId="63" xfId="0" applyFont="1" applyBorder="1" applyAlignment="1">
      <alignment horizontal="center" vertical="center" wrapText="1"/>
    </xf>
    <xf numFmtId="0" fontId="64" fillId="0" borderId="66" xfId="0" applyFont="1" applyBorder="1" applyAlignment="1">
      <alignment horizontal="center" vertical="center" wrapText="1"/>
    </xf>
    <xf numFmtId="0" fontId="35" fillId="0" borderId="117" xfId="0" applyFont="1" applyBorder="1" applyAlignment="1">
      <alignment horizontal="center" vertical="center" wrapText="1"/>
    </xf>
    <xf numFmtId="0" fontId="35" fillId="0" borderId="182" xfId="0" applyFont="1" applyBorder="1" applyAlignment="1">
      <alignment horizontal="center" vertical="center"/>
    </xf>
    <xf numFmtId="0" fontId="35" fillId="0" borderId="64" xfId="0" applyFont="1" applyBorder="1" applyAlignment="1">
      <alignment horizontal="center" vertical="center" wrapText="1"/>
    </xf>
    <xf numFmtId="0" fontId="35" fillId="0" borderId="67" xfId="0" applyFont="1" applyBorder="1" applyAlignment="1">
      <alignment horizontal="center" vertical="center" wrapText="1"/>
    </xf>
    <xf numFmtId="0" fontId="35" fillId="0" borderId="280" xfId="0" applyFont="1" applyBorder="1" applyAlignment="1">
      <alignment horizontal="center" vertical="center" wrapText="1"/>
    </xf>
    <xf numFmtId="0" fontId="35" fillId="0" borderId="99" xfId="0" applyFont="1" applyBorder="1" applyAlignment="1">
      <alignment horizontal="center" vertical="center"/>
    </xf>
    <xf numFmtId="0" fontId="35" fillId="0" borderId="58" xfId="0" applyFont="1" applyBorder="1" applyAlignment="1">
      <alignment horizontal="center" vertical="center" wrapText="1"/>
    </xf>
    <xf numFmtId="0" fontId="35" fillId="0" borderId="106" xfId="0" applyFont="1" applyBorder="1" applyAlignment="1">
      <alignment horizontal="center" vertical="center" wrapText="1"/>
    </xf>
    <xf numFmtId="0" fontId="35" fillId="0" borderId="60" xfId="0" applyFont="1" applyBorder="1" applyAlignment="1">
      <alignment horizontal="center" vertical="center" wrapText="1"/>
    </xf>
    <xf numFmtId="0" fontId="35" fillId="0" borderId="183" xfId="0" applyFont="1" applyBorder="1" applyAlignment="1">
      <alignment horizontal="center" vertical="center" wrapText="1"/>
    </xf>
    <xf numFmtId="0" fontId="35" fillId="0" borderId="184" xfId="0" applyFont="1" applyBorder="1" applyAlignment="1">
      <alignment horizontal="center" vertical="center" wrapText="1"/>
    </xf>
    <xf numFmtId="0" fontId="35" fillId="0" borderId="185" xfId="0" applyFont="1" applyBorder="1" applyAlignment="1">
      <alignment horizontal="center" vertical="center" wrapText="1"/>
    </xf>
    <xf numFmtId="0" fontId="35" fillId="0" borderId="100" xfId="0" applyFont="1" applyBorder="1" applyAlignment="1">
      <alignment horizontal="center" vertical="center"/>
    </xf>
    <xf numFmtId="0" fontId="35" fillId="0" borderId="56" xfId="0" applyFont="1" applyBorder="1" applyAlignment="1">
      <alignment horizontal="center" vertical="center"/>
    </xf>
    <xf numFmtId="0" fontId="35" fillId="0" borderId="106" xfId="0" applyFont="1" applyBorder="1" applyAlignment="1">
      <alignment horizontal="center" vertical="center"/>
    </xf>
    <xf numFmtId="0" fontId="35" fillId="0" borderId="293" xfId="0" applyFont="1" applyBorder="1" applyAlignment="1">
      <alignment horizontal="center" vertical="center" wrapText="1"/>
    </xf>
    <xf numFmtId="0" fontId="35" fillId="0" borderId="292" xfId="0" applyFont="1" applyBorder="1" applyAlignment="1">
      <alignment horizontal="center" vertical="center" wrapText="1"/>
    </xf>
    <xf numFmtId="0" fontId="46" fillId="6" borderId="122" xfId="0" applyFont="1" applyFill="1" applyBorder="1" applyAlignment="1">
      <alignment horizontal="center" vertical="center"/>
    </xf>
    <xf numFmtId="0" fontId="46" fillId="6" borderId="0" xfId="0" applyFont="1" applyFill="1" applyAlignment="1">
      <alignment horizontal="center" vertical="center"/>
    </xf>
    <xf numFmtId="0" fontId="46" fillId="6" borderId="73" xfId="0" applyFont="1" applyFill="1" applyBorder="1" applyAlignment="1">
      <alignment horizontal="center" vertical="center"/>
    </xf>
    <xf numFmtId="0" fontId="35" fillId="0" borderId="110" xfId="0" applyFont="1" applyBorder="1" applyAlignment="1">
      <alignment horizontal="center" vertical="center" wrapText="1"/>
    </xf>
    <xf numFmtId="0" fontId="35" fillId="0" borderId="111" xfId="0" applyFont="1" applyBorder="1" applyAlignment="1">
      <alignment horizontal="center" vertical="center" wrapText="1"/>
    </xf>
    <xf numFmtId="0" fontId="35" fillId="0" borderId="112" xfId="0" applyFont="1" applyBorder="1" applyAlignment="1">
      <alignment horizontal="center" vertical="center" wrapText="1"/>
    </xf>
    <xf numFmtId="0" fontId="35" fillId="0" borderId="58" xfId="0" applyFont="1" applyBorder="1" applyAlignment="1">
      <alignment horizontal="center" vertical="center"/>
    </xf>
    <xf numFmtId="0" fontId="35" fillId="0" borderId="57" xfId="0" applyFont="1" applyBorder="1" applyAlignment="1">
      <alignment horizontal="center" vertical="center"/>
    </xf>
    <xf numFmtId="0" fontId="46" fillId="6" borderId="272" xfId="0" applyFont="1" applyFill="1" applyBorder="1" applyAlignment="1">
      <alignment horizontal="center" vertical="center"/>
    </xf>
    <xf numFmtId="0" fontId="46" fillId="6" borderId="273" xfId="0" applyFont="1" applyFill="1" applyBorder="1" applyAlignment="1">
      <alignment horizontal="center" vertical="center"/>
    </xf>
    <xf numFmtId="0" fontId="46" fillId="6" borderId="274" xfId="0" applyFont="1" applyFill="1" applyBorder="1" applyAlignment="1">
      <alignment horizontal="center" vertical="center"/>
    </xf>
    <xf numFmtId="0" fontId="35" fillId="0" borderId="63" xfId="0" applyFont="1" applyBorder="1" applyAlignment="1">
      <alignment horizontal="center" vertical="center"/>
    </xf>
    <xf numFmtId="0" fontId="35" fillId="0" borderId="64" xfId="0" applyFont="1" applyBorder="1" applyAlignment="1">
      <alignment horizontal="center" vertical="center"/>
    </xf>
    <xf numFmtId="0" fontId="35" fillId="0" borderId="275" xfId="0" applyFont="1" applyBorder="1" applyAlignment="1">
      <alignment horizontal="center" vertical="center" wrapText="1"/>
    </xf>
    <xf numFmtId="0" fontId="35" fillId="0" borderId="277" xfId="0" applyFont="1" applyBorder="1" applyAlignment="1">
      <alignment horizontal="center" vertical="center" wrapText="1"/>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0" xfId="0" applyFont="1" applyBorder="1" applyAlignment="1">
      <alignment horizontal="center" vertical="center"/>
    </xf>
    <xf numFmtId="0" fontId="20" fillId="0" borderId="36" xfId="0" applyFont="1" applyBorder="1" applyAlignment="1">
      <alignment horizontal="center" vertical="center" wrapText="1"/>
    </xf>
    <xf numFmtId="0" fontId="20" fillId="0" borderId="82" xfId="0" applyFont="1" applyBorder="1" applyAlignment="1">
      <alignment horizontal="center" vertical="center" wrapText="1"/>
    </xf>
    <xf numFmtId="0" fontId="20" fillId="0" borderId="88"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87" xfId="0" applyFont="1" applyBorder="1" applyAlignment="1">
      <alignment horizontal="center" vertical="center" wrapText="1"/>
    </xf>
    <xf numFmtId="0" fontId="20" fillId="0" borderId="266" xfId="0" applyFont="1" applyBorder="1" applyAlignment="1">
      <alignment horizontal="center" vertical="center" wrapText="1"/>
    </xf>
    <xf numFmtId="0" fontId="20" fillId="0" borderId="267" xfId="0" applyFont="1" applyBorder="1" applyAlignment="1">
      <alignment horizontal="center" vertical="center" wrapText="1"/>
    </xf>
    <xf numFmtId="0" fontId="20" fillId="0" borderId="270" xfId="0" applyFont="1" applyBorder="1" applyAlignment="1">
      <alignment horizontal="center" vertical="center" wrapText="1"/>
    </xf>
    <xf numFmtId="0" fontId="20" fillId="0" borderId="153" xfId="0" applyFont="1" applyBorder="1" applyAlignment="1">
      <alignment horizontal="center" vertical="center" wrapText="1"/>
    </xf>
    <xf numFmtId="0" fontId="20" fillId="0" borderId="154" xfId="0" applyFont="1" applyBorder="1" applyAlignment="1">
      <alignment horizontal="center" vertical="center" wrapText="1"/>
    </xf>
    <xf numFmtId="0" fontId="20" fillId="0" borderId="155" xfId="0" applyFont="1" applyBorder="1" applyAlignment="1">
      <alignment horizontal="center" vertical="center" wrapText="1"/>
    </xf>
    <xf numFmtId="0" fontId="35" fillId="0" borderId="66" xfId="0" applyFont="1" applyBorder="1" applyAlignment="1">
      <alignment horizontal="center" vertical="center"/>
    </xf>
    <xf numFmtId="0" fontId="35" fillId="0" borderId="61" xfId="0" applyFont="1" applyBorder="1" applyAlignment="1">
      <alignment horizontal="center" vertical="center"/>
    </xf>
    <xf numFmtId="0" fontId="35" fillId="0" borderId="67" xfId="0" applyFont="1" applyBorder="1" applyAlignment="1">
      <alignment horizontal="center" vertical="center"/>
    </xf>
    <xf numFmtId="0" fontId="17" fillId="6" borderId="0" xfId="0" applyFont="1" applyFill="1" applyAlignment="1">
      <alignment horizontal="center" vertical="center" wrapText="1"/>
    </xf>
    <xf numFmtId="0" fontId="17" fillId="6" borderId="73" xfId="0" applyFont="1" applyFill="1" applyBorder="1" applyAlignment="1">
      <alignment horizontal="center" vertical="center" wrapText="1"/>
    </xf>
    <xf numFmtId="0" fontId="35" fillId="0" borderId="68" xfId="0" applyFont="1" applyBorder="1" applyAlignment="1">
      <alignment horizontal="center" vertical="center" wrapText="1"/>
    </xf>
    <xf numFmtId="0" fontId="35" fillId="0" borderId="69" xfId="0" applyFont="1" applyBorder="1" applyAlignment="1">
      <alignment horizontal="center" vertical="center" wrapText="1"/>
    </xf>
    <xf numFmtId="0" fontId="35" fillId="0" borderId="72" xfId="0" applyFont="1" applyBorder="1" applyAlignment="1">
      <alignment horizontal="center" vertical="center" wrapText="1"/>
    </xf>
    <xf numFmtId="0" fontId="35" fillId="0" borderId="70" xfId="0" applyFont="1" applyBorder="1" applyAlignment="1">
      <alignment horizontal="center" vertical="center" wrapText="1"/>
    </xf>
    <xf numFmtId="0" fontId="35" fillId="0" borderId="7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0" xfId="0" applyFont="1" applyBorder="1" applyAlignment="1">
      <alignment horizontal="center" vertical="center" wrapText="1"/>
    </xf>
    <xf numFmtId="0" fontId="20" fillId="0" borderId="68" xfId="0" applyFont="1" applyBorder="1" applyAlignment="1">
      <alignment horizontal="center" vertical="center" wrapText="1"/>
    </xf>
    <xf numFmtId="0" fontId="20" fillId="0" borderId="69" xfId="0" applyFont="1" applyBorder="1" applyAlignment="1">
      <alignment horizontal="center" vertical="center" wrapText="1"/>
    </xf>
    <xf numFmtId="0" fontId="20" fillId="0" borderId="72" xfId="0" applyFont="1" applyBorder="1" applyAlignment="1">
      <alignment horizontal="center" vertical="center" wrapText="1"/>
    </xf>
    <xf numFmtId="0" fontId="20" fillId="0" borderId="66" xfId="0" applyFont="1" applyBorder="1" applyAlignment="1">
      <alignment horizontal="center" vertical="center" wrapText="1"/>
    </xf>
    <xf numFmtId="0" fontId="20" fillId="0" borderId="61" xfId="0" applyFont="1" applyBorder="1" applyAlignment="1">
      <alignment horizontal="center" vertical="center" wrapText="1"/>
    </xf>
    <xf numFmtId="0" fontId="20" fillId="0" borderId="67" xfId="0" applyFont="1" applyBorder="1" applyAlignment="1">
      <alignment horizontal="center" vertical="center" wrapText="1"/>
    </xf>
    <xf numFmtId="0" fontId="17" fillId="6" borderId="195" xfId="0" applyFont="1" applyFill="1" applyBorder="1" applyAlignment="1">
      <alignment horizontal="center" vertical="center" wrapText="1"/>
    </xf>
    <xf numFmtId="0" fontId="17" fillId="6" borderId="196"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20" fillId="0" borderId="63" xfId="0" applyFont="1" applyBorder="1" applyAlignment="1">
      <alignment horizontal="center" vertical="center"/>
    </xf>
    <xf numFmtId="0" fontId="20" fillId="0" borderId="56" xfId="0" applyFont="1" applyBorder="1" applyAlignment="1">
      <alignment horizontal="center" vertical="center"/>
    </xf>
    <xf numFmtId="0" fontId="20" fillId="0" borderId="64" xfId="0" applyFont="1" applyBorder="1" applyAlignment="1">
      <alignment horizontal="center" vertical="center"/>
    </xf>
    <xf numFmtId="0" fontId="20" fillId="0" borderId="66" xfId="0" applyFont="1" applyBorder="1" applyAlignment="1">
      <alignment horizontal="center" vertical="center"/>
    </xf>
    <xf numFmtId="0" fontId="20" fillId="0" borderId="61" xfId="0" applyFont="1" applyBorder="1" applyAlignment="1">
      <alignment horizontal="center" vertical="center"/>
    </xf>
    <xf numFmtId="0" fontId="20" fillId="0" borderId="67" xfId="0" applyFont="1" applyBorder="1" applyAlignment="1">
      <alignment horizontal="center" vertical="center"/>
    </xf>
    <xf numFmtId="0" fontId="6" fillId="0" borderId="19" xfId="0" applyFont="1" applyBorder="1" applyAlignment="1">
      <alignment horizontal="center" vertical="center" wrapText="1"/>
    </xf>
    <xf numFmtId="0" fontId="6" fillId="0" borderId="19" xfId="0" applyFont="1" applyBorder="1" applyAlignment="1">
      <alignment horizontal="center" vertical="center"/>
    </xf>
    <xf numFmtId="0" fontId="20" fillId="0" borderId="70" xfId="0" applyFont="1" applyBorder="1" applyAlignment="1">
      <alignment horizontal="center" vertical="center" wrapText="1"/>
    </xf>
    <xf numFmtId="0" fontId="20" fillId="0" borderId="71" xfId="0" applyFont="1" applyBorder="1" applyAlignment="1">
      <alignment horizontal="center" vertical="center" wrapText="1"/>
    </xf>
    <xf numFmtId="0" fontId="6" fillId="0" borderId="35" xfId="0" applyFont="1" applyBorder="1" applyAlignment="1">
      <alignment horizontal="center" vertical="center"/>
    </xf>
    <xf numFmtId="0" fontId="6" fillId="0" borderId="16" xfId="0" applyFont="1" applyBorder="1" applyAlignment="1">
      <alignment horizontal="center" vertical="center"/>
    </xf>
    <xf numFmtId="0" fontId="6" fillId="0" borderId="87" xfId="0" applyFont="1" applyBorder="1" applyAlignment="1">
      <alignment horizontal="center" vertical="center"/>
    </xf>
    <xf numFmtId="0" fontId="20" fillId="0" borderId="34" xfId="0" applyFont="1" applyBorder="1" applyAlignment="1">
      <alignment horizontal="center" vertical="center" wrapText="1"/>
    </xf>
    <xf numFmtId="0" fontId="20" fillId="0" borderId="83" xfId="0" applyFont="1" applyBorder="1" applyAlignment="1">
      <alignment horizontal="center" vertical="center" wrapText="1"/>
    </xf>
    <xf numFmtId="0" fontId="20" fillId="0" borderId="86"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30" xfId="0" applyFont="1" applyBorder="1" applyAlignment="1">
      <alignment horizontal="center" vertical="center" wrapText="1"/>
    </xf>
    <xf numFmtId="0" fontId="20" fillId="13" borderId="19" xfId="0" applyFont="1" applyFill="1" applyBorder="1" applyAlignment="1">
      <alignment horizontal="center" vertical="center" wrapText="1"/>
    </xf>
    <xf numFmtId="0" fontId="20" fillId="13" borderId="2" xfId="0" applyFont="1" applyFill="1" applyBorder="1" applyAlignment="1">
      <alignment horizontal="center" vertical="center" wrapText="1"/>
    </xf>
    <xf numFmtId="0" fontId="20" fillId="13" borderId="30" xfId="0" applyFont="1" applyFill="1" applyBorder="1" applyAlignment="1">
      <alignment horizontal="center" vertical="center" wrapText="1"/>
    </xf>
    <xf numFmtId="0" fontId="20" fillId="0" borderId="59"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9" xfId="0" applyFont="1" applyBorder="1" applyAlignment="1">
      <alignment horizontal="center" vertical="center" wrapText="1"/>
    </xf>
    <xf numFmtId="0" fontId="6" fillId="0" borderId="12" xfId="0" applyFont="1" applyBorder="1" applyAlignment="1">
      <alignment horizontal="center" vertical="center" wrapText="1"/>
    </xf>
    <xf numFmtId="0" fontId="20" fillId="0" borderId="95" xfId="0" applyFont="1" applyBorder="1" applyAlignment="1">
      <alignment horizontal="center" vertical="center"/>
    </xf>
    <xf numFmtId="0" fontId="20" fillId="0" borderId="97" xfId="0" applyFont="1" applyBorder="1" applyAlignment="1">
      <alignment horizontal="center" vertical="center"/>
    </xf>
    <xf numFmtId="0" fontId="20" fillId="0" borderId="182" xfId="0" applyFont="1" applyBorder="1" applyAlignment="1">
      <alignment horizontal="center" vertical="center"/>
    </xf>
    <xf numFmtId="0" fontId="20" fillId="0" borderId="181" xfId="0" applyFont="1" applyBorder="1" applyAlignment="1">
      <alignment horizontal="center" vertical="center" wrapText="1"/>
    </xf>
    <xf numFmtId="0" fontId="20" fillId="0" borderId="97" xfId="0" applyFont="1" applyBorder="1" applyAlignment="1">
      <alignment horizontal="center" vertical="center" wrapText="1"/>
    </xf>
    <xf numFmtId="0" fontId="20" fillId="0" borderId="99" xfId="0" applyFont="1" applyBorder="1" applyAlignment="1">
      <alignment horizontal="center" vertical="center" wrapText="1"/>
    </xf>
    <xf numFmtId="0" fontId="20" fillId="0" borderId="180" xfId="0" applyFont="1" applyBorder="1" applyAlignment="1">
      <alignment horizontal="center" vertical="center" wrapText="1"/>
    </xf>
    <xf numFmtId="0" fontId="20" fillId="0" borderId="99" xfId="0" applyFont="1" applyBorder="1" applyAlignment="1">
      <alignment horizontal="center" vertical="center"/>
    </xf>
    <xf numFmtId="0" fontId="20" fillId="0" borderId="58" xfId="0" applyFont="1" applyBorder="1" applyAlignment="1">
      <alignment horizontal="center" vertical="center" wrapText="1"/>
    </xf>
    <xf numFmtId="0" fontId="20" fillId="0" borderId="56" xfId="0" applyFont="1" applyBorder="1" applyAlignment="1">
      <alignment horizontal="center" vertical="center" wrapText="1"/>
    </xf>
    <xf numFmtId="0" fontId="20" fillId="0" borderId="106" xfId="0" applyFont="1" applyBorder="1" applyAlignment="1">
      <alignment horizontal="center" vertical="center" wrapText="1"/>
    </xf>
    <xf numFmtId="0" fontId="20" fillId="0" borderId="90" xfId="0" applyFont="1" applyBorder="1" applyAlignment="1">
      <alignment horizontal="center" vertical="center" wrapText="1"/>
    </xf>
    <xf numFmtId="0" fontId="38" fillId="0" borderId="215" xfId="0" applyFont="1" applyBorder="1" applyAlignment="1">
      <alignment horizontal="center" vertical="center" wrapText="1"/>
    </xf>
    <xf numFmtId="0" fontId="38" fillId="0" borderId="154" xfId="0" applyFont="1" applyBorder="1" applyAlignment="1">
      <alignment horizontal="center" vertical="center" wrapText="1"/>
    </xf>
    <xf numFmtId="0" fontId="38" fillId="0" borderId="155" xfId="0" applyFont="1" applyBorder="1" applyAlignment="1">
      <alignment horizontal="center" vertical="center" wrapText="1"/>
    </xf>
    <xf numFmtId="0" fontId="20" fillId="0" borderId="183" xfId="0" applyFont="1" applyBorder="1" applyAlignment="1">
      <alignment horizontal="center" vertical="center" wrapText="1"/>
    </xf>
    <xf numFmtId="0" fontId="20" fillId="0" borderId="184" xfId="0" applyFont="1" applyBorder="1" applyAlignment="1">
      <alignment horizontal="center" vertical="center" wrapText="1"/>
    </xf>
    <xf numFmtId="0" fontId="20" fillId="0" borderId="185" xfId="0" applyFont="1" applyBorder="1" applyAlignment="1">
      <alignment horizontal="center" vertical="center" wrapText="1"/>
    </xf>
    <xf numFmtId="0" fontId="20" fillId="0" borderId="92" xfId="0" applyFont="1" applyBorder="1" applyAlignment="1">
      <alignment horizontal="center" vertical="center" wrapText="1"/>
    </xf>
    <xf numFmtId="0" fontId="20" fillId="0" borderId="78" xfId="0" applyFont="1" applyBorder="1" applyAlignment="1">
      <alignment horizontal="center" vertical="center" wrapText="1"/>
    </xf>
    <xf numFmtId="0" fontId="20" fillId="0" borderId="93" xfId="0" applyFont="1" applyBorder="1" applyAlignment="1">
      <alignment horizontal="center" vertical="center" wrapText="1"/>
    </xf>
    <xf numFmtId="0" fontId="20" fillId="0" borderId="95" xfId="0" applyFont="1" applyBorder="1" applyAlignment="1">
      <alignment horizontal="center" vertical="center" wrapText="1"/>
    </xf>
    <xf numFmtId="0" fontId="20" fillId="0" borderId="269" xfId="0" applyFont="1" applyBorder="1" applyAlignment="1">
      <alignment horizontal="center" vertical="center" wrapText="1"/>
    </xf>
    <xf numFmtId="0" fontId="20" fillId="0" borderId="268" xfId="0" applyFont="1" applyBorder="1" applyAlignment="1">
      <alignment horizontal="center" vertical="center" wrapText="1"/>
    </xf>
    <xf numFmtId="0" fontId="51"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8" xfId="0" applyFont="1" applyBorder="1" applyAlignment="1">
      <alignment horizontal="center" vertical="center" wrapText="1"/>
    </xf>
    <xf numFmtId="0" fontId="20" fillId="0" borderId="269" xfId="0" applyFont="1" applyBorder="1" applyAlignment="1">
      <alignment horizontal="center" vertical="center"/>
    </xf>
    <xf numFmtId="0" fontId="20" fillId="0" borderId="267" xfId="0" applyFont="1" applyBorder="1" applyAlignment="1">
      <alignment horizontal="center" vertical="center"/>
    </xf>
    <xf numFmtId="0" fontId="20" fillId="0" borderId="268" xfId="0" applyFont="1" applyBorder="1" applyAlignment="1">
      <alignment horizontal="center" vertical="center"/>
    </xf>
    <xf numFmtId="0" fontId="20" fillId="0" borderId="153" xfId="0" applyFont="1" applyBorder="1" applyAlignment="1">
      <alignment horizontal="center" vertical="center"/>
    </xf>
    <xf numFmtId="0" fontId="20" fillId="0" borderId="154" xfId="0" applyFont="1" applyBorder="1" applyAlignment="1">
      <alignment horizontal="center" vertical="center"/>
    </xf>
    <xf numFmtId="0" fontId="20" fillId="0" borderId="155" xfId="0" applyFont="1" applyBorder="1" applyAlignment="1">
      <alignment horizontal="center" vertical="center"/>
    </xf>
    <xf numFmtId="0" fontId="20" fillId="0" borderId="100" xfId="0" applyFont="1" applyBorder="1" applyAlignment="1">
      <alignment horizontal="center" vertical="center" wrapText="1"/>
    </xf>
    <xf numFmtId="0" fontId="20" fillId="0" borderId="57" xfId="0" applyFont="1" applyBorder="1" applyAlignment="1">
      <alignment horizontal="center" vertical="center" wrapText="1"/>
    </xf>
    <xf numFmtId="0" fontId="6" fillId="0" borderId="12" xfId="0" applyFont="1" applyBorder="1" applyAlignment="1">
      <alignment horizontal="center" vertical="center"/>
    </xf>
    <xf numFmtId="0" fontId="7" fillId="6" borderId="2" xfId="0" applyFont="1" applyFill="1" applyBorder="1" applyAlignment="1">
      <alignment horizontal="center" vertical="center"/>
    </xf>
    <xf numFmtId="0" fontId="7" fillId="6" borderId="12" xfId="0" applyFont="1" applyFill="1" applyBorder="1" applyAlignment="1">
      <alignment horizontal="center" vertical="center"/>
    </xf>
    <xf numFmtId="0" fontId="20" fillId="0" borderId="60" xfId="0" applyFont="1" applyBorder="1" applyAlignment="1">
      <alignment horizontal="center" vertical="center" wrapText="1"/>
    </xf>
    <xf numFmtId="0" fontId="20" fillId="0" borderId="62" xfId="0" applyFont="1" applyBorder="1" applyAlignment="1">
      <alignment horizontal="center" vertical="center" wrapText="1"/>
    </xf>
    <xf numFmtId="0" fontId="20" fillId="0" borderId="77" xfId="0" applyFont="1" applyBorder="1" applyAlignment="1">
      <alignment horizontal="center" vertical="center" wrapText="1"/>
    </xf>
    <xf numFmtId="0" fontId="20" fillId="0" borderId="79" xfId="0" applyFont="1" applyBorder="1" applyAlignment="1">
      <alignment horizontal="center" vertical="center" wrapText="1"/>
    </xf>
    <xf numFmtId="0" fontId="29" fillId="8" borderId="21" xfId="0" applyFont="1" applyFill="1" applyBorder="1" applyAlignment="1">
      <alignment horizontal="center" vertical="center" wrapText="1"/>
    </xf>
    <xf numFmtId="0" fontId="29" fillId="8" borderId="22"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7" fillId="6" borderId="122" xfId="0" applyFont="1" applyFill="1" applyBorder="1" applyAlignment="1">
      <alignment horizontal="center" vertical="center"/>
    </xf>
    <xf numFmtId="0" fontId="7" fillId="6" borderId="0" xfId="0" applyFont="1" applyFill="1" applyAlignment="1">
      <alignment horizontal="center" vertical="center"/>
    </xf>
    <xf numFmtId="0" fontId="7" fillId="6" borderId="73" xfId="0" applyFont="1" applyFill="1" applyBorder="1" applyAlignment="1">
      <alignment horizontal="center" vertical="center"/>
    </xf>
    <xf numFmtId="0" fontId="20" fillId="0" borderId="4"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0" fillId="0" borderId="30" xfId="0" applyFont="1" applyBorder="1" applyAlignment="1">
      <alignment horizontal="center" vertical="center"/>
    </xf>
    <xf numFmtId="0" fontId="20" fillId="0" borderId="113" xfId="0" applyFont="1" applyBorder="1" applyAlignment="1">
      <alignment horizontal="center" vertical="center" wrapText="1"/>
    </xf>
    <xf numFmtId="0" fontId="20" fillId="0" borderId="115" xfId="0" applyFont="1" applyBorder="1" applyAlignment="1">
      <alignment horizontal="center" vertical="center" wrapText="1"/>
    </xf>
    <xf numFmtId="0" fontId="20" fillId="0" borderId="118" xfId="0" applyFont="1" applyBorder="1" applyAlignment="1">
      <alignment horizontal="center" vertical="center" wrapText="1"/>
    </xf>
    <xf numFmtId="0" fontId="20" fillId="0" borderId="114" xfId="0" applyFont="1" applyBorder="1" applyAlignment="1">
      <alignment horizontal="center" vertical="center" wrapText="1"/>
    </xf>
    <xf numFmtId="0" fontId="20" fillId="0" borderId="116" xfId="0" applyFont="1" applyBorder="1" applyAlignment="1">
      <alignment horizontal="center" vertical="center" wrapText="1"/>
    </xf>
    <xf numFmtId="0" fontId="20" fillId="0" borderId="119" xfId="0" applyFont="1" applyBorder="1" applyAlignment="1">
      <alignment horizontal="center" vertical="center" wrapText="1"/>
    </xf>
    <xf numFmtId="0" fontId="20" fillId="0" borderId="120" xfId="0" applyFont="1" applyBorder="1" applyAlignment="1">
      <alignment horizontal="center" vertical="center" wrapText="1"/>
    </xf>
    <xf numFmtId="0" fontId="20" fillId="0" borderId="121" xfId="0" applyFont="1" applyBorder="1" applyAlignment="1">
      <alignment horizontal="center" vertical="center" wrapText="1"/>
    </xf>
    <xf numFmtId="0" fontId="20" fillId="0" borderId="65" xfId="0" applyFont="1" applyBorder="1" applyAlignment="1">
      <alignment horizontal="center" vertical="center" wrapText="1"/>
    </xf>
    <xf numFmtId="0" fontId="20" fillId="0" borderId="19" xfId="0" applyFont="1" applyBorder="1" applyAlignment="1">
      <alignment horizontal="center" vertical="center"/>
    </xf>
    <xf numFmtId="0" fontId="20" fillId="0" borderId="131" xfId="0" applyFont="1" applyBorder="1" applyAlignment="1">
      <alignment horizontal="center" vertical="center" wrapText="1"/>
    </xf>
    <xf numFmtId="0" fontId="20" fillId="0" borderId="135" xfId="0" applyFont="1" applyBorder="1" applyAlignment="1">
      <alignment horizontal="center" vertical="center" wrapText="1"/>
    </xf>
    <xf numFmtId="0" fontId="20" fillId="0" borderId="136" xfId="0" applyFont="1" applyBorder="1" applyAlignment="1">
      <alignment horizontal="center" vertical="center" wrapText="1"/>
    </xf>
    <xf numFmtId="0" fontId="20" fillId="0" borderId="140" xfId="0" applyFont="1" applyBorder="1" applyAlignment="1">
      <alignment horizontal="center" vertical="center" wrapText="1"/>
    </xf>
    <xf numFmtId="0" fontId="20" fillId="0" borderId="144" xfId="0" applyFont="1" applyBorder="1" applyAlignment="1">
      <alignment horizontal="center" vertical="center" wrapText="1"/>
    </xf>
    <xf numFmtId="0" fontId="20" fillId="0" borderId="148" xfId="0" applyFont="1" applyBorder="1" applyAlignment="1">
      <alignment horizontal="center" vertical="center" wrapText="1"/>
    </xf>
    <xf numFmtId="0" fontId="20" fillId="0" borderId="131" xfId="0" applyFont="1" applyBorder="1" applyAlignment="1">
      <alignment horizontal="center" vertical="center"/>
    </xf>
    <xf numFmtId="0" fontId="20" fillId="0" borderId="135" xfId="0" applyFont="1" applyBorder="1" applyAlignment="1">
      <alignment horizontal="center" vertical="center"/>
    </xf>
    <xf numFmtId="0" fontId="20" fillId="0" borderId="136" xfId="0" applyFont="1" applyBorder="1" applyAlignment="1">
      <alignment horizontal="center" vertical="center"/>
    </xf>
    <xf numFmtId="0" fontId="20" fillId="0" borderId="91" xfId="0" applyFont="1" applyBorder="1" applyAlignment="1">
      <alignment horizontal="center" vertical="center" wrapText="1"/>
    </xf>
    <xf numFmtId="0" fontId="20" fillId="0" borderId="12" xfId="0" applyFont="1" applyBorder="1" applyAlignment="1">
      <alignment horizontal="center" vertical="center"/>
    </xf>
    <xf numFmtId="0" fontId="20" fillId="0" borderId="156" xfId="0" applyFont="1" applyBorder="1" applyAlignment="1">
      <alignment horizontal="center" vertical="center"/>
    </xf>
    <xf numFmtId="0" fontId="38" fillId="0" borderId="140" xfId="0" applyFont="1" applyBorder="1" applyAlignment="1">
      <alignment horizontal="center" vertical="center" wrapText="1"/>
    </xf>
    <xf numFmtId="0" fontId="20" fillId="0" borderId="197" xfId="0" applyFont="1" applyBorder="1" applyAlignment="1">
      <alignment horizontal="center" vertical="center" wrapText="1"/>
    </xf>
    <xf numFmtId="0" fontId="20" fillId="0" borderId="199" xfId="0" applyFont="1" applyBorder="1" applyAlignment="1">
      <alignment horizontal="center" vertical="center" wrapText="1"/>
    </xf>
    <xf numFmtId="0" fontId="20" fillId="0" borderId="200" xfId="0" applyFont="1" applyBorder="1" applyAlignment="1">
      <alignment horizontal="center" vertical="center" wrapText="1"/>
    </xf>
    <xf numFmtId="0" fontId="40" fillId="0" borderId="198" xfId="0" applyFont="1" applyBorder="1" applyAlignment="1">
      <alignment horizontal="center" vertical="center"/>
    </xf>
    <xf numFmtId="0" fontId="40" fillId="0" borderId="56" xfId="0" applyFont="1" applyBorder="1" applyAlignment="1">
      <alignment horizontal="center" vertical="center"/>
    </xf>
    <xf numFmtId="0" fontId="40" fillId="0" borderId="201" xfId="0" applyFont="1" applyBorder="1" applyAlignment="1">
      <alignment horizontal="center" vertical="center"/>
    </xf>
    <xf numFmtId="0" fontId="20" fillId="0" borderId="198" xfId="0" applyFont="1" applyBorder="1" applyAlignment="1">
      <alignment horizontal="center" vertical="center" wrapText="1"/>
    </xf>
    <xf numFmtId="0" fontId="20" fillId="0" borderId="201" xfId="0" applyFont="1" applyBorder="1" applyAlignment="1">
      <alignment horizontal="center" vertical="center" wrapText="1"/>
    </xf>
    <xf numFmtId="0" fontId="20" fillId="0" borderId="211" xfId="0" applyFont="1" applyBorder="1" applyAlignment="1">
      <alignment horizontal="center" vertical="center" wrapText="1"/>
    </xf>
    <xf numFmtId="0" fontId="20" fillId="0" borderId="164" xfId="0" applyFont="1" applyBorder="1" applyAlignment="1">
      <alignment horizontal="center" vertical="center" wrapText="1"/>
    </xf>
    <xf numFmtId="0" fontId="20" fillId="0" borderId="212" xfId="0" applyFont="1" applyBorder="1" applyAlignment="1">
      <alignment horizontal="center" vertical="center" wrapText="1"/>
    </xf>
    <xf numFmtId="0" fontId="20" fillId="0" borderId="94" xfId="0" applyFont="1" applyBorder="1" applyAlignment="1">
      <alignment horizontal="center" vertical="center" wrapText="1"/>
    </xf>
    <xf numFmtId="0" fontId="20" fillId="0" borderId="96" xfId="0" applyFont="1" applyBorder="1" applyAlignment="1">
      <alignment horizontal="center" vertical="center" wrapText="1"/>
    </xf>
    <xf numFmtId="0" fontId="20" fillId="0" borderId="117" xfId="0" applyFont="1" applyBorder="1" applyAlignment="1">
      <alignment horizontal="center" vertical="center" wrapText="1"/>
    </xf>
    <xf numFmtId="0" fontId="40" fillId="0" borderId="63" xfId="0" applyFont="1" applyBorder="1" applyAlignment="1">
      <alignment horizontal="center" vertical="center"/>
    </xf>
    <xf numFmtId="0" fontId="40" fillId="0" borderId="64" xfId="0" applyFont="1" applyBorder="1" applyAlignment="1">
      <alignment horizontal="center" vertical="center"/>
    </xf>
    <xf numFmtId="0" fontId="20" fillId="0" borderId="63" xfId="0" applyFont="1" applyBorder="1" applyAlignment="1">
      <alignment horizontal="center" vertical="center" wrapText="1"/>
    </xf>
    <xf numFmtId="0" fontId="20" fillId="0" borderId="64" xfId="0" applyFont="1" applyBorder="1" applyAlignment="1">
      <alignment horizontal="center" vertical="center" wrapText="1"/>
    </xf>
    <xf numFmtId="0" fontId="20" fillId="0" borderId="146" xfId="0" applyFont="1" applyBorder="1" applyAlignment="1">
      <alignment horizontal="center" vertical="center" wrapText="1"/>
    </xf>
    <xf numFmtId="0" fontId="20" fillId="0" borderId="150" xfId="0" applyFont="1" applyBorder="1" applyAlignment="1">
      <alignment horizontal="center" vertical="center" wrapText="1"/>
    </xf>
    <xf numFmtId="0" fontId="20" fillId="0" borderId="151" xfId="0" applyFont="1" applyBorder="1" applyAlignment="1">
      <alignment horizontal="center" vertical="center" wrapText="1"/>
    </xf>
    <xf numFmtId="0" fontId="20" fillId="0" borderId="152" xfId="0" applyFont="1" applyBorder="1" applyAlignment="1">
      <alignment horizontal="center" vertical="center" wrapText="1"/>
    </xf>
    <xf numFmtId="0" fontId="40" fillId="0" borderId="100" xfId="0" applyFont="1" applyBorder="1" applyAlignment="1">
      <alignment horizontal="center" vertical="center"/>
    </xf>
    <xf numFmtId="0" fontId="40" fillId="0" borderId="57" xfId="0" applyFont="1" applyBorder="1" applyAlignment="1">
      <alignment horizontal="center" vertical="center"/>
    </xf>
    <xf numFmtId="0" fontId="20" fillId="0" borderId="163" xfId="0" applyFont="1" applyBorder="1" applyAlignment="1">
      <alignment horizontal="center" vertical="center" wrapText="1"/>
    </xf>
    <xf numFmtId="0" fontId="20" fillId="0" borderId="165" xfId="0" applyFont="1" applyBorder="1" applyAlignment="1">
      <alignment horizontal="center" vertical="center" wrapText="1"/>
    </xf>
    <xf numFmtId="0" fontId="20" fillId="0" borderId="143" xfId="0" applyFont="1" applyBorder="1" applyAlignment="1">
      <alignment horizontal="center" vertical="center"/>
    </xf>
    <xf numFmtId="0" fontId="38" fillId="0" borderId="144" xfId="0" applyFont="1" applyBorder="1" applyAlignment="1">
      <alignment horizontal="center" vertical="center" wrapText="1"/>
    </xf>
    <xf numFmtId="0" fontId="20" fillId="0" borderId="148" xfId="0" applyFont="1" applyBorder="1" applyAlignment="1">
      <alignment horizontal="center" vertical="center"/>
    </xf>
    <xf numFmtId="0" fontId="20" fillId="0" borderId="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56" xfId="0" applyFont="1" applyBorder="1" applyAlignment="1">
      <alignment horizontal="center" vertical="center" wrapText="1"/>
    </xf>
    <xf numFmtId="0" fontId="20" fillId="0" borderId="98" xfId="0" applyFont="1" applyBorder="1" applyAlignment="1">
      <alignment horizontal="center" vertical="center" wrapText="1"/>
    </xf>
    <xf numFmtId="0" fontId="20" fillId="0" borderId="168" xfId="0" applyFont="1" applyBorder="1" applyAlignment="1">
      <alignment horizontal="center" vertical="center" wrapText="1"/>
    </xf>
    <xf numFmtId="0" fontId="20" fillId="0" borderId="169" xfId="0" applyFont="1" applyBorder="1" applyAlignment="1">
      <alignment horizontal="center" vertical="center" wrapText="1"/>
    </xf>
    <xf numFmtId="0" fontId="35" fillId="0" borderId="168" xfId="0" applyFont="1" applyBorder="1" applyAlignment="1">
      <alignment horizontal="center" vertical="center"/>
    </xf>
    <xf numFmtId="0" fontId="35" fillId="0" borderId="164" xfId="0" applyFont="1" applyBorder="1" applyAlignment="1">
      <alignment horizontal="center" vertical="center"/>
    </xf>
    <xf numFmtId="0" fontId="35" fillId="0" borderId="169" xfId="0" applyFont="1" applyBorder="1" applyAlignment="1">
      <alignment horizontal="center" vertical="center"/>
    </xf>
    <xf numFmtId="0" fontId="35" fillId="0" borderId="77" xfId="0" applyFont="1" applyBorder="1" applyAlignment="1">
      <alignment horizontal="center" vertical="center" wrapText="1"/>
    </xf>
    <xf numFmtId="0" fontId="35" fillId="0" borderId="78" xfId="0" applyFont="1" applyBorder="1" applyAlignment="1">
      <alignment horizontal="center" vertical="center" wrapText="1"/>
    </xf>
    <xf numFmtId="0" fontId="35" fillId="0" borderId="79" xfId="0" applyFont="1" applyBorder="1" applyAlignment="1">
      <alignment horizontal="center" vertical="center" wrapText="1"/>
    </xf>
    <xf numFmtId="0" fontId="35" fillId="0" borderId="92" xfId="0" applyFont="1" applyBorder="1" applyAlignment="1">
      <alignment horizontal="center" vertical="center" wrapText="1"/>
    </xf>
    <xf numFmtId="0" fontId="35" fillId="0" borderId="93" xfId="0" applyFont="1" applyBorder="1" applyAlignment="1">
      <alignment horizontal="center" vertical="center" wrapText="1"/>
    </xf>
    <xf numFmtId="0" fontId="35" fillId="0" borderId="62" xfId="0" applyFont="1" applyBorder="1" applyAlignment="1">
      <alignment horizontal="center" vertical="center" wrapText="1"/>
    </xf>
    <xf numFmtId="0" fontId="21" fillId="0" borderId="2" xfId="0" applyFont="1" applyBorder="1" applyAlignment="1">
      <alignment horizontal="center" vertical="center"/>
    </xf>
    <xf numFmtId="0" fontId="29" fillId="8" borderId="20" xfId="0" applyFont="1" applyFill="1" applyBorder="1" applyAlignment="1">
      <alignment horizontal="center" vertical="center"/>
    </xf>
    <xf numFmtId="0" fontId="29" fillId="8" borderId="21" xfId="0" applyFont="1" applyFill="1" applyBorder="1" applyAlignment="1">
      <alignment horizontal="center" vertical="center"/>
    </xf>
    <xf numFmtId="0" fontId="29" fillId="12" borderId="20" xfId="0" applyFont="1" applyFill="1" applyBorder="1" applyAlignment="1">
      <alignment horizontal="center" vertical="center"/>
    </xf>
    <xf numFmtId="0" fontId="29" fillId="12" borderId="21" xfId="0" applyFont="1" applyFill="1" applyBorder="1" applyAlignment="1">
      <alignment horizontal="center" vertical="center"/>
    </xf>
    <xf numFmtId="9" fontId="6" fillId="0" borderId="56" xfId="2" applyFont="1" applyFill="1" applyBorder="1" applyAlignment="1">
      <alignment horizontal="center" vertical="center"/>
    </xf>
    <xf numFmtId="0" fontId="29" fillId="8" borderId="56" xfId="0" applyFont="1" applyFill="1" applyBorder="1" applyAlignment="1">
      <alignment horizontal="center" vertical="center" wrapText="1"/>
    </xf>
    <xf numFmtId="0" fontId="22" fillId="6" borderId="56" xfId="0" applyFont="1" applyFill="1" applyBorder="1" applyAlignment="1">
      <alignment horizontal="center" vertical="center"/>
    </xf>
    <xf numFmtId="0" fontId="0" fillId="0" borderId="0" xfId="0" applyAlignment="1">
      <alignment horizontal="center"/>
    </xf>
    <xf numFmtId="0" fontId="53" fillId="0" borderId="295" xfId="0" applyFont="1" applyBorder="1" applyAlignment="1">
      <alignment horizontal="left" vertical="center"/>
    </xf>
    <xf numFmtId="0" fontId="36" fillId="0" borderId="226" xfId="0" applyFont="1" applyBorder="1" applyAlignment="1">
      <alignment horizontal="left" vertical="center"/>
    </xf>
    <xf numFmtId="0" fontId="36" fillId="0" borderId="42" xfId="0" applyFont="1" applyBorder="1" applyAlignment="1">
      <alignment horizontal="left" vertical="center"/>
    </xf>
    <xf numFmtId="0" fontId="49" fillId="0" borderId="296" xfId="0" applyFont="1" applyBorder="1" applyAlignment="1">
      <alignment horizontal="center" vertical="center" wrapText="1"/>
    </xf>
    <xf numFmtId="0" fontId="0" fillId="0" borderId="297" xfId="0" applyBorder="1" applyAlignment="1">
      <alignment horizontal="center"/>
    </xf>
    <xf numFmtId="0" fontId="49" fillId="0" borderId="83" xfId="0" applyFont="1" applyBorder="1" applyAlignment="1">
      <alignment vertical="center" wrapText="1"/>
    </xf>
    <xf numFmtId="0" fontId="36" fillId="0" borderId="19" xfId="0" applyFont="1" applyBorder="1" applyAlignment="1">
      <alignment horizontal="center" vertical="center"/>
    </xf>
    <xf numFmtId="0" fontId="49" fillId="0" borderId="17" xfId="0" applyFont="1" applyBorder="1" applyAlignment="1">
      <alignment horizontal="center" vertical="center" wrapText="1"/>
    </xf>
    <xf numFmtId="0" fontId="0" fillId="0" borderId="298" xfId="0" applyBorder="1" applyAlignment="1">
      <alignment horizontal="center"/>
    </xf>
    <xf numFmtId="0" fontId="49" fillId="0" borderId="2" xfId="0" applyFont="1" applyBorder="1" applyAlignment="1">
      <alignment horizontal="center" vertical="center"/>
    </xf>
    <xf numFmtId="0" fontId="49" fillId="0" borderId="1" xfId="0" applyFont="1" applyBorder="1" applyAlignment="1">
      <alignment horizontal="center" vertical="center" wrapText="1"/>
    </xf>
    <xf numFmtId="0" fontId="51" fillId="0" borderId="5" xfId="0" applyFont="1" applyBorder="1" applyAlignment="1">
      <alignment horizontal="center" vertical="center" wrapText="1"/>
    </xf>
    <xf numFmtId="0" fontId="51" fillId="0" borderId="7" xfId="0" applyFont="1" applyBorder="1" applyAlignment="1">
      <alignment horizontal="center" vertical="center" wrapText="1"/>
    </xf>
    <xf numFmtId="0" fontId="36" fillId="0" borderId="8" xfId="0" applyFont="1" applyBorder="1" applyAlignment="1">
      <alignment horizontal="left" vertical="center"/>
    </xf>
    <xf numFmtId="0" fontId="49" fillId="0" borderId="30" xfId="0" applyFont="1" applyBorder="1" applyAlignment="1">
      <alignment horizontal="center" vertical="center"/>
    </xf>
    <xf numFmtId="0" fontId="51" fillId="0" borderId="9" xfId="0" applyFont="1" applyBorder="1" applyAlignment="1">
      <alignment horizontal="center" vertical="center" wrapText="1"/>
    </xf>
    <xf numFmtId="0" fontId="35" fillId="0" borderId="4" xfId="0" applyFont="1" applyBorder="1" applyAlignment="1">
      <alignment horizontal="center" vertical="center" wrapText="1"/>
    </xf>
    <xf numFmtId="0" fontId="35" fillId="0" borderId="1" xfId="0" applyFont="1" applyBorder="1" applyAlignment="1">
      <alignment horizontal="center" vertical="center"/>
    </xf>
    <xf numFmtId="0" fontId="35" fillId="0" borderId="5" xfId="0" applyFont="1" applyBorder="1" applyAlignment="1">
      <alignment horizontal="center" vertical="center"/>
    </xf>
    <xf numFmtId="0" fontId="35" fillId="0" borderId="6" xfId="0" applyFont="1" applyBorder="1" applyAlignment="1">
      <alignment horizontal="center" vertical="center" wrapText="1"/>
    </xf>
    <xf numFmtId="0" fontId="35" fillId="0" borderId="2" xfId="0" applyFont="1" applyBorder="1" applyAlignment="1">
      <alignment horizontal="center" vertical="center"/>
    </xf>
    <xf numFmtId="0" fontId="35" fillId="0" borderId="7" xfId="0" applyFont="1" applyBorder="1" applyAlignment="1">
      <alignment horizontal="center" vertical="center"/>
    </xf>
    <xf numFmtId="0" fontId="35" fillId="0" borderId="8" xfId="0" applyFont="1" applyBorder="1" applyAlignment="1">
      <alignment horizontal="center" vertical="center" wrapText="1"/>
    </xf>
    <xf numFmtId="0" fontId="35" fillId="0" borderId="30" xfId="0" applyFont="1" applyBorder="1" applyAlignment="1">
      <alignment horizontal="center" vertical="center"/>
    </xf>
    <xf numFmtId="0" fontId="35" fillId="0" borderId="30" xfId="0" applyFont="1" applyBorder="1" applyAlignment="1">
      <alignment horizontal="center" vertical="center"/>
    </xf>
    <xf numFmtId="0" fontId="35" fillId="0" borderId="9" xfId="0" applyFont="1" applyBorder="1" applyAlignment="1">
      <alignment horizontal="center" vertical="center"/>
    </xf>
    <xf numFmtId="0" fontId="35" fillId="0" borderId="24" xfId="0" applyFont="1" applyBorder="1" applyAlignment="1">
      <alignment horizontal="center" vertical="center"/>
    </xf>
    <xf numFmtId="0" fontId="35" fillId="0" borderId="29" xfId="0" applyFont="1" applyBorder="1" applyAlignment="1">
      <alignment horizontal="center" vertical="center"/>
    </xf>
    <xf numFmtId="0" fontId="35" fillId="0" borderId="26" xfId="0" applyFont="1" applyBorder="1" applyAlignment="1">
      <alignment horizontal="center" vertical="center"/>
    </xf>
    <xf numFmtId="0" fontId="35" fillId="0" borderId="27" xfId="0" applyFont="1" applyBorder="1" applyAlignment="1">
      <alignment horizontal="center" vertical="center"/>
    </xf>
    <xf numFmtId="0" fontId="35" fillId="0" borderId="28" xfId="0" applyFont="1" applyBorder="1" applyAlignment="1">
      <alignment horizontal="center" vertical="center"/>
    </xf>
    <xf numFmtId="0" fontId="35" fillId="0" borderId="25" xfId="0" applyFont="1" applyBorder="1" applyAlignment="1">
      <alignment horizontal="center" vertical="center"/>
    </xf>
    <xf numFmtId="0" fontId="35" fillId="0" borderId="1" xfId="0" applyFont="1" applyBorder="1" applyAlignment="1">
      <alignment horizontal="center" vertical="center" wrapText="1"/>
    </xf>
    <xf numFmtId="0" fontId="35" fillId="0" borderId="2" xfId="0" applyFont="1" applyBorder="1" applyAlignment="1">
      <alignment horizontal="center" vertical="center" wrapText="1"/>
    </xf>
    <xf numFmtId="0" fontId="35" fillId="0" borderId="30" xfId="0" applyFont="1" applyBorder="1" applyAlignment="1">
      <alignment horizontal="center" vertical="center" wrapText="1"/>
    </xf>
    <xf numFmtId="0" fontId="35" fillId="0" borderId="43" xfId="0" applyFont="1" applyBorder="1" applyAlignment="1">
      <alignment horizontal="center" vertical="center"/>
    </xf>
    <xf numFmtId="0" fontId="35" fillId="0" borderId="19" xfId="0" applyFont="1" applyBorder="1" applyAlignment="1">
      <alignment horizontal="center" vertical="center" wrapText="1"/>
    </xf>
    <xf numFmtId="0" fontId="35" fillId="0" borderId="12" xfId="0" applyFont="1" applyBorder="1" applyAlignment="1">
      <alignment horizontal="center" vertical="center" wrapText="1"/>
    </xf>
    <xf numFmtId="1" fontId="35" fillId="0" borderId="1" xfId="0" applyNumberFormat="1" applyFont="1" applyBorder="1" applyAlignment="1">
      <alignment horizontal="center" vertical="center"/>
    </xf>
    <xf numFmtId="1" fontId="35" fillId="0" borderId="5" xfId="0" applyNumberFormat="1" applyFont="1" applyBorder="1" applyAlignment="1">
      <alignment horizontal="center" vertical="center"/>
    </xf>
    <xf numFmtId="1" fontId="35" fillId="0" borderId="2" xfId="0" applyNumberFormat="1" applyFont="1" applyBorder="1" applyAlignment="1">
      <alignment horizontal="center" vertical="center"/>
    </xf>
    <xf numFmtId="1" fontId="35" fillId="0" borderId="7" xfId="0" applyNumberFormat="1" applyFont="1" applyBorder="1" applyAlignment="1">
      <alignment horizontal="center" vertical="center"/>
    </xf>
    <xf numFmtId="1" fontId="35" fillId="0" borderId="12" xfId="0" applyNumberFormat="1" applyFont="1" applyBorder="1" applyAlignment="1">
      <alignment horizontal="center" vertical="center"/>
    </xf>
    <xf numFmtId="1" fontId="35" fillId="0" borderId="33" xfId="0" applyNumberFormat="1" applyFont="1" applyBorder="1" applyAlignment="1">
      <alignment horizontal="center" vertical="center"/>
    </xf>
    <xf numFmtId="0" fontId="35" fillId="0" borderId="197" xfId="0" applyFont="1" applyBorder="1" applyAlignment="1">
      <alignment horizontal="center" vertical="center"/>
    </xf>
    <xf numFmtId="1" fontId="35" fillId="0" borderId="257" xfId="0" applyNumberFormat="1" applyFont="1" applyBorder="1" applyAlignment="1">
      <alignment horizontal="center" vertical="center"/>
    </xf>
    <xf numFmtId="1" fontId="35" fillId="0" borderId="258" xfId="0" applyNumberFormat="1" applyFont="1" applyBorder="1" applyAlignment="1">
      <alignment horizontal="center" vertical="center"/>
    </xf>
    <xf numFmtId="1" fontId="35" fillId="0" borderId="259" xfId="0" applyNumberFormat="1" applyFont="1" applyBorder="1" applyAlignment="1">
      <alignment horizontal="center" vertical="center"/>
    </xf>
    <xf numFmtId="0" fontId="35" fillId="0" borderId="260" xfId="0" applyFont="1" applyBorder="1" applyAlignment="1">
      <alignment horizontal="center" vertical="center"/>
    </xf>
    <xf numFmtId="1" fontId="35" fillId="0" borderId="261" xfId="0" applyNumberFormat="1" applyFont="1" applyBorder="1" applyAlignment="1">
      <alignment horizontal="center" vertical="center"/>
    </xf>
    <xf numFmtId="1" fontId="35" fillId="0" borderId="4" xfId="0" applyNumberFormat="1" applyFont="1" applyBorder="1" applyAlignment="1">
      <alignment horizontal="center" vertical="center"/>
    </xf>
    <xf numFmtId="1" fontId="35" fillId="0" borderId="6" xfId="0" applyNumberFormat="1" applyFont="1" applyBorder="1" applyAlignment="1">
      <alignment horizontal="center" vertical="center"/>
    </xf>
    <xf numFmtId="0" fontId="35" fillId="0" borderId="14" xfId="0" applyFont="1" applyBorder="1" applyAlignment="1">
      <alignment horizontal="center" vertical="center"/>
    </xf>
    <xf numFmtId="1" fontId="35" fillId="0" borderId="8" xfId="0" applyNumberFormat="1" applyFont="1" applyBorder="1" applyAlignment="1">
      <alignment horizontal="center" vertical="center"/>
    </xf>
    <xf numFmtId="1" fontId="35" fillId="0" borderId="30" xfId="0" applyNumberFormat="1" applyFont="1" applyBorder="1" applyAlignment="1">
      <alignment horizontal="center" vertical="center"/>
    </xf>
    <xf numFmtId="1" fontId="35" fillId="0" borderId="9" xfId="0" applyNumberFormat="1" applyFont="1" applyBorder="1" applyAlignment="1">
      <alignment horizontal="center" vertical="center"/>
    </xf>
    <xf numFmtId="1" fontId="35" fillId="0" borderId="65" xfId="0" applyNumberFormat="1" applyFont="1" applyBorder="1" applyAlignment="1">
      <alignment horizontal="center" vertical="center"/>
    </xf>
    <xf numFmtId="1" fontId="35" fillId="0" borderId="19" xfId="0" applyNumberFormat="1" applyFont="1" applyBorder="1" applyAlignment="1">
      <alignment horizontal="center" vertical="center"/>
    </xf>
    <xf numFmtId="1" fontId="35" fillId="0" borderId="59" xfId="0" applyNumberFormat="1" applyFont="1" applyBorder="1" applyAlignment="1">
      <alignment horizontal="center" vertical="center"/>
    </xf>
    <xf numFmtId="0" fontId="35" fillId="0" borderId="23" xfId="0" applyFont="1" applyFill="1" applyBorder="1" applyAlignment="1">
      <alignment horizontal="center" vertical="center"/>
    </xf>
    <xf numFmtId="2" fontId="35" fillId="0" borderId="2" xfId="0" applyNumberFormat="1" applyFont="1" applyFill="1" applyBorder="1" applyAlignment="1">
      <alignment horizontal="center" vertical="center"/>
    </xf>
    <xf numFmtId="2" fontId="35" fillId="0" borderId="7" xfId="0" applyNumberFormat="1" applyFont="1" applyFill="1" applyBorder="1" applyAlignment="1">
      <alignment horizontal="center" vertical="center"/>
    </xf>
    <xf numFmtId="0" fontId="7" fillId="0" borderId="0" xfId="0" applyFont="1" applyFill="1" applyAlignment="1">
      <alignment horizontal="center" vertical="center"/>
    </xf>
    <xf numFmtId="0" fontId="35" fillId="0" borderId="27" xfId="0" applyFont="1" applyFill="1" applyBorder="1" applyAlignment="1">
      <alignment horizontal="center" vertical="center"/>
    </xf>
    <xf numFmtId="2" fontId="35" fillId="0" borderId="30" xfId="0" applyNumberFormat="1" applyFont="1" applyFill="1" applyBorder="1" applyAlignment="1">
      <alignment horizontal="center" vertical="center"/>
    </xf>
    <xf numFmtId="2" fontId="35" fillId="0" borderId="9" xfId="0" applyNumberFormat="1" applyFont="1" applyFill="1" applyBorder="1" applyAlignment="1">
      <alignment horizontal="center" vertical="center"/>
    </xf>
    <xf numFmtId="0" fontId="20" fillId="0" borderId="0" xfId="0" applyFont="1" applyFill="1" applyAlignment="1">
      <alignment horizontal="center" vertical="center"/>
    </xf>
    <xf numFmtId="0" fontId="35" fillId="0" borderId="1" xfId="0" applyFont="1" applyFill="1" applyBorder="1" applyAlignment="1">
      <alignment horizontal="center" vertical="center"/>
    </xf>
    <xf numFmtId="0" fontId="35" fillId="0" borderId="5" xfId="0" applyFont="1" applyFill="1" applyBorder="1" applyAlignment="1">
      <alignment horizontal="center" vertical="center"/>
    </xf>
    <xf numFmtId="0" fontId="39" fillId="0" borderId="1" xfId="0" applyFont="1" applyBorder="1" applyAlignment="1">
      <alignment horizontal="center" vertical="center"/>
    </xf>
    <xf numFmtId="0" fontId="39" fillId="0" borderId="5" xfId="0" applyFont="1" applyBorder="1" applyAlignment="1">
      <alignment horizontal="center" vertical="center"/>
    </xf>
    <xf numFmtId="0" fontId="39" fillId="0" borderId="2" xfId="0" applyFont="1" applyBorder="1" applyAlignment="1">
      <alignment horizontal="center" vertical="center"/>
    </xf>
    <xf numFmtId="0" fontId="39" fillId="0" borderId="7" xfId="0" applyFont="1" applyBorder="1" applyAlignment="1">
      <alignment horizontal="center" vertical="center"/>
    </xf>
    <xf numFmtId="0" fontId="39" fillId="0" borderId="30" xfId="0" applyFont="1" applyBorder="1" applyAlignment="1">
      <alignment horizontal="center" vertical="center"/>
    </xf>
    <xf numFmtId="0" fontId="39" fillId="0" borderId="9" xfId="0" applyFont="1" applyBorder="1" applyAlignment="1">
      <alignment horizontal="center" vertical="center"/>
    </xf>
    <xf numFmtId="0" fontId="20" fillId="0" borderId="84" xfId="0" applyFont="1" applyBorder="1" applyAlignment="1">
      <alignment horizontal="center" vertical="center" wrapText="1"/>
    </xf>
    <xf numFmtId="0" fontId="20" fillId="0" borderId="85" xfId="0" applyFont="1" applyBorder="1" applyAlignment="1">
      <alignment horizontal="center" vertical="center" wrapText="1"/>
    </xf>
    <xf numFmtId="0" fontId="35" fillId="0" borderId="85" xfId="0" applyFont="1" applyBorder="1" applyAlignment="1">
      <alignment horizontal="center" vertical="center" wrapText="1"/>
    </xf>
    <xf numFmtId="0" fontId="20" fillId="0" borderId="16" xfId="0" applyFont="1" applyBorder="1" applyAlignment="1">
      <alignment horizontal="center" vertical="center" wrapText="1"/>
    </xf>
    <xf numFmtId="0" fontId="35" fillId="0" borderId="16" xfId="0" applyFont="1" applyBorder="1" applyAlignment="1">
      <alignment horizontal="center" vertical="center" wrapText="1"/>
    </xf>
    <xf numFmtId="0" fontId="20" fillId="0" borderId="87" xfId="0" applyFont="1" applyBorder="1" applyAlignment="1">
      <alignment horizontal="center" vertical="center" wrapText="1"/>
    </xf>
    <xf numFmtId="0" fontId="35" fillId="0" borderId="87" xfId="0" applyFont="1" applyBorder="1" applyAlignment="1">
      <alignment horizontal="center" vertical="center" wrapText="1"/>
    </xf>
    <xf numFmtId="0" fontId="20" fillId="0" borderId="80" xfId="0" applyFont="1" applyBorder="1" applyAlignment="1">
      <alignment horizontal="center" vertical="center" wrapText="1"/>
    </xf>
    <xf numFmtId="0" fontId="20" fillId="0" borderId="81" xfId="0" applyFont="1" applyBorder="1" applyAlignment="1">
      <alignment horizontal="center" vertical="center" wrapText="1"/>
    </xf>
    <xf numFmtId="0" fontId="35" fillId="0" borderId="81" xfId="0" applyFont="1" applyBorder="1" applyAlignment="1">
      <alignment horizontal="center" vertical="center" wrapText="1"/>
    </xf>
    <xf numFmtId="0" fontId="20" fillId="13" borderId="1" xfId="0" applyFont="1" applyFill="1" applyBorder="1" applyAlignment="1">
      <alignment horizontal="center" vertical="center" wrapText="1"/>
    </xf>
    <xf numFmtId="0" fontId="20" fillId="0" borderId="5" xfId="0" applyFont="1" applyBorder="1" applyAlignment="1">
      <alignment horizontal="center" vertical="center" wrapText="1"/>
    </xf>
    <xf numFmtId="0" fontId="20" fillId="13" borderId="12" xfId="0" applyFont="1" applyFill="1" applyBorder="1" applyAlignment="1">
      <alignment horizontal="center" vertical="center" wrapText="1"/>
    </xf>
    <xf numFmtId="0" fontId="20" fillId="0" borderId="33" xfId="0" applyFont="1" applyBorder="1" applyAlignment="1">
      <alignment horizontal="center" vertical="center" wrapText="1"/>
    </xf>
    <xf numFmtId="0" fontId="19" fillId="0" borderId="234" xfId="0" applyFont="1" applyBorder="1" applyAlignment="1">
      <alignment horizontal="center" vertical="center" wrapText="1"/>
    </xf>
    <xf numFmtId="0" fontId="19" fillId="0" borderId="246" xfId="0" applyFont="1" applyBorder="1" applyAlignment="1">
      <alignment horizontal="center" vertical="center" wrapText="1"/>
    </xf>
    <xf numFmtId="0" fontId="12" fillId="0" borderId="8" xfId="0" applyFont="1" applyBorder="1" applyAlignment="1">
      <alignment vertical="center" wrapText="1"/>
    </xf>
  </cellXfs>
  <cellStyles count="14">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7" xfId="13" xr:uid="{30C1FB6D-9D95-4A8F-915D-5CD8408DFA52}"/>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2F2F2"/>
      <color rgb="FFA6A6A6"/>
      <color rgb="FF918E8E"/>
      <color rgb="FF8C8989"/>
      <color rgb="FFC2BCBC"/>
      <color rgb="FF203764"/>
      <color rgb="FF001132"/>
      <color rgb="FFFFEBCD"/>
      <color rgb="FFFF9900"/>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0.1</c:v>
                </c:pt>
                <c:pt idx="8">
                  <c:v>0.5</c:v>
                </c:pt>
                <c:pt idx="9">
                  <c:v>0.8</c:v>
                </c:pt>
                <c:pt idx="10">
                  <c:v>0.8</c:v>
                </c:pt>
                <c:pt idx="11">
                  <c:v>0.8</c:v>
                </c:pt>
                <c:pt idx="12">
                  <c:v>0.8</c:v>
                </c:pt>
                <c:pt idx="13">
                  <c:v>0.8</c:v>
                </c:pt>
                <c:pt idx="14">
                  <c:v>0.8</c:v>
                </c:pt>
                <c:pt idx="15">
                  <c:v>0.8</c:v>
                </c:pt>
                <c:pt idx="16">
                  <c:v>0.8</c:v>
                </c:pt>
                <c:pt idx="17">
                  <c:v>0.5</c:v>
                </c:pt>
                <c:pt idx="18">
                  <c:v>0.3</c:v>
                </c:pt>
                <c:pt idx="19">
                  <c:v>0.3</c:v>
                </c:pt>
                <c:pt idx="20">
                  <c:v>0.2</c:v>
                </c:pt>
                <c:pt idx="21">
                  <c:v>0.2</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0.1</c:v>
                </c:pt>
                <c:pt idx="8">
                  <c:v>0.3</c:v>
                </c:pt>
                <c:pt idx="9">
                  <c:v>0.4</c:v>
                </c:pt>
                <c:pt idx="10">
                  <c:v>0.4</c:v>
                </c:pt>
                <c:pt idx="11">
                  <c:v>0.4</c:v>
                </c:pt>
                <c:pt idx="12">
                  <c:v>0.4</c:v>
                </c:pt>
                <c:pt idx="13">
                  <c:v>0.4</c:v>
                </c:pt>
                <c:pt idx="14">
                  <c:v>0.4</c:v>
                </c:pt>
                <c:pt idx="15">
                  <c:v>0.4</c:v>
                </c:pt>
                <c:pt idx="16">
                  <c:v>0.4</c:v>
                </c:pt>
                <c:pt idx="17">
                  <c:v>0.1</c:v>
                </c:pt>
                <c:pt idx="18">
                  <c:v>0.1</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c:v>
                </c:pt>
                <c:pt idx="8">
                  <c:v>0.05</c:v>
                </c:pt>
                <c:pt idx="9">
                  <c:v>0.05</c:v>
                </c:pt>
                <c:pt idx="10">
                  <c:v>0.05</c:v>
                </c:pt>
                <c:pt idx="11">
                  <c:v>0.05</c:v>
                </c:pt>
                <c:pt idx="12">
                  <c:v>0.05</c:v>
                </c:pt>
                <c:pt idx="13">
                  <c:v>0.05</c:v>
                </c:pt>
                <c:pt idx="14">
                  <c:v>0.05</c:v>
                </c:pt>
                <c:pt idx="15">
                  <c:v>0.05</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0.1</c:v>
                </c:pt>
                <c:pt idx="1">
                  <c:v>0.1</c:v>
                </c:pt>
                <c:pt idx="2">
                  <c:v>0.1</c:v>
                </c:pt>
                <c:pt idx="3">
                  <c:v>0.1</c:v>
                </c:pt>
                <c:pt idx="4">
                  <c:v>0.1</c:v>
                </c:pt>
                <c:pt idx="5">
                  <c:v>0.1</c:v>
                </c:pt>
                <c:pt idx="6">
                  <c:v>0.1</c:v>
                </c:pt>
                <c:pt idx="7">
                  <c:v>0.45</c:v>
                </c:pt>
                <c:pt idx="8">
                  <c:v>0.8</c:v>
                </c:pt>
                <c:pt idx="9">
                  <c:v>0.8</c:v>
                </c:pt>
                <c:pt idx="10">
                  <c:v>0.8</c:v>
                </c:pt>
                <c:pt idx="11">
                  <c:v>0.8</c:v>
                </c:pt>
                <c:pt idx="12">
                  <c:v>0.8</c:v>
                </c:pt>
                <c:pt idx="13">
                  <c:v>0.8</c:v>
                </c:pt>
                <c:pt idx="14">
                  <c:v>0.8</c:v>
                </c:pt>
                <c:pt idx="15">
                  <c:v>0.8</c:v>
                </c:pt>
                <c:pt idx="16">
                  <c:v>0.3</c:v>
                </c:pt>
                <c:pt idx="17">
                  <c:v>0.3</c:v>
                </c:pt>
                <c:pt idx="18">
                  <c:v>0.3</c:v>
                </c:pt>
                <c:pt idx="19">
                  <c:v>0.3</c:v>
                </c:pt>
                <c:pt idx="20">
                  <c:v>0.3</c:v>
                </c:pt>
                <c:pt idx="21">
                  <c:v>0.3</c:v>
                </c:pt>
                <c:pt idx="22">
                  <c:v>0.3</c:v>
                </c:pt>
                <c:pt idx="23">
                  <c:v>0.1</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0.1</c:v>
                </c:pt>
                <c:pt idx="1">
                  <c:v>0.1</c:v>
                </c:pt>
                <c:pt idx="2">
                  <c:v>0.1</c:v>
                </c:pt>
                <c:pt idx="3">
                  <c:v>0.1</c:v>
                </c:pt>
                <c:pt idx="4">
                  <c:v>0.1</c:v>
                </c:pt>
                <c:pt idx="5">
                  <c:v>0.1</c:v>
                </c:pt>
                <c:pt idx="6">
                  <c:v>0.1</c:v>
                </c:pt>
                <c:pt idx="7">
                  <c:v>0.2</c:v>
                </c:pt>
                <c:pt idx="8">
                  <c:v>0.35</c:v>
                </c:pt>
                <c:pt idx="9">
                  <c:v>0.35</c:v>
                </c:pt>
                <c:pt idx="10">
                  <c:v>0.35</c:v>
                </c:pt>
                <c:pt idx="11">
                  <c:v>0.35</c:v>
                </c:pt>
                <c:pt idx="12">
                  <c:v>0.35</c:v>
                </c:pt>
                <c:pt idx="13">
                  <c:v>0.35</c:v>
                </c:pt>
                <c:pt idx="14">
                  <c:v>0.35</c:v>
                </c:pt>
                <c:pt idx="15">
                  <c:v>0.35</c:v>
                </c:pt>
                <c:pt idx="16">
                  <c:v>0.35</c:v>
                </c:pt>
                <c:pt idx="17">
                  <c:v>0.35</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0.05</c:v>
                </c:pt>
                <c:pt idx="1">
                  <c:v>0.05</c:v>
                </c:pt>
                <c:pt idx="2">
                  <c:v>0.05</c:v>
                </c:pt>
                <c:pt idx="3">
                  <c:v>0.05</c:v>
                </c:pt>
                <c:pt idx="4">
                  <c:v>0.05</c:v>
                </c:pt>
                <c:pt idx="5">
                  <c:v>0.05</c:v>
                </c:pt>
                <c:pt idx="6">
                  <c:v>0.05</c:v>
                </c:pt>
                <c:pt idx="7">
                  <c:v>0.05</c:v>
                </c:pt>
                <c:pt idx="8">
                  <c:v>0.1</c:v>
                </c:pt>
                <c:pt idx="9">
                  <c:v>0.1</c:v>
                </c:pt>
                <c:pt idx="10">
                  <c:v>0.1</c:v>
                </c:pt>
                <c:pt idx="11">
                  <c:v>0.1</c:v>
                </c:pt>
                <c:pt idx="12">
                  <c:v>0.1</c:v>
                </c:pt>
                <c:pt idx="13">
                  <c:v>0.1</c:v>
                </c:pt>
                <c:pt idx="14">
                  <c:v>0.1</c:v>
                </c:pt>
                <c:pt idx="15">
                  <c:v>0.1</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c:v>
                </c:pt>
                <c:pt idx="1">
                  <c:v>0.1</c:v>
                </c:pt>
                <c:pt idx="2">
                  <c:v>0.1</c:v>
                </c:pt>
                <c:pt idx="3">
                  <c:v>0.1</c:v>
                </c:pt>
                <c:pt idx="4">
                  <c:v>0.1</c:v>
                </c:pt>
                <c:pt idx="5">
                  <c:v>0.1</c:v>
                </c:pt>
                <c:pt idx="6">
                  <c:v>0.1</c:v>
                </c:pt>
                <c:pt idx="7">
                  <c:v>0.5</c:v>
                </c:pt>
                <c:pt idx="8">
                  <c:v>0.9</c:v>
                </c:pt>
                <c:pt idx="9">
                  <c:v>0.9</c:v>
                </c:pt>
                <c:pt idx="10">
                  <c:v>0.9</c:v>
                </c:pt>
                <c:pt idx="11">
                  <c:v>0.9</c:v>
                </c:pt>
                <c:pt idx="12">
                  <c:v>0.9</c:v>
                </c:pt>
                <c:pt idx="13">
                  <c:v>0.9</c:v>
                </c:pt>
                <c:pt idx="14">
                  <c:v>0.9</c:v>
                </c:pt>
                <c:pt idx="15">
                  <c:v>0.9</c:v>
                </c:pt>
                <c:pt idx="16">
                  <c:v>0.3</c:v>
                </c:pt>
                <c:pt idx="17">
                  <c:v>0.3</c:v>
                </c:pt>
                <c:pt idx="18">
                  <c:v>0.3</c:v>
                </c:pt>
                <c:pt idx="19">
                  <c:v>0.3</c:v>
                </c:pt>
                <c:pt idx="20">
                  <c:v>0.3</c:v>
                </c:pt>
                <c:pt idx="21">
                  <c:v>0.3</c:v>
                </c:pt>
                <c:pt idx="22">
                  <c:v>0.3</c:v>
                </c:pt>
                <c:pt idx="23">
                  <c:v>0.1</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c:v>
                </c:pt>
                <c:pt idx="1">
                  <c:v>0.1</c:v>
                </c:pt>
                <c:pt idx="2">
                  <c:v>0.1</c:v>
                </c:pt>
                <c:pt idx="3">
                  <c:v>0.1</c:v>
                </c:pt>
                <c:pt idx="4">
                  <c:v>0.1</c:v>
                </c:pt>
                <c:pt idx="5">
                  <c:v>0.1</c:v>
                </c:pt>
                <c:pt idx="6">
                  <c:v>0.1</c:v>
                </c:pt>
                <c:pt idx="7">
                  <c:v>0.2</c:v>
                </c:pt>
                <c:pt idx="8">
                  <c:v>0.4</c:v>
                </c:pt>
                <c:pt idx="9">
                  <c:v>0.4</c:v>
                </c:pt>
                <c:pt idx="10">
                  <c:v>0.4</c:v>
                </c:pt>
                <c:pt idx="11">
                  <c:v>0.4</c:v>
                </c:pt>
                <c:pt idx="12">
                  <c:v>0.4</c:v>
                </c:pt>
                <c:pt idx="13">
                  <c:v>0.4</c:v>
                </c:pt>
                <c:pt idx="14">
                  <c:v>0.4</c:v>
                </c:pt>
                <c:pt idx="15">
                  <c:v>0.4</c:v>
                </c:pt>
                <c:pt idx="16">
                  <c:v>0.4</c:v>
                </c:pt>
                <c:pt idx="17">
                  <c:v>0.4</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0.1</c:v>
                </c:pt>
                <c:pt idx="9">
                  <c:v>0.1</c:v>
                </c:pt>
                <c:pt idx="10">
                  <c:v>0.1</c:v>
                </c:pt>
                <c:pt idx="11">
                  <c:v>0.1</c:v>
                </c:pt>
                <c:pt idx="12">
                  <c:v>0.1</c:v>
                </c:pt>
                <c:pt idx="13">
                  <c:v>0.1</c:v>
                </c:pt>
                <c:pt idx="14">
                  <c:v>0.1</c:v>
                </c:pt>
                <c:pt idx="15">
                  <c:v>0.1</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Schedules!$C$203</c:f>
          <c:strCache>
            <c:ptCount val="1"/>
            <c:pt idx="0">
              <c:v>Elevator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Schedules!$F$203:$AC$203</c:f>
              <c:numCache>
                <c:formatCode>General</c:formatCode>
                <c:ptCount val="24"/>
                <c:pt idx="0">
                  <c:v>0.02</c:v>
                </c:pt>
                <c:pt idx="1">
                  <c:v>0.02</c:v>
                </c:pt>
                <c:pt idx="2">
                  <c:v>0.02</c:v>
                </c:pt>
                <c:pt idx="3">
                  <c:v>0.02</c:v>
                </c:pt>
                <c:pt idx="4">
                  <c:v>0.02</c:v>
                </c:pt>
                <c:pt idx="5">
                  <c:v>0.02</c:v>
                </c:pt>
                <c:pt idx="6">
                  <c:v>0.02</c:v>
                </c:pt>
                <c:pt idx="7">
                  <c:v>0.02</c:v>
                </c:pt>
                <c:pt idx="8">
                  <c:v>0.75</c:v>
                </c:pt>
                <c:pt idx="9">
                  <c:v>1</c:v>
                </c:pt>
                <c:pt idx="10">
                  <c:v>1</c:v>
                </c:pt>
                <c:pt idx="11">
                  <c:v>1</c:v>
                </c:pt>
                <c:pt idx="12">
                  <c:v>0.75</c:v>
                </c:pt>
                <c:pt idx="13">
                  <c:v>1</c:v>
                </c:pt>
                <c:pt idx="14">
                  <c:v>1</c:v>
                </c:pt>
                <c:pt idx="15">
                  <c:v>1</c:v>
                </c:pt>
                <c:pt idx="16">
                  <c:v>1</c:v>
                </c:pt>
                <c:pt idx="17">
                  <c:v>1</c:v>
                </c:pt>
                <c:pt idx="18">
                  <c:v>0.52</c:v>
                </c:pt>
                <c:pt idx="19">
                  <c:v>0.52</c:v>
                </c:pt>
                <c:pt idx="20">
                  <c:v>0.52</c:v>
                </c:pt>
                <c:pt idx="21">
                  <c:v>0.28000000000000003</c:v>
                </c:pt>
                <c:pt idx="22">
                  <c:v>0.02</c:v>
                </c:pt>
                <c:pt idx="23">
                  <c:v>0.02</c:v>
                </c:pt>
              </c:numCache>
            </c:numRef>
          </c:val>
          <c:smooth val="0"/>
          <c:extLst>
            <c:ext xmlns:c16="http://schemas.microsoft.com/office/drawing/2014/chart" uri="{C3380CC4-5D6E-409C-BE32-E72D297353CC}">
              <c16:uniqueId val="{00000000-51AB-482C-B7A9-C5F811A81F2E}"/>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Schedules!$F$204:$AC$204</c:f>
              <c:numCache>
                <c:formatCode>General</c:formatCode>
                <c:ptCount val="24"/>
                <c:pt idx="0">
                  <c:v>0.02</c:v>
                </c:pt>
                <c:pt idx="1">
                  <c:v>0.02</c:v>
                </c:pt>
                <c:pt idx="2">
                  <c:v>0.02</c:v>
                </c:pt>
                <c:pt idx="3">
                  <c:v>0.02</c:v>
                </c:pt>
                <c:pt idx="4">
                  <c:v>0.02</c:v>
                </c:pt>
                <c:pt idx="5">
                  <c:v>0.02</c:v>
                </c:pt>
                <c:pt idx="6">
                  <c:v>0.02</c:v>
                </c:pt>
                <c:pt idx="7">
                  <c:v>0.02</c:v>
                </c:pt>
                <c:pt idx="8">
                  <c:v>0.46</c:v>
                </c:pt>
                <c:pt idx="9">
                  <c:v>0.7</c:v>
                </c:pt>
                <c:pt idx="10">
                  <c:v>0.7</c:v>
                </c:pt>
                <c:pt idx="11">
                  <c:v>0.7</c:v>
                </c:pt>
                <c:pt idx="12">
                  <c:v>0.51</c:v>
                </c:pt>
                <c:pt idx="13">
                  <c:v>0.51</c:v>
                </c:pt>
                <c:pt idx="14">
                  <c:v>0.51</c:v>
                </c:pt>
                <c:pt idx="15">
                  <c:v>0.51</c:v>
                </c:pt>
                <c:pt idx="16">
                  <c:v>0.51</c:v>
                </c:pt>
                <c:pt idx="17">
                  <c:v>0.25</c:v>
                </c:pt>
                <c:pt idx="18">
                  <c:v>0.02</c:v>
                </c:pt>
                <c:pt idx="19">
                  <c:v>0.02</c:v>
                </c:pt>
                <c:pt idx="20">
                  <c:v>0.02</c:v>
                </c:pt>
                <c:pt idx="21">
                  <c:v>0.02</c:v>
                </c:pt>
                <c:pt idx="22">
                  <c:v>0.02</c:v>
                </c:pt>
                <c:pt idx="23">
                  <c:v>0.02</c:v>
                </c:pt>
              </c:numCache>
            </c:numRef>
          </c:val>
          <c:smooth val="0"/>
          <c:extLst>
            <c:ext xmlns:c16="http://schemas.microsoft.com/office/drawing/2014/chart" uri="{C3380CC4-5D6E-409C-BE32-E72D297353CC}">
              <c16:uniqueId val="{00000001-51AB-482C-B7A9-C5F811A81F2E}"/>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Schedules!$F$205:$AC$205</c:f>
              <c:numCache>
                <c:formatCode>General</c:formatCode>
                <c:ptCount val="24"/>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numCache>
            </c:numRef>
          </c:val>
          <c:smooth val="0"/>
          <c:extLst>
            <c:ext xmlns:c16="http://schemas.microsoft.com/office/drawing/2014/chart" uri="{C3380CC4-5D6E-409C-BE32-E72D297353CC}">
              <c16:uniqueId val="{00000002-51AB-482C-B7A9-C5F811A81F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0.75</c:v>
                </c:pt>
                <c:pt idx="8">
                  <c:v>0.9</c:v>
                </c:pt>
                <c:pt idx="9">
                  <c:v>0.9</c:v>
                </c:pt>
                <c:pt idx="10">
                  <c:v>0.9</c:v>
                </c:pt>
                <c:pt idx="11">
                  <c:v>0.9</c:v>
                </c:pt>
                <c:pt idx="12">
                  <c:v>0.9</c:v>
                </c:pt>
                <c:pt idx="13">
                  <c:v>0.9</c:v>
                </c:pt>
                <c:pt idx="14">
                  <c:v>0.9</c:v>
                </c:pt>
                <c:pt idx="15">
                  <c:v>0.9</c:v>
                </c:pt>
                <c:pt idx="16">
                  <c:v>0.9</c:v>
                </c:pt>
                <c:pt idx="17">
                  <c:v>0.75</c:v>
                </c:pt>
                <c:pt idx="18">
                  <c:v>0.2</c:v>
                </c:pt>
                <c:pt idx="19">
                  <c:v>0.1</c:v>
                </c:pt>
                <c:pt idx="20">
                  <c:v>0</c:v>
                </c:pt>
                <c:pt idx="21">
                  <c:v>0</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0.3</c:v>
                </c:pt>
                <c:pt idx="8">
                  <c:v>0.5</c:v>
                </c:pt>
                <c:pt idx="9">
                  <c:v>0.5</c:v>
                </c:pt>
                <c:pt idx="10">
                  <c:v>0.5</c:v>
                </c:pt>
                <c:pt idx="11">
                  <c:v>0.5</c:v>
                </c:pt>
                <c:pt idx="12">
                  <c:v>0.5</c:v>
                </c:pt>
                <c:pt idx="13">
                  <c:v>0.5</c:v>
                </c:pt>
                <c:pt idx="14">
                  <c:v>0.5</c:v>
                </c:pt>
                <c:pt idx="15">
                  <c:v>0.5</c:v>
                </c:pt>
                <c:pt idx="16">
                  <c:v>0.5</c:v>
                </c:pt>
                <c:pt idx="17">
                  <c:v>0.3</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General</c:formatCode>
                <c:ptCount val="24"/>
                <c:pt idx="0">
                  <c:v>0.01</c:v>
                </c:pt>
                <c:pt idx="1">
                  <c:v>0.01</c:v>
                </c:pt>
                <c:pt idx="2">
                  <c:v>0.01</c:v>
                </c:pt>
                <c:pt idx="3">
                  <c:v>0.01</c:v>
                </c:pt>
                <c:pt idx="4">
                  <c:v>0.01</c:v>
                </c:pt>
                <c:pt idx="5">
                  <c:v>0.01</c:v>
                </c:pt>
                <c:pt idx="6">
                  <c:v>0.01</c:v>
                </c:pt>
                <c:pt idx="7">
                  <c:v>0.17</c:v>
                </c:pt>
                <c:pt idx="8">
                  <c:v>0.57999999999999996</c:v>
                </c:pt>
                <c:pt idx="9">
                  <c:v>0.66</c:v>
                </c:pt>
                <c:pt idx="10">
                  <c:v>0.78</c:v>
                </c:pt>
                <c:pt idx="11">
                  <c:v>0.82</c:v>
                </c:pt>
                <c:pt idx="12">
                  <c:v>0.71</c:v>
                </c:pt>
                <c:pt idx="13">
                  <c:v>0.82</c:v>
                </c:pt>
                <c:pt idx="14">
                  <c:v>0.78</c:v>
                </c:pt>
                <c:pt idx="15">
                  <c:v>0.74</c:v>
                </c:pt>
                <c:pt idx="16">
                  <c:v>0.63</c:v>
                </c:pt>
                <c:pt idx="17">
                  <c:v>0.41</c:v>
                </c:pt>
                <c:pt idx="18">
                  <c:v>0.18</c:v>
                </c:pt>
                <c:pt idx="19">
                  <c:v>0.18</c:v>
                </c:pt>
                <c:pt idx="20">
                  <c:v>0.18</c:v>
                </c:pt>
                <c:pt idx="21">
                  <c:v>0.1</c:v>
                </c:pt>
                <c:pt idx="22">
                  <c:v>0.01</c:v>
                </c:pt>
                <c:pt idx="23">
                  <c:v>0.01</c:v>
                </c:pt>
              </c:numCache>
            </c:numRef>
          </c:val>
          <c:smooth val="0"/>
          <c:extLst>
            <c:ext xmlns:c16="http://schemas.microsoft.com/office/drawing/2014/chart" uri="{C3380CC4-5D6E-409C-BE32-E72D297353CC}">
              <c16:uniqueId val="{00000000-3135-48D8-A067-570C878F17DC}"/>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General</c:formatCode>
                <c:ptCount val="24"/>
                <c:pt idx="0">
                  <c:v>0.01</c:v>
                </c:pt>
                <c:pt idx="1">
                  <c:v>0.01</c:v>
                </c:pt>
                <c:pt idx="2">
                  <c:v>0.01</c:v>
                </c:pt>
                <c:pt idx="3">
                  <c:v>0.01</c:v>
                </c:pt>
                <c:pt idx="4">
                  <c:v>0.01</c:v>
                </c:pt>
                <c:pt idx="5">
                  <c:v>0.01</c:v>
                </c:pt>
                <c:pt idx="6">
                  <c:v>0.01</c:v>
                </c:pt>
                <c:pt idx="7">
                  <c:v>0.01</c:v>
                </c:pt>
                <c:pt idx="8">
                  <c:v>0.2</c:v>
                </c:pt>
                <c:pt idx="9">
                  <c:v>0.28000000000000003</c:v>
                </c:pt>
                <c:pt idx="10">
                  <c:v>0.3</c:v>
                </c:pt>
                <c:pt idx="11">
                  <c:v>0.3</c:v>
                </c:pt>
                <c:pt idx="12">
                  <c:v>0.24</c:v>
                </c:pt>
                <c:pt idx="13">
                  <c:v>0.24</c:v>
                </c:pt>
                <c:pt idx="14">
                  <c:v>0.23</c:v>
                </c:pt>
                <c:pt idx="15">
                  <c:v>0.23</c:v>
                </c:pt>
                <c:pt idx="16">
                  <c:v>0.23</c:v>
                </c:pt>
                <c:pt idx="17">
                  <c:v>0.1</c:v>
                </c:pt>
                <c:pt idx="18">
                  <c:v>0.01</c:v>
                </c:pt>
                <c:pt idx="19">
                  <c:v>0.01</c:v>
                </c:pt>
                <c:pt idx="20">
                  <c:v>0.01</c:v>
                </c:pt>
                <c:pt idx="21">
                  <c:v>0.01</c:v>
                </c:pt>
                <c:pt idx="22">
                  <c:v>0.01</c:v>
                </c:pt>
                <c:pt idx="23">
                  <c:v>0.01</c:v>
                </c:pt>
              </c:numCache>
            </c:numRef>
          </c:val>
          <c:smooth val="0"/>
          <c:extLst>
            <c:ext xmlns:c16="http://schemas.microsoft.com/office/drawing/2014/chart" uri="{C3380CC4-5D6E-409C-BE32-E72D297353CC}">
              <c16:uniqueId val="{00000001-3135-48D8-A067-570C878F17DC}"/>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General</c:formatCode>
                <c:ptCount val="24"/>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Schedules!$C$113</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Schedules!$E$113</c:f>
              <c:strCache>
                <c:ptCount val="1"/>
                <c:pt idx="0">
                  <c:v>Weekday</c:v>
                </c:pt>
              </c:strCache>
            </c:strRef>
          </c:tx>
          <c:spPr>
            <a:ln w="28575" cap="rnd">
              <a:solidFill>
                <a:schemeClr val="accent1"/>
              </a:solidFill>
              <a:round/>
            </a:ln>
            <a:effectLst/>
          </c:spPr>
          <c:marker>
            <c:symbol val="none"/>
          </c:marker>
          <c:val>
            <c:numRef>
              <c:f>Schedules!$F$113:$AC$113</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39B9-4015-9BB2-440604C1A03D}"/>
            </c:ext>
          </c:extLst>
        </c:ser>
        <c:ser>
          <c:idx val="1"/>
          <c:order val="1"/>
          <c:tx>
            <c:strRef>
              <c:f>Schedules!$E$114</c:f>
              <c:strCache>
                <c:ptCount val="1"/>
                <c:pt idx="0">
                  <c:v>Saturday</c:v>
                </c:pt>
              </c:strCache>
            </c:strRef>
          </c:tx>
          <c:spPr>
            <a:ln w="28575" cap="rnd">
              <a:solidFill>
                <a:schemeClr val="accent2"/>
              </a:solidFill>
              <a:round/>
            </a:ln>
            <a:effectLst/>
          </c:spPr>
          <c:marker>
            <c:symbol val="none"/>
          </c:marker>
          <c:val>
            <c:numRef>
              <c:f>Schedules!$F$114:$AC$114</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9B9-4015-9BB2-440604C1A03D}"/>
            </c:ext>
          </c:extLst>
        </c:ser>
        <c:ser>
          <c:idx val="2"/>
          <c:order val="2"/>
          <c:tx>
            <c:strRef>
              <c:f>Schedules!$E$115</c:f>
              <c:strCache>
                <c:ptCount val="1"/>
                <c:pt idx="0">
                  <c:v>Sunday</c:v>
                </c:pt>
              </c:strCache>
            </c:strRef>
          </c:tx>
          <c:spPr>
            <a:ln w="28575" cap="rnd">
              <a:solidFill>
                <a:schemeClr val="accent3"/>
              </a:solidFill>
              <a:round/>
            </a:ln>
            <a:effectLst/>
          </c:spPr>
          <c:marker>
            <c:symbol val="none"/>
          </c:marker>
          <c:val>
            <c:numRef>
              <c:f>Schedules!$F$115:$AC$115</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9B9-4015-9BB2-440604C1A03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Schedules!$C$116</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Schedules!$E$116</c:f>
              <c:strCache>
                <c:ptCount val="1"/>
                <c:pt idx="0">
                  <c:v>Weekday</c:v>
                </c:pt>
              </c:strCache>
            </c:strRef>
          </c:tx>
          <c:spPr>
            <a:ln w="28575" cap="rnd">
              <a:solidFill>
                <a:schemeClr val="accent1"/>
              </a:solidFill>
              <a:round/>
            </a:ln>
            <a:effectLst/>
          </c:spPr>
          <c:marker>
            <c:symbol val="none"/>
          </c:marker>
          <c:val>
            <c:numRef>
              <c:f>Schedules!$F$116:$AC$116</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6267-43C7-878A-C90CEE2C9700}"/>
            </c:ext>
          </c:extLst>
        </c:ser>
        <c:ser>
          <c:idx val="1"/>
          <c:order val="1"/>
          <c:tx>
            <c:strRef>
              <c:f>Schedules!$E$117</c:f>
              <c:strCache>
                <c:ptCount val="1"/>
                <c:pt idx="0">
                  <c:v>Saturday</c:v>
                </c:pt>
              </c:strCache>
            </c:strRef>
          </c:tx>
          <c:spPr>
            <a:ln w="28575" cap="rnd">
              <a:solidFill>
                <a:schemeClr val="accent2"/>
              </a:solidFill>
              <a:round/>
            </a:ln>
            <a:effectLst/>
          </c:spPr>
          <c:marker>
            <c:symbol val="none"/>
          </c:marker>
          <c:val>
            <c:numRef>
              <c:f>Schedules!$F$117:$AC$117</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6267-43C7-878A-C90CEE2C9700}"/>
            </c:ext>
          </c:extLst>
        </c:ser>
        <c:ser>
          <c:idx val="2"/>
          <c:order val="2"/>
          <c:tx>
            <c:strRef>
              <c:f>Schedules!$E$118</c:f>
              <c:strCache>
                <c:ptCount val="1"/>
                <c:pt idx="0">
                  <c:v>Sunday</c:v>
                </c:pt>
              </c:strCache>
            </c:strRef>
          </c:tx>
          <c:spPr>
            <a:ln w="28575" cap="rnd">
              <a:solidFill>
                <a:schemeClr val="accent3"/>
              </a:solidFill>
              <a:round/>
            </a:ln>
            <a:effectLst/>
          </c:spPr>
          <c:marker>
            <c:symbol val="none"/>
          </c:marker>
          <c:val>
            <c:numRef>
              <c:f>Schedules!$F$118:$AC$118</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6267-43C7-878A-C90CEE2C970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Schedules!$C$119</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Schedules!$E$119</c:f>
              <c:strCache>
                <c:ptCount val="1"/>
                <c:pt idx="0">
                  <c:v>Weekday</c:v>
                </c:pt>
              </c:strCache>
            </c:strRef>
          </c:tx>
          <c:spPr>
            <a:ln w="28575" cap="rnd">
              <a:solidFill>
                <a:schemeClr val="accent1"/>
              </a:solidFill>
              <a:round/>
            </a:ln>
            <a:effectLst/>
          </c:spPr>
          <c:marker>
            <c:symbol val="none"/>
          </c:marker>
          <c:val>
            <c:numRef>
              <c:f>Schedules!$F$119:$AC$119</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36E4-4460-80DC-FB03CA44783A}"/>
            </c:ext>
          </c:extLst>
        </c:ser>
        <c:ser>
          <c:idx val="1"/>
          <c:order val="1"/>
          <c:tx>
            <c:strRef>
              <c:f>Schedules!$E$120</c:f>
              <c:strCache>
                <c:ptCount val="1"/>
                <c:pt idx="0">
                  <c:v>Saturday</c:v>
                </c:pt>
              </c:strCache>
            </c:strRef>
          </c:tx>
          <c:spPr>
            <a:ln w="28575" cap="rnd">
              <a:solidFill>
                <a:schemeClr val="accent2"/>
              </a:solidFill>
              <a:round/>
            </a:ln>
            <a:effectLst/>
          </c:spPr>
          <c:marker>
            <c:symbol val="none"/>
          </c:marker>
          <c:val>
            <c:numRef>
              <c:f>Schedules!$F$120:$AC$120</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36E4-4460-80DC-FB03CA44783A}"/>
            </c:ext>
          </c:extLst>
        </c:ser>
        <c:ser>
          <c:idx val="2"/>
          <c:order val="2"/>
          <c:tx>
            <c:strRef>
              <c:f>Schedules!$E$121</c:f>
              <c:strCache>
                <c:ptCount val="1"/>
                <c:pt idx="0">
                  <c:v>Sunday</c:v>
                </c:pt>
              </c:strCache>
            </c:strRef>
          </c:tx>
          <c:spPr>
            <a:ln w="28575" cap="rnd">
              <a:solidFill>
                <a:schemeClr val="accent3"/>
              </a:solidFill>
              <a:round/>
            </a:ln>
            <a:effectLst/>
          </c:spPr>
          <c:marker>
            <c:symbol val="none"/>
          </c:marker>
          <c:val>
            <c:numRef>
              <c:f>Schedules!$F$121:$AC$121</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36E4-4460-80DC-FB03CA44783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General</c:formatCode>
                <c:ptCount val="24"/>
                <c:pt idx="0">
                  <c:v>0.4</c:v>
                </c:pt>
                <c:pt idx="1">
                  <c:v>0.4</c:v>
                </c:pt>
                <c:pt idx="2">
                  <c:v>0.4</c:v>
                </c:pt>
                <c:pt idx="3">
                  <c:v>0.4</c:v>
                </c:pt>
                <c:pt idx="4">
                  <c:v>0.4</c:v>
                </c:pt>
                <c:pt idx="5">
                  <c:v>0.4</c:v>
                </c:pt>
                <c:pt idx="6">
                  <c:v>0.4</c:v>
                </c:pt>
                <c:pt idx="7">
                  <c:v>0.5</c:v>
                </c:pt>
                <c:pt idx="8">
                  <c:v>0.6</c:v>
                </c:pt>
                <c:pt idx="9">
                  <c:v>0.8</c:v>
                </c:pt>
                <c:pt idx="10">
                  <c:v>0.8</c:v>
                </c:pt>
                <c:pt idx="11">
                  <c:v>0.8</c:v>
                </c:pt>
                <c:pt idx="12">
                  <c:v>0.8</c:v>
                </c:pt>
                <c:pt idx="13">
                  <c:v>0.8</c:v>
                </c:pt>
                <c:pt idx="14">
                  <c:v>0.8</c:v>
                </c:pt>
                <c:pt idx="15">
                  <c:v>0.8</c:v>
                </c:pt>
                <c:pt idx="16">
                  <c:v>0.8</c:v>
                </c:pt>
                <c:pt idx="17">
                  <c:v>0.6</c:v>
                </c:pt>
                <c:pt idx="18">
                  <c:v>0.5</c:v>
                </c:pt>
                <c:pt idx="19">
                  <c:v>0.5</c:v>
                </c:pt>
                <c:pt idx="20">
                  <c:v>0.4</c:v>
                </c:pt>
                <c:pt idx="21">
                  <c:v>0.4</c:v>
                </c:pt>
                <c:pt idx="22">
                  <c:v>0.4</c:v>
                </c:pt>
                <c:pt idx="23">
                  <c:v>0.4</c:v>
                </c:pt>
              </c:numCache>
            </c:numRef>
          </c:val>
          <c:smooth val="0"/>
          <c:extLst>
            <c:ext xmlns:c16="http://schemas.microsoft.com/office/drawing/2014/chart" uri="{C3380CC4-5D6E-409C-BE32-E72D297353CC}">
              <c16:uniqueId val="{00000000-98C1-48DF-BBA2-B8A6054D87D3}"/>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General</c:formatCode>
                <c:ptCount val="24"/>
                <c:pt idx="0">
                  <c:v>0.4</c:v>
                </c:pt>
                <c:pt idx="1">
                  <c:v>0.4</c:v>
                </c:pt>
                <c:pt idx="2">
                  <c:v>0.4</c:v>
                </c:pt>
                <c:pt idx="3">
                  <c:v>0.4</c:v>
                </c:pt>
                <c:pt idx="4">
                  <c:v>0.4</c:v>
                </c:pt>
                <c:pt idx="5">
                  <c:v>0.4</c:v>
                </c:pt>
                <c:pt idx="6">
                  <c:v>0.4</c:v>
                </c:pt>
                <c:pt idx="7">
                  <c:v>0.5</c:v>
                </c:pt>
                <c:pt idx="8">
                  <c:v>0.6</c:v>
                </c:pt>
                <c:pt idx="9">
                  <c:v>0.6</c:v>
                </c:pt>
                <c:pt idx="10">
                  <c:v>0.6</c:v>
                </c:pt>
                <c:pt idx="11">
                  <c:v>0.6</c:v>
                </c:pt>
                <c:pt idx="12">
                  <c:v>0.6</c:v>
                </c:pt>
                <c:pt idx="13">
                  <c:v>0.6</c:v>
                </c:pt>
                <c:pt idx="14">
                  <c:v>0.6</c:v>
                </c:pt>
                <c:pt idx="15">
                  <c:v>0.6</c:v>
                </c:pt>
                <c:pt idx="16">
                  <c:v>0.6</c:v>
                </c:pt>
                <c:pt idx="17">
                  <c:v>0.5</c:v>
                </c:pt>
                <c:pt idx="18">
                  <c:v>0.5</c:v>
                </c:pt>
                <c:pt idx="19">
                  <c:v>0.4</c:v>
                </c:pt>
                <c:pt idx="20">
                  <c:v>0.4</c:v>
                </c:pt>
                <c:pt idx="21">
                  <c:v>0.4</c:v>
                </c:pt>
                <c:pt idx="22">
                  <c:v>0.4</c:v>
                </c:pt>
                <c:pt idx="23">
                  <c:v>0.4</c:v>
                </c:pt>
              </c:numCache>
            </c:numRef>
          </c:val>
          <c:smooth val="0"/>
          <c:extLst>
            <c:ext xmlns:c16="http://schemas.microsoft.com/office/drawing/2014/chart" uri="{C3380CC4-5D6E-409C-BE32-E72D297353CC}">
              <c16:uniqueId val="{00000001-98C1-48DF-BBA2-B8A6054D87D3}"/>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General</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2-98C1-48DF-BBA2-B8A6054D87D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General</c:formatCode>
                <c:ptCount val="24"/>
                <c:pt idx="0">
                  <c:v>0.45</c:v>
                </c:pt>
                <c:pt idx="1">
                  <c:v>0.45</c:v>
                </c:pt>
                <c:pt idx="2">
                  <c:v>0.45</c:v>
                </c:pt>
                <c:pt idx="3">
                  <c:v>0.45</c:v>
                </c:pt>
                <c:pt idx="4">
                  <c:v>0.45</c:v>
                </c:pt>
                <c:pt idx="5">
                  <c:v>0.45</c:v>
                </c:pt>
                <c:pt idx="6">
                  <c:v>0.45</c:v>
                </c:pt>
                <c:pt idx="7">
                  <c:v>0.45</c:v>
                </c:pt>
                <c:pt idx="8">
                  <c:v>0.81</c:v>
                </c:pt>
                <c:pt idx="9">
                  <c:v>0.81</c:v>
                </c:pt>
                <c:pt idx="10">
                  <c:v>0.81</c:v>
                </c:pt>
                <c:pt idx="11">
                  <c:v>0.81</c:v>
                </c:pt>
                <c:pt idx="12">
                  <c:v>0.81</c:v>
                </c:pt>
                <c:pt idx="13">
                  <c:v>0.81</c:v>
                </c:pt>
                <c:pt idx="14">
                  <c:v>0.81</c:v>
                </c:pt>
                <c:pt idx="15">
                  <c:v>0.81</c:v>
                </c:pt>
                <c:pt idx="16">
                  <c:v>0.45</c:v>
                </c:pt>
                <c:pt idx="17">
                  <c:v>0.45</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0-9A06-47E6-A215-813824CD4726}"/>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General</c:formatCode>
                <c:ptCount val="24"/>
                <c:pt idx="0">
                  <c:v>0.45</c:v>
                </c:pt>
                <c:pt idx="1">
                  <c:v>0.45</c:v>
                </c:pt>
                <c:pt idx="2">
                  <c:v>0.45</c:v>
                </c:pt>
                <c:pt idx="3">
                  <c:v>0.45</c:v>
                </c:pt>
                <c:pt idx="4">
                  <c:v>0.45</c:v>
                </c:pt>
                <c:pt idx="5">
                  <c:v>0.45</c:v>
                </c:pt>
                <c:pt idx="6">
                  <c:v>0.45</c:v>
                </c:pt>
                <c:pt idx="7">
                  <c:v>0.45</c:v>
                </c:pt>
                <c:pt idx="8">
                  <c:v>0.72</c:v>
                </c:pt>
                <c:pt idx="9">
                  <c:v>0.72</c:v>
                </c:pt>
                <c:pt idx="10">
                  <c:v>0.72</c:v>
                </c:pt>
                <c:pt idx="11">
                  <c:v>0.72</c:v>
                </c:pt>
                <c:pt idx="12">
                  <c:v>0.72</c:v>
                </c:pt>
                <c:pt idx="13">
                  <c:v>0.72</c:v>
                </c:pt>
                <c:pt idx="14">
                  <c:v>0.72</c:v>
                </c:pt>
                <c:pt idx="15">
                  <c:v>0.72</c:v>
                </c:pt>
                <c:pt idx="16">
                  <c:v>0.72</c:v>
                </c:pt>
                <c:pt idx="17">
                  <c:v>0.72</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1-9A06-47E6-A215-813824CD4726}"/>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General</c:formatCode>
                <c:ptCount val="24"/>
                <c:pt idx="0">
                  <c:v>0.45</c:v>
                </c:pt>
                <c:pt idx="1">
                  <c:v>0.45</c:v>
                </c:pt>
                <c:pt idx="2">
                  <c:v>0.45</c:v>
                </c:pt>
                <c:pt idx="3">
                  <c:v>0.45</c:v>
                </c:pt>
                <c:pt idx="4">
                  <c:v>0.45</c:v>
                </c:pt>
                <c:pt idx="5">
                  <c:v>0.45</c:v>
                </c:pt>
                <c:pt idx="6">
                  <c:v>0.45</c:v>
                </c:pt>
                <c:pt idx="7">
                  <c:v>0.45</c:v>
                </c:pt>
                <c:pt idx="8">
                  <c:v>0.63</c:v>
                </c:pt>
                <c:pt idx="9">
                  <c:v>0.63</c:v>
                </c:pt>
                <c:pt idx="10">
                  <c:v>0.63</c:v>
                </c:pt>
                <c:pt idx="11">
                  <c:v>0.63</c:v>
                </c:pt>
                <c:pt idx="12">
                  <c:v>0.63</c:v>
                </c:pt>
                <c:pt idx="13">
                  <c:v>0.63</c:v>
                </c:pt>
                <c:pt idx="14">
                  <c:v>0.63</c:v>
                </c:pt>
                <c:pt idx="15">
                  <c:v>0.63</c:v>
                </c:pt>
                <c:pt idx="16">
                  <c:v>0.45</c:v>
                </c:pt>
                <c:pt idx="17">
                  <c:v>0.45</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2-9A06-47E6-A215-813824CD47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0.4</c:v>
                </c:pt>
                <c:pt idx="1">
                  <c:v>0.4</c:v>
                </c:pt>
                <c:pt idx="2">
                  <c:v>0.4</c:v>
                </c:pt>
                <c:pt idx="3">
                  <c:v>0.4</c:v>
                </c:pt>
                <c:pt idx="4">
                  <c:v>0.4</c:v>
                </c:pt>
                <c:pt idx="5">
                  <c:v>0.4</c:v>
                </c:pt>
                <c:pt idx="6">
                  <c:v>0.4</c:v>
                </c:pt>
                <c:pt idx="7">
                  <c:v>0.7</c:v>
                </c:pt>
                <c:pt idx="8">
                  <c:v>0.9</c:v>
                </c:pt>
                <c:pt idx="9">
                  <c:v>0.9</c:v>
                </c:pt>
                <c:pt idx="10">
                  <c:v>0.9</c:v>
                </c:pt>
                <c:pt idx="11">
                  <c:v>0.9</c:v>
                </c:pt>
                <c:pt idx="12">
                  <c:v>0.9</c:v>
                </c:pt>
                <c:pt idx="13">
                  <c:v>0.9</c:v>
                </c:pt>
                <c:pt idx="14">
                  <c:v>0.9</c:v>
                </c:pt>
                <c:pt idx="15">
                  <c:v>0.9</c:v>
                </c:pt>
                <c:pt idx="16">
                  <c:v>0.6</c:v>
                </c:pt>
                <c:pt idx="17">
                  <c:v>0.6</c:v>
                </c:pt>
                <c:pt idx="18">
                  <c:v>0.6</c:v>
                </c:pt>
                <c:pt idx="19">
                  <c:v>0.6</c:v>
                </c:pt>
                <c:pt idx="20">
                  <c:v>0.6</c:v>
                </c:pt>
                <c:pt idx="21">
                  <c:v>0.6</c:v>
                </c:pt>
                <c:pt idx="22">
                  <c:v>0.6</c:v>
                </c:pt>
                <c:pt idx="23">
                  <c:v>0.4</c:v>
                </c:pt>
              </c:numCache>
            </c:numRef>
          </c:val>
          <c:smooth val="0"/>
          <c:extLst>
            <c:ext xmlns:c16="http://schemas.microsoft.com/office/drawing/2014/chart" uri="{C3380CC4-5D6E-409C-BE32-E72D297353CC}">
              <c16:uniqueId val="{00000000-F6A8-49B7-B5EF-F80469C6616F}"/>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0.4</c:v>
                </c:pt>
                <c:pt idx="1">
                  <c:v>0.4</c:v>
                </c:pt>
                <c:pt idx="2">
                  <c:v>0.4</c:v>
                </c:pt>
                <c:pt idx="3">
                  <c:v>0.4</c:v>
                </c:pt>
                <c:pt idx="4">
                  <c:v>0.4</c:v>
                </c:pt>
                <c:pt idx="5">
                  <c:v>0.4</c:v>
                </c:pt>
                <c:pt idx="6">
                  <c:v>0.4</c:v>
                </c:pt>
                <c:pt idx="7">
                  <c:v>0.8</c:v>
                </c:pt>
                <c:pt idx="8">
                  <c:v>0.65</c:v>
                </c:pt>
                <c:pt idx="9">
                  <c:v>0.65</c:v>
                </c:pt>
                <c:pt idx="10">
                  <c:v>0.65</c:v>
                </c:pt>
                <c:pt idx="11">
                  <c:v>0.65</c:v>
                </c:pt>
                <c:pt idx="12">
                  <c:v>0.65</c:v>
                </c:pt>
                <c:pt idx="13">
                  <c:v>0.65</c:v>
                </c:pt>
                <c:pt idx="14">
                  <c:v>0.65</c:v>
                </c:pt>
                <c:pt idx="15">
                  <c:v>0.65</c:v>
                </c:pt>
                <c:pt idx="16">
                  <c:v>0.65</c:v>
                </c:pt>
                <c:pt idx="17">
                  <c:v>0.65</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1-F6A8-49B7-B5EF-F80469C6616F}"/>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2-F6A8-49B7-B5EF-F80469C6616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0.1</c:v>
                </c:pt>
                <c:pt idx="1">
                  <c:v>0.1</c:v>
                </c:pt>
                <c:pt idx="2">
                  <c:v>0.1</c:v>
                </c:pt>
                <c:pt idx="3">
                  <c:v>0.1</c:v>
                </c:pt>
                <c:pt idx="4">
                  <c:v>0.1</c:v>
                </c:pt>
                <c:pt idx="5">
                  <c:v>0.1</c:v>
                </c:pt>
                <c:pt idx="6">
                  <c:v>0.1</c:v>
                </c:pt>
                <c:pt idx="7">
                  <c:v>0.75</c:v>
                </c:pt>
                <c:pt idx="8">
                  <c:v>0.9</c:v>
                </c:pt>
                <c:pt idx="9">
                  <c:v>0.9</c:v>
                </c:pt>
                <c:pt idx="10">
                  <c:v>0.9</c:v>
                </c:pt>
                <c:pt idx="11">
                  <c:v>0.9</c:v>
                </c:pt>
                <c:pt idx="12">
                  <c:v>0.9</c:v>
                </c:pt>
                <c:pt idx="13">
                  <c:v>0.9</c:v>
                </c:pt>
                <c:pt idx="14">
                  <c:v>0.9</c:v>
                </c:pt>
                <c:pt idx="15">
                  <c:v>0.9</c:v>
                </c:pt>
                <c:pt idx="16">
                  <c:v>0.9</c:v>
                </c:pt>
                <c:pt idx="17">
                  <c:v>0.75</c:v>
                </c:pt>
                <c:pt idx="18">
                  <c:v>0.2</c:v>
                </c:pt>
                <c:pt idx="19">
                  <c:v>0.1</c:v>
                </c:pt>
                <c:pt idx="20">
                  <c:v>0.1</c:v>
                </c:pt>
                <c:pt idx="21">
                  <c:v>0.1</c:v>
                </c:pt>
                <c:pt idx="22">
                  <c:v>0.1</c:v>
                </c:pt>
                <c:pt idx="23">
                  <c:v>0.1</c:v>
                </c:pt>
              </c:numCache>
            </c:numRef>
          </c:val>
          <c:smooth val="0"/>
          <c:extLst>
            <c:ext xmlns:c16="http://schemas.microsoft.com/office/drawing/2014/chart" uri="{C3380CC4-5D6E-409C-BE32-E72D297353CC}">
              <c16:uniqueId val="{00000000-8CCD-488E-ACA1-BC05498CCC28}"/>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8CCD-488E-ACA1-BC05498CCC28}"/>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2-8CCD-488E-ACA1-BC05498CCC2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General</c:formatCode>
                <c:ptCount val="24"/>
                <c:pt idx="0">
                  <c:v>0.3</c:v>
                </c:pt>
                <c:pt idx="1">
                  <c:v>0.3</c:v>
                </c:pt>
                <c:pt idx="2">
                  <c:v>0.3</c:v>
                </c:pt>
                <c:pt idx="3">
                  <c:v>0.3</c:v>
                </c:pt>
                <c:pt idx="4">
                  <c:v>0.3</c:v>
                </c:pt>
                <c:pt idx="5">
                  <c:v>0.3</c:v>
                </c:pt>
                <c:pt idx="6">
                  <c:v>0.5</c:v>
                </c:pt>
                <c:pt idx="7">
                  <c:v>0.57999999999999996</c:v>
                </c:pt>
                <c:pt idx="8">
                  <c:v>0.66</c:v>
                </c:pt>
                <c:pt idx="9">
                  <c:v>0.78</c:v>
                </c:pt>
                <c:pt idx="10">
                  <c:v>0.82</c:v>
                </c:pt>
                <c:pt idx="11">
                  <c:v>0.71</c:v>
                </c:pt>
                <c:pt idx="12">
                  <c:v>0.82</c:v>
                </c:pt>
                <c:pt idx="13">
                  <c:v>0.78</c:v>
                </c:pt>
                <c:pt idx="14">
                  <c:v>0.74</c:v>
                </c:pt>
                <c:pt idx="15">
                  <c:v>0.63</c:v>
                </c:pt>
                <c:pt idx="16">
                  <c:v>0.41</c:v>
                </c:pt>
                <c:pt idx="17">
                  <c:v>0.35</c:v>
                </c:pt>
                <c:pt idx="18">
                  <c:v>0.35</c:v>
                </c:pt>
                <c:pt idx="19">
                  <c:v>0.35</c:v>
                </c:pt>
                <c:pt idx="20">
                  <c:v>0.3</c:v>
                </c:pt>
                <c:pt idx="21">
                  <c:v>0.3</c:v>
                </c:pt>
                <c:pt idx="22">
                  <c:v>0.3</c:v>
                </c:pt>
                <c:pt idx="23">
                  <c:v>0.3</c:v>
                </c:pt>
              </c:numCache>
            </c:numRef>
          </c:val>
          <c:smooth val="0"/>
          <c:extLst>
            <c:ext xmlns:c16="http://schemas.microsoft.com/office/drawing/2014/chart" uri="{C3380CC4-5D6E-409C-BE32-E72D297353CC}">
              <c16:uniqueId val="{00000000-C381-4A7C-AA89-D882BDD2E8BE}"/>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General</c:formatCode>
                <c:ptCount val="24"/>
                <c:pt idx="0">
                  <c:v>0.3</c:v>
                </c:pt>
                <c:pt idx="1">
                  <c:v>0.3</c:v>
                </c:pt>
                <c:pt idx="2">
                  <c:v>0.3</c:v>
                </c:pt>
                <c:pt idx="3">
                  <c:v>0.3</c:v>
                </c:pt>
                <c:pt idx="4">
                  <c:v>0.3</c:v>
                </c:pt>
                <c:pt idx="5">
                  <c:v>0.3</c:v>
                </c:pt>
                <c:pt idx="6">
                  <c:v>0.3</c:v>
                </c:pt>
                <c:pt idx="7">
                  <c:v>0.4</c:v>
                </c:pt>
                <c:pt idx="8">
                  <c:v>0.5</c:v>
                </c:pt>
                <c:pt idx="9">
                  <c:v>0.6</c:v>
                </c:pt>
                <c:pt idx="10">
                  <c:v>0.6</c:v>
                </c:pt>
                <c:pt idx="11">
                  <c:v>0.6</c:v>
                </c:pt>
                <c:pt idx="12">
                  <c:v>0.6</c:v>
                </c:pt>
                <c:pt idx="13">
                  <c:v>0.6</c:v>
                </c:pt>
                <c:pt idx="14">
                  <c:v>0.6</c:v>
                </c:pt>
                <c:pt idx="15">
                  <c:v>0.6</c:v>
                </c:pt>
                <c:pt idx="16">
                  <c:v>0.5</c:v>
                </c:pt>
                <c:pt idx="17">
                  <c:v>0.3</c:v>
                </c:pt>
                <c:pt idx="18">
                  <c:v>0.3</c:v>
                </c:pt>
                <c:pt idx="19">
                  <c:v>0.3</c:v>
                </c:pt>
                <c:pt idx="20">
                  <c:v>0.3</c:v>
                </c:pt>
                <c:pt idx="21">
                  <c:v>0.3</c:v>
                </c:pt>
                <c:pt idx="22">
                  <c:v>0.3</c:v>
                </c:pt>
                <c:pt idx="23">
                  <c:v>0.3</c:v>
                </c:pt>
              </c:numCache>
            </c:numRef>
          </c:val>
          <c:smooth val="0"/>
          <c:extLst>
            <c:ext xmlns:c16="http://schemas.microsoft.com/office/drawing/2014/chart" uri="{C3380CC4-5D6E-409C-BE32-E72D297353CC}">
              <c16:uniqueId val="{00000001-C381-4A7C-AA89-D882BDD2E8BE}"/>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General</c:formatCode>
                <c:ptCount val="24"/>
                <c:pt idx="0">
                  <c:v>0.3</c:v>
                </c:pt>
                <c:pt idx="1">
                  <c:v>0.3</c:v>
                </c:pt>
                <c:pt idx="2">
                  <c:v>0.3</c:v>
                </c:pt>
                <c:pt idx="3">
                  <c:v>0.3</c:v>
                </c:pt>
                <c:pt idx="4">
                  <c:v>0.3</c:v>
                </c:pt>
                <c:pt idx="5">
                  <c:v>0.3</c:v>
                </c:pt>
                <c:pt idx="6">
                  <c:v>0.3</c:v>
                </c:pt>
                <c:pt idx="7">
                  <c:v>0.4</c:v>
                </c:pt>
                <c:pt idx="8">
                  <c:v>0.5</c:v>
                </c:pt>
                <c:pt idx="9">
                  <c:v>0.6</c:v>
                </c:pt>
                <c:pt idx="10">
                  <c:v>0.6</c:v>
                </c:pt>
                <c:pt idx="11">
                  <c:v>0.6</c:v>
                </c:pt>
                <c:pt idx="12">
                  <c:v>0.6</c:v>
                </c:pt>
                <c:pt idx="13">
                  <c:v>0.6</c:v>
                </c:pt>
                <c:pt idx="14">
                  <c:v>0.6</c:v>
                </c:pt>
                <c:pt idx="15">
                  <c:v>0.6</c:v>
                </c:pt>
                <c:pt idx="16">
                  <c:v>0.5</c:v>
                </c:pt>
                <c:pt idx="17">
                  <c:v>0.3</c:v>
                </c:pt>
                <c:pt idx="18">
                  <c:v>0.3</c:v>
                </c:pt>
                <c:pt idx="19">
                  <c:v>0.3</c:v>
                </c:pt>
                <c:pt idx="20">
                  <c:v>0.3</c:v>
                </c:pt>
                <c:pt idx="21">
                  <c:v>0.3</c:v>
                </c:pt>
                <c:pt idx="22">
                  <c:v>0.3</c:v>
                </c:pt>
                <c:pt idx="23">
                  <c:v>0.3</c:v>
                </c:pt>
              </c:numCache>
            </c:numRef>
          </c:val>
          <c:smooth val="0"/>
          <c:extLst>
            <c:ext xmlns:c16="http://schemas.microsoft.com/office/drawing/2014/chart" uri="{C3380CC4-5D6E-409C-BE32-E72D297353CC}">
              <c16:uniqueId val="{00000002-C381-4A7C-AA89-D882BDD2E8B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c:v>
                </c:pt>
                <c:pt idx="1">
                  <c:v>0.1</c:v>
                </c:pt>
                <c:pt idx="2">
                  <c:v>0.1</c:v>
                </c:pt>
                <c:pt idx="3">
                  <c:v>0.1</c:v>
                </c:pt>
                <c:pt idx="4">
                  <c:v>0.1</c:v>
                </c:pt>
                <c:pt idx="5">
                  <c:v>0.1</c:v>
                </c:pt>
                <c:pt idx="6">
                  <c:v>0.1</c:v>
                </c:pt>
                <c:pt idx="7">
                  <c:v>0.5</c:v>
                </c:pt>
                <c:pt idx="8">
                  <c:v>0.9</c:v>
                </c:pt>
                <c:pt idx="9">
                  <c:v>0.9</c:v>
                </c:pt>
                <c:pt idx="10">
                  <c:v>0.9</c:v>
                </c:pt>
                <c:pt idx="11">
                  <c:v>0.9</c:v>
                </c:pt>
                <c:pt idx="12">
                  <c:v>0.9</c:v>
                </c:pt>
                <c:pt idx="13">
                  <c:v>0.9</c:v>
                </c:pt>
                <c:pt idx="14">
                  <c:v>0.9</c:v>
                </c:pt>
                <c:pt idx="15">
                  <c:v>0.9</c:v>
                </c:pt>
                <c:pt idx="16">
                  <c:v>0.3</c:v>
                </c:pt>
                <c:pt idx="17">
                  <c:v>0.3</c:v>
                </c:pt>
                <c:pt idx="18">
                  <c:v>0.3</c:v>
                </c:pt>
                <c:pt idx="19">
                  <c:v>0.3</c:v>
                </c:pt>
                <c:pt idx="20">
                  <c:v>0.3</c:v>
                </c:pt>
                <c:pt idx="21">
                  <c:v>0.3</c:v>
                </c:pt>
                <c:pt idx="22">
                  <c:v>0.3</c:v>
                </c:pt>
                <c:pt idx="23">
                  <c:v>0.1</c:v>
                </c:pt>
              </c:numCache>
            </c:numRef>
          </c:val>
          <c:smooth val="0"/>
          <c:extLst>
            <c:ext xmlns:c16="http://schemas.microsoft.com/office/drawing/2014/chart" uri="{C3380CC4-5D6E-409C-BE32-E72D297353CC}">
              <c16:uniqueId val="{00000000-8E12-4EE4-A8CB-27B09112B33F}"/>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c:v>
                </c:pt>
                <c:pt idx="1">
                  <c:v>0.1</c:v>
                </c:pt>
                <c:pt idx="2">
                  <c:v>0.1</c:v>
                </c:pt>
                <c:pt idx="3">
                  <c:v>0.1</c:v>
                </c:pt>
                <c:pt idx="4">
                  <c:v>0.1</c:v>
                </c:pt>
                <c:pt idx="5">
                  <c:v>0.1</c:v>
                </c:pt>
                <c:pt idx="6">
                  <c:v>0.1</c:v>
                </c:pt>
                <c:pt idx="7">
                  <c:v>0.2</c:v>
                </c:pt>
                <c:pt idx="8">
                  <c:v>0.4</c:v>
                </c:pt>
                <c:pt idx="9">
                  <c:v>0.4</c:v>
                </c:pt>
                <c:pt idx="10">
                  <c:v>0.4</c:v>
                </c:pt>
                <c:pt idx="11">
                  <c:v>0.4</c:v>
                </c:pt>
                <c:pt idx="12">
                  <c:v>0.4</c:v>
                </c:pt>
                <c:pt idx="13">
                  <c:v>0.4</c:v>
                </c:pt>
                <c:pt idx="14">
                  <c:v>0.4</c:v>
                </c:pt>
                <c:pt idx="15">
                  <c:v>0.4</c:v>
                </c:pt>
                <c:pt idx="16">
                  <c:v>0.4</c:v>
                </c:pt>
                <c:pt idx="17">
                  <c:v>0.4</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8E12-4EE4-A8CB-27B09112B33F}"/>
            </c:ext>
          </c:extLst>
        </c:ser>
        <c:ser>
          <c:idx val="2"/>
          <c:order val="2"/>
          <c:tx>
            <c:strRef>
              <c:f>Schedules!$E$12</c:f>
              <c:strCache>
                <c:ptCount val="1"/>
                <c:pt idx="0">
                  <c:v>Sunday</c:v>
                </c:pt>
              </c:strCache>
            </c:strRef>
          </c:tx>
          <c:spPr>
            <a:ln w="28575" cap="rnd">
              <a:solidFill>
                <a:schemeClr val="accent3"/>
              </a:solidFill>
              <a:prstDash val="solid"/>
              <a:round/>
              <a:extLst>
                <a:ext uri="{C807C97D-BFC1-408E-A445-0C87EB9F89A2}">
                  <ask:lineSketchStyleProps xmlns:ask="http://schemas.microsoft.com/office/drawing/2018/sketchyshapes">
                    <ask:type>
                      <ask:lineSketchNone/>
                    </ask:type>
                  </ask:lineSketchStyleProps>
                </a:ext>
              </a:extLst>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0.1</c:v>
                </c:pt>
                <c:pt idx="9">
                  <c:v>0.1</c:v>
                </c:pt>
                <c:pt idx="10">
                  <c:v>0.1</c:v>
                </c:pt>
                <c:pt idx="11">
                  <c:v>0.1</c:v>
                </c:pt>
                <c:pt idx="12">
                  <c:v>0.1</c:v>
                </c:pt>
                <c:pt idx="13">
                  <c:v>0.1</c:v>
                </c:pt>
                <c:pt idx="14">
                  <c:v>0.1</c:v>
                </c:pt>
                <c:pt idx="15">
                  <c:v>0.1</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8E12-4EE4-A8CB-27B09112B33F}"/>
            </c:ext>
          </c:extLst>
        </c:ser>
        <c:ser>
          <c:idx val="3"/>
          <c:order val="3"/>
          <c:tx>
            <c:v>Weekday PNNL</c:v>
          </c:tx>
          <c:spPr>
            <a:ln w="28575" cap="rnd">
              <a:solidFill>
                <a:schemeClr val="accent4"/>
              </a:solidFill>
              <a:prstDash val="sysDash"/>
              <a:round/>
            </a:ln>
            <a:effectLst/>
          </c:spPr>
          <c:marker>
            <c:symbol val="none"/>
          </c:marker>
          <c:val>
            <c:numRef>
              <c:f>Schedules!$AN$10:$BK$10</c:f>
              <c:numCache>
                <c:formatCode>General</c:formatCode>
                <c:ptCount val="24"/>
                <c:pt idx="0">
                  <c:v>0.34899999999999998</c:v>
                </c:pt>
                <c:pt idx="1">
                  <c:v>0.34899999999999998</c:v>
                </c:pt>
                <c:pt idx="2">
                  <c:v>0.34899999999999998</c:v>
                </c:pt>
                <c:pt idx="3">
                  <c:v>0.34899999999999998</c:v>
                </c:pt>
                <c:pt idx="4">
                  <c:v>0.34899999999999998</c:v>
                </c:pt>
                <c:pt idx="5">
                  <c:v>0.34899999999999998</c:v>
                </c:pt>
                <c:pt idx="6">
                  <c:v>0.34899999999999998</c:v>
                </c:pt>
                <c:pt idx="7">
                  <c:v>0.68200000000000005</c:v>
                </c:pt>
                <c:pt idx="8">
                  <c:v>0.877</c:v>
                </c:pt>
                <c:pt idx="9">
                  <c:v>0.877</c:v>
                </c:pt>
                <c:pt idx="10">
                  <c:v>0.877</c:v>
                </c:pt>
                <c:pt idx="11">
                  <c:v>0.877</c:v>
                </c:pt>
                <c:pt idx="12">
                  <c:v>0.877</c:v>
                </c:pt>
                <c:pt idx="13">
                  <c:v>0.877</c:v>
                </c:pt>
                <c:pt idx="14">
                  <c:v>0.877</c:v>
                </c:pt>
                <c:pt idx="15">
                  <c:v>0.877</c:v>
                </c:pt>
                <c:pt idx="16">
                  <c:v>0.58399999999999996</c:v>
                </c:pt>
                <c:pt idx="17">
                  <c:v>0.58399999999999996</c:v>
                </c:pt>
                <c:pt idx="18">
                  <c:v>0.58399999999999996</c:v>
                </c:pt>
                <c:pt idx="19">
                  <c:v>0.58399999999999996</c:v>
                </c:pt>
                <c:pt idx="20">
                  <c:v>0.58399999999999996</c:v>
                </c:pt>
                <c:pt idx="21">
                  <c:v>0.58399999999999996</c:v>
                </c:pt>
                <c:pt idx="22">
                  <c:v>0.52400000000000002</c:v>
                </c:pt>
                <c:pt idx="23">
                  <c:v>0.34899999999999998</c:v>
                </c:pt>
              </c:numCache>
            </c:numRef>
          </c:val>
          <c:smooth val="0"/>
          <c:extLst>
            <c:ext xmlns:c16="http://schemas.microsoft.com/office/drawing/2014/chart" uri="{C3380CC4-5D6E-409C-BE32-E72D297353CC}">
              <c16:uniqueId val="{00000005-8E12-4EE4-A8CB-27B09112B33F}"/>
            </c:ext>
          </c:extLst>
        </c:ser>
        <c:ser>
          <c:idx val="4"/>
          <c:order val="4"/>
          <c:tx>
            <c:v>Saturday PNNL</c:v>
          </c:tx>
          <c:spPr>
            <a:ln w="28575" cap="rnd">
              <a:solidFill>
                <a:schemeClr val="accent5"/>
              </a:solidFill>
              <a:prstDash val="sysDash"/>
              <a:round/>
            </a:ln>
            <a:effectLst/>
          </c:spPr>
          <c:marker>
            <c:symbol val="none"/>
          </c:marker>
          <c:val>
            <c:numRef>
              <c:f>Schedules!$AN$11:$BK$11</c:f>
              <c:numCache>
                <c:formatCode>General</c:formatCode>
                <c:ptCount val="24"/>
                <c:pt idx="0">
                  <c:v>0.34899999999999998</c:v>
                </c:pt>
                <c:pt idx="1">
                  <c:v>0.34899999999999998</c:v>
                </c:pt>
                <c:pt idx="2">
                  <c:v>0.34899999999999998</c:v>
                </c:pt>
                <c:pt idx="3">
                  <c:v>0.34899999999999998</c:v>
                </c:pt>
                <c:pt idx="4">
                  <c:v>0.34899999999999998</c:v>
                </c:pt>
                <c:pt idx="5">
                  <c:v>0.34899999999999998</c:v>
                </c:pt>
                <c:pt idx="6">
                  <c:v>0.34899999999999998</c:v>
                </c:pt>
                <c:pt idx="7">
                  <c:v>0.48699999999999999</c:v>
                </c:pt>
                <c:pt idx="8">
                  <c:v>0.63300000000000001</c:v>
                </c:pt>
                <c:pt idx="9">
                  <c:v>0.63300000000000001</c:v>
                </c:pt>
                <c:pt idx="10">
                  <c:v>0.63300000000000001</c:v>
                </c:pt>
                <c:pt idx="11">
                  <c:v>0.63300000000000001</c:v>
                </c:pt>
                <c:pt idx="12">
                  <c:v>0.63300000000000001</c:v>
                </c:pt>
                <c:pt idx="13">
                  <c:v>0.63300000000000001</c:v>
                </c:pt>
                <c:pt idx="14">
                  <c:v>0.63300000000000001</c:v>
                </c:pt>
                <c:pt idx="15">
                  <c:v>0.63300000000000001</c:v>
                </c:pt>
                <c:pt idx="16">
                  <c:v>0.63300000000000001</c:v>
                </c:pt>
                <c:pt idx="17">
                  <c:v>0.63300000000000001</c:v>
                </c:pt>
                <c:pt idx="18">
                  <c:v>0.34899999999999998</c:v>
                </c:pt>
                <c:pt idx="19">
                  <c:v>0.34899999999999998</c:v>
                </c:pt>
                <c:pt idx="20">
                  <c:v>0.34899999999999998</c:v>
                </c:pt>
                <c:pt idx="21">
                  <c:v>0.34899999999999998</c:v>
                </c:pt>
                <c:pt idx="22">
                  <c:v>0.34899999999999998</c:v>
                </c:pt>
                <c:pt idx="23">
                  <c:v>0.34899999999999998</c:v>
                </c:pt>
              </c:numCache>
            </c:numRef>
          </c:val>
          <c:smooth val="0"/>
          <c:extLst>
            <c:ext xmlns:c16="http://schemas.microsoft.com/office/drawing/2014/chart" uri="{C3380CC4-5D6E-409C-BE32-E72D297353CC}">
              <c16:uniqueId val="{00000006-8E12-4EE4-A8CB-27B09112B33F}"/>
            </c:ext>
          </c:extLst>
        </c:ser>
        <c:ser>
          <c:idx val="5"/>
          <c:order val="5"/>
          <c:tx>
            <c:v>Sunday PNNL</c:v>
          </c:tx>
          <c:spPr>
            <a:ln w="28575" cap="rnd">
              <a:solidFill>
                <a:schemeClr val="accent6"/>
              </a:solidFill>
              <a:prstDash val="sysDash"/>
              <a:round/>
            </a:ln>
            <a:effectLst/>
          </c:spPr>
          <c:marker>
            <c:symbol val="none"/>
          </c:marker>
          <c:val>
            <c:numRef>
              <c:f>Schedules!$AN$12:$BK$12</c:f>
              <c:numCache>
                <c:formatCode>General</c:formatCode>
                <c:ptCount val="24"/>
                <c:pt idx="0">
                  <c:v>0.26200000000000001</c:v>
                </c:pt>
                <c:pt idx="1">
                  <c:v>0.26200000000000001</c:v>
                </c:pt>
                <c:pt idx="2">
                  <c:v>0.26200000000000001</c:v>
                </c:pt>
                <c:pt idx="3">
                  <c:v>0.26200000000000001</c:v>
                </c:pt>
                <c:pt idx="4">
                  <c:v>0.26200000000000001</c:v>
                </c:pt>
                <c:pt idx="5">
                  <c:v>0.26200000000000001</c:v>
                </c:pt>
                <c:pt idx="6">
                  <c:v>0.26200000000000001</c:v>
                </c:pt>
                <c:pt idx="7">
                  <c:v>0.26200000000000001</c:v>
                </c:pt>
                <c:pt idx="8">
                  <c:v>0.34899999999999998</c:v>
                </c:pt>
                <c:pt idx="9">
                  <c:v>0.34899999999999998</c:v>
                </c:pt>
                <c:pt idx="10">
                  <c:v>0.34899999999999998</c:v>
                </c:pt>
                <c:pt idx="11">
                  <c:v>0.34899999999999998</c:v>
                </c:pt>
                <c:pt idx="12">
                  <c:v>0.34899999999999998</c:v>
                </c:pt>
                <c:pt idx="13">
                  <c:v>0.34899999999999998</c:v>
                </c:pt>
                <c:pt idx="14">
                  <c:v>0.34899999999999998</c:v>
                </c:pt>
                <c:pt idx="15">
                  <c:v>0.34899999999999998</c:v>
                </c:pt>
                <c:pt idx="16">
                  <c:v>0.26200000000000001</c:v>
                </c:pt>
                <c:pt idx="17">
                  <c:v>0.26200000000000001</c:v>
                </c:pt>
                <c:pt idx="18">
                  <c:v>0.26200000000000001</c:v>
                </c:pt>
                <c:pt idx="19">
                  <c:v>0.26200000000000001</c:v>
                </c:pt>
                <c:pt idx="20">
                  <c:v>0.26200000000000001</c:v>
                </c:pt>
                <c:pt idx="21">
                  <c:v>0.26200000000000001</c:v>
                </c:pt>
                <c:pt idx="22">
                  <c:v>0.26200000000000001</c:v>
                </c:pt>
                <c:pt idx="23">
                  <c:v>0.26200000000000001</c:v>
                </c:pt>
              </c:numCache>
            </c:numRef>
          </c:val>
          <c:smooth val="0"/>
          <c:extLst>
            <c:ext xmlns:c16="http://schemas.microsoft.com/office/drawing/2014/chart" uri="{C3380CC4-5D6E-409C-BE32-E72D297353CC}">
              <c16:uniqueId val="{00000007-8E12-4EE4-A8CB-27B09112B33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18212159679"/>
          <c:y val="7.8761096990921625E-2"/>
          <c:w val="0.30762381787840321"/>
          <c:h val="0.307946273747992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49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0.1</c:v>
                </c:pt>
                <c:pt idx="8">
                  <c:v>0.5</c:v>
                </c:pt>
                <c:pt idx="9">
                  <c:v>0.8</c:v>
                </c:pt>
                <c:pt idx="10">
                  <c:v>0.8</c:v>
                </c:pt>
                <c:pt idx="11">
                  <c:v>0.8</c:v>
                </c:pt>
                <c:pt idx="12">
                  <c:v>0.8</c:v>
                </c:pt>
                <c:pt idx="13">
                  <c:v>0.8</c:v>
                </c:pt>
                <c:pt idx="14">
                  <c:v>0.8</c:v>
                </c:pt>
                <c:pt idx="15">
                  <c:v>0.8</c:v>
                </c:pt>
                <c:pt idx="16">
                  <c:v>0.8</c:v>
                </c:pt>
                <c:pt idx="17">
                  <c:v>0.5</c:v>
                </c:pt>
                <c:pt idx="18">
                  <c:v>0.3</c:v>
                </c:pt>
                <c:pt idx="19">
                  <c:v>0.3</c:v>
                </c:pt>
                <c:pt idx="20">
                  <c:v>0.2</c:v>
                </c:pt>
                <c:pt idx="21">
                  <c:v>0.2</c:v>
                </c:pt>
                <c:pt idx="22">
                  <c:v>0</c:v>
                </c:pt>
                <c:pt idx="23">
                  <c:v>0</c:v>
                </c:pt>
              </c:numCache>
            </c:numRef>
          </c:val>
          <c:smooth val="0"/>
          <c:extLst>
            <c:ext xmlns:c16="http://schemas.microsoft.com/office/drawing/2014/chart" uri="{C3380CC4-5D6E-409C-BE32-E72D297353CC}">
              <c16:uniqueId val="{00000000-DF14-4A22-AD37-8364F749E092}"/>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0.1</c:v>
                </c:pt>
                <c:pt idx="8">
                  <c:v>0.3</c:v>
                </c:pt>
                <c:pt idx="9">
                  <c:v>0.4</c:v>
                </c:pt>
                <c:pt idx="10">
                  <c:v>0.4</c:v>
                </c:pt>
                <c:pt idx="11">
                  <c:v>0.4</c:v>
                </c:pt>
                <c:pt idx="12">
                  <c:v>0.4</c:v>
                </c:pt>
                <c:pt idx="13">
                  <c:v>0.4</c:v>
                </c:pt>
                <c:pt idx="14">
                  <c:v>0.4</c:v>
                </c:pt>
                <c:pt idx="15">
                  <c:v>0.4</c:v>
                </c:pt>
                <c:pt idx="16">
                  <c:v>0.4</c:v>
                </c:pt>
                <c:pt idx="17">
                  <c:v>0.1</c:v>
                </c:pt>
                <c:pt idx="18">
                  <c:v>0.1</c:v>
                </c:pt>
                <c:pt idx="19">
                  <c:v>0</c:v>
                </c:pt>
                <c:pt idx="20">
                  <c:v>0</c:v>
                </c:pt>
                <c:pt idx="21">
                  <c:v>0</c:v>
                </c:pt>
                <c:pt idx="22">
                  <c:v>0</c:v>
                </c:pt>
                <c:pt idx="23">
                  <c:v>0</c:v>
                </c:pt>
              </c:numCache>
            </c:numRef>
          </c:val>
          <c:smooth val="0"/>
          <c:extLst>
            <c:ext xmlns:c16="http://schemas.microsoft.com/office/drawing/2014/chart" uri="{C3380CC4-5D6E-409C-BE32-E72D297353CC}">
              <c16:uniqueId val="{00000001-DF14-4A22-AD37-8364F749E092}"/>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c:v>
                </c:pt>
                <c:pt idx="8">
                  <c:v>0.05</c:v>
                </c:pt>
                <c:pt idx="9">
                  <c:v>0.05</c:v>
                </c:pt>
                <c:pt idx="10">
                  <c:v>0.05</c:v>
                </c:pt>
                <c:pt idx="11">
                  <c:v>0.05</c:v>
                </c:pt>
                <c:pt idx="12">
                  <c:v>0.05</c:v>
                </c:pt>
                <c:pt idx="13">
                  <c:v>0.05</c:v>
                </c:pt>
                <c:pt idx="14">
                  <c:v>0.05</c:v>
                </c:pt>
                <c:pt idx="15">
                  <c:v>0.05</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DF14-4A22-AD37-8364F749E092}"/>
            </c:ext>
          </c:extLst>
        </c:ser>
        <c:ser>
          <c:idx val="3"/>
          <c:order val="3"/>
          <c:tx>
            <c:v>Weekday PNNL</c:v>
          </c:tx>
          <c:spPr>
            <a:ln w="28575" cap="rnd">
              <a:solidFill>
                <a:schemeClr val="accent4"/>
              </a:solidFill>
              <a:prstDash val="sysDash"/>
              <a:round/>
            </a:ln>
            <a:effectLst/>
          </c:spPr>
          <c:marker>
            <c:symbol val="none"/>
          </c:marker>
          <c:val>
            <c:numRef>
              <c:f>Schedules!$AN$4:$BK$4</c:f>
              <c:numCache>
                <c:formatCode>General</c:formatCode>
                <c:ptCount val="24"/>
                <c:pt idx="0">
                  <c:v>0.34899999999999998</c:v>
                </c:pt>
                <c:pt idx="1">
                  <c:v>0.34899999999999998</c:v>
                </c:pt>
                <c:pt idx="2">
                  <c:v>0.34899999999999998</c:v>
                </c:pt>
                <c:pt idx="3">
                  <c:v>0.34899999999999998</c:v>
                </c:pt>
                <c:pt idx="4">
                  <c:v>0.34899999999999998</c:v>
                </c:pt>
                <c:pt idx="5">
                  <c:v>0.34899999999999998</c:v>
                </c:pt>
                <c:pt idx="6">
                  <c:v>0.34899999999999998</c:v>
                </c:pt>
                <c:pt idx="7">
                  <c:v>0.68200000000000005</c:v>
                </c:pt>
                <c:pt idx="8">
                  <c:v>0.877</c:v>
                </c:pt>
                <c:pt idx="9">
                  <c:v>0.877</c:v>
                </c:pt>
                <c:pt idx="10">
                  <c:v>0.877</c:v>
                </c:pt>
                <c:pt idx="11">
                  <c:v>0.877</c:v>
                </c:pt>
                <c:pt idx="12">
                  <c:v>0.877</c:v>
                </c:pt>
                <c:pt idx="13">
                  <c:v>0.877</c:v>
                </c:pt>
                <c:pt idx="14">
                  <c:v>0.877</c:v>
                </c:pt>
                <c:pt idx="15">
                  <c:v>0.877</c:v>
                </c:pt>
                <c:pt idx="16">
                  <c:v>0.58399999999999996</c:v>
                </c:pt>
                <c:pt idx="17">
                  <c:v>0.58399999999999996</c:v>
                </c:pt>
                <c:pt idx="18">
                  <c:v>0.58399999999999996</c:v>
                </c:pt>
                <c:pt idx="19">
                  <c:v>0.58399999999999996</c:v>
                </c:pt>
                <c:pt idx="20">
                  <c:v>0.58399999999999996</c:v>
                </c:pt>
                <c:pt idx="21">
                  <c:v>0.58399999999999996</c:v>
                </c:pt>
                <c:pt idx="22">
                  <c:v>0.52400000000000002</c:v>
                </c:pt>
                <c:pt idx="23">
                  <c:v>0.34899999999999998</c:v>
                </c:pt>
              </c:numCache>
            </c:numRef>
          </c:val>
          <c:smooth val="0"/>
          <c:extLst>
            <c:ext xmlns:c16="http://schemas.microsoft.com/office/drawing/2014/chart" uri="{C3380CC4-5D6E-409C-BE32-E72D297353CC}">
              <c16:uniqueId val="{00000003-DF14-4A22-AD37-8364F749E092}"/>
            </c:ext>
          </c:extLst>
        </c:ser>
        <c:ser>
          <c:idx val="4"/>
          <c:order val="4"/>
          <c:tx>
            <c:v>Saturday PNNL</c:v>
          </c:tx>
          <c:spPr>
            <a:ln w="28575" cap="rnd">
              <a:solidFill>
                <a:schemeClr val="accent5"/>
              </a:solidFill>
              <a:prstDash val="sysDash"/>
              <a:round/>
            </a:ln>
            <a:effectLst/>
          </c:spPr>
          <c:marker>
            <c:symbol val="none"/>
          </c:marker>
          <c:val>
            <c:numRef>
              <c:f>Schedules!$AN$5:$BK$5</c:f>
              <c:numCache>
                <c:formatCode>General</c:formatCode>
                <c:ptCount val="24"/>
                <c:pt idx="0">
                  <c:v>0.34899999999999998</c:v>
                </c:pt>
                <c:pt idx="1">
                  <c:v>0.34899999999999998</c:v>
                </c:pt>
                <c:pt idx="2">
                  <c:v>0.34899999999999998</c:v>
                </c:pt>
                <c:pt idx="3">
                  <c:v>0.34899999999999998</c:v>
                </c:pt>
                <c:pt idx="4">
                  <c:v>0.34899999999999998</c:v>
                </c:pt>
                <c:pt idx="5">
                  <c:v>0.34899999999999998</c:v>
                </c:pt>
                <c:pt idx="6">
                  <c:v>0.34899999999999998</c:v>
                </c:pt>
                <c:pt idx="7">
                  <c:v>0.48699999999999999</c:v>
                </c:pt>
                <c:pt idx="8">
                  <c:v>0.63300000000000001</c:v>
                </c:pt>
                <c:pt idx="9">
                  <c:v>0.63300000000000001</c:v>
                </c:pt>
                <c:pt idx="10">
                  <c:v>0.63300000000000001</c:v>
                </c:pt>
                <c:pt idx="11">
                  <c:v>0.63300000000000001</c:v>
                </c:pt>
                <c:pt idx="12">
                  <c:v>0.63300000000000001</c:v>
                </c:pt>
                <c:pt idx="13">
                  <c:v>0.63300000000000001</c:v>
                </c:pt>
                <c:pt idx="14">
                  <c:v>0.63300000000000001</c:v>
                </c:pt>
                <c:pt idx="15">
                  <c:v>0.63300000000000001</c:v>
                </c:pt>
                <c:pt idx="16">
                  <c:v>0.63300000000000001</c:v>
                </c:pt>
                <c:pt idx="17">
                  <c:v>0.63300000000000001</c:v>
                </c:pt>
                <c:pt idx="18">
                  <c:v>0.34899999999999998</c:v>
                </c:pt>
                <c:pt idx="19">
                  <c:v>0.34899999999999998</c:v>
                </c:pt>
                <c:pt idx="20">
                  <c:v>0.34899999999999998</c:v>
                </c:pt>
                <c:pt idx="21">
                  <c:v>0.34899999999999998</c:v>
                </c:pt>
                <c:pt idx="22">
                  <c:v>0.34899999999999998</c:v>
                </c:pt>
                <c:pt idx="23">
                  <c:v>0.34899999999999998</c:v>
                </c:pt>
              </c:numCache>
            </c:numRef>
          </c:val>
          <c:smooth val="0"/>
          <c:extLst>
            <c:ext xmlns:c16="http://schemas.microsoft.com/office/drawing/2014/chart" uri="{C3380CC4-5D6E-409C-BE32-E72D297353CC}">
              <c16:uniqueId val="{00000004-DF14-4A22-AD37-8364F749E092}"/>
            </c:ext>
          </c:extLst>
        </c:ser>
        <c:ser>
          <c:idx val="5"/>
          <c:order val="5"/>
          <c:tx>
            <c:v>Sunday PNNL</c:v>
          </c:tx>
          <c:spPr>
            <a:ln w="28575" cap="rnd">
              <a:solidFill>
                <a:schemeClr val="accent6"/>
              </a:solidFill>
              <a:prstDash val="sysDash"/>
              <a:round/>
            </a:ln>
            <a:effectLst/>
          </c:spPr>
          <c:marker>
            <c:symbol val="none"/>
          </c:marker>
          <c:val>
            <c:numRef>
              <c:f>Schedules!$AN$6:$BK$6</c:f>
              <c:numCache>
                <c:formatCode>General</c:formatCode>
                <c:ptCount val="24"/>
                <c:pt idx="0">
                  <c:v>0.26200000000000001</c:v>
                </c:pt>
                <c:pt idx="1">
                  <c:v>0.26200000000000001</c:v>
                </c:pt>
                <c:pt idx="2">
                  <c:v>0.26200000000000001</c:v>
                </c:pt>
                <c:pt idx="3">
                  <c:v>0.26200000000000001</c:v>
                </c:pt>
                <c:pt idx="4">
                  <c:v>0.26200000000000001</c:v>
                </c:pt>
                <c:pt idx="5">
                  <c:v>0.26200000000000001</c:v>
                </c:pt>
                <c:pt idx="6">
                  <c:v>0.26200000000000001</c:v>
                </c:pt>
                <c:pt idx="7">
                  <c:v>0.26200000000000001</c:v>
                </c:pt>
                <c:pt idx="8">
                  <c:v>0.34899999999999998</c:v>
                </c:pt>
                <c:pt idx="9">
                  <c:v>0.34899999999999998</c:v>
                </c:pt>
                <c:pt idx="10">
                  <c:v>0.34899999999999998</c:v>
                </c:pt>
                <c:pt idx="11">
                  <c:v>0.34899999999999998</c:v>
                </c:pt>
                <c:pt idx="12">
                  <c:v>0.34899999999999998</c:v>
                </c:pt>
                <c:pt idx="13">
                  <c:v>0.34899999999999998</c:v>
                </c:pt>
                <c:pt idx="14">
                  <c:v>0.34899999999999998</c:v>
                </c:pt>
                <c:pt idx="15">
                  <c:v>0.34899999999999998</c:v>
                </c:pt>
                <c:pt idx="16">
                  <c:v>0.26200000000000001</c:v>
                </c:pt>
                <c:pt idx="17">
                  <c:v>0.26200000000000001</c:v>
                </c:pt>
                <c:pt idx="18">
                  <c:v>0.26200000000000001</c:v>
                </c:pt>
                <c:pt idx="19">
                  <c:v>0.26200000000000001</c:v>
                </c:pt>
                <c:pt idx="20">
                  <c:v>0.26200000000000001</c:v>
                </c:pt>
                <c:pt idx="21">
                  <c:v>0.26200000000000001</c:v>
                </c:pt>
                <c:pt idx="22">
                  <c:v>0.26200000000000001</c:v>
                </c:pt>
                <c:pt idx="23">
                  <c:v>0.26200000000000001</c:v>
                </c:pt>
              </c:numCache>
            </c:numRef>
          </c:val>
          <c:smooth val="0"/>
          <c:extLst>
            <c:ext xmlns:c16="http://schemas.microsoft.com/office/drawing/2014/chart" uri="{C3380CC4-5D6E-409C-BE32-E72D297353CC}">
              <c16:uniqueId val="{00000005-DF14-4A22-AD37-8364F749E09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16119428991"/>
          <c:y val="5.3792544604985924E-3"/>
          <c:w val="0.30762389370353427"/>
          <c:h val="0.401269881242021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0.1</c:v>
                </c:pt>
                <c:pt idx="1">
                  <c:v>0.1</c:v>
                </c:pt>
                <c:pt idx="2">
                  <c:v>0.1</c:v>
                </c:pt>
                <c:pt idx="3">
                  <c:v>0.1</c:v>
                </c:pt>
                <c:pt idx="4">
                  <c:v>0.1</c:v>
                </c:pt>
                <c:pt idx="5">
                  <c:v>0.1</c:v>
                </c:pt>
                <c:pt idx="6">
                  <c:v>0.1</c:v>
                </c:pt>
                <c:pt idx="7">
                  <c:v>0.75</c:v>
                </c:pt>
                <c:pt idx="8">
                  <c:v>0.9</c:v>
                </c:pt>
                <c:pt idx="9">
                  <c:v>0.9</c:v>
                </c:pt>
                <c:pt idx="10">
                  <c:v>0.9</c:v>
                </c:pt>
                <c:pt idx="11">
                  <c:v>0.9</c:v>
                </c:pt>
                <c:pt idx="12">
                  <c:v>0.9</c:v>
                </c:pt>
                <c:pt idx="13">
                  <c:v>0.9</c:v>
                </c:pt>
                <c:pt idx="14">
                  <c:v>0.9</c:v>
                </c:pt>
                <c:pt idx="15">
                  <c:v>0.9</c:v>
                </c:pt>
                <c:pt idx="16">
                  <c:v>0.9</c:v>
                </c:pt>
                <c:pt idx="17">
                  <c:v>0.75</c:v>
                </c:pt>
                <c:pt idx="18">
                  <c:v>0.2</c:v>
                </c:pt>
                <c:pt idx="19">
                  <c:v>0.1</c:v>
                </c:pt>
                <c:pt idx="20">
                  <c:v>0.1</c:v>
                </c:pt>
                <c:pt idx="21">
                  <c:v>0.1</c:v>
                </c:pt>
                <c:pt idx="22">
                  <c:v>0.1</c:v>
                </c:pt>
                <c:pt idx="23">
                  <c:v>0.1</c:v>
                </c:pt>
              </c:numCache>
            </c:numRef>
          </c:val>
          <c:smooth val="0"/>
          <c:extLst>
            <c:ext xmlns:c16="http://schemas.microsoft.com/office/drawing/2014/chart" uri="{C3380CC4-5D6E-409C-BE32-E72D297353CC}">
              <c16:uniqueId val="{00000000-6B5C-40F5-A291-B53D82B35DBB}"/>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6B5C-40F5-A291-B53D82B35DBB}"/>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2-6B5C-40F5-A291-B53D82B35DBB}"/>
            </c:ext>
          </c:extLst>
        </c:ser>
        <c:ser>
          <c:idx val="3"/>
          <c:order val="3"/>
          <c:tx>
            <c:v>Weekly PNNL</c:v>
          </c:tx>
          <c:spPr>
            <a:ln w="28575" cap="rnd">
              <a:solidFill>
                <a:schemeClr val="accent4"/>
              </a:solidFill>
              <a:prstDash val="sysDash"/>
              <a:round/>
            </a:ln>
            <a:effectLst/>
          </c:spPr>
          <c:marker>
            <c:symbol val="none"/>
          </c:marker>
          <c:val>
            <c:numRef>
              <c:f>Schedules!$AN$47:$BK$47</c:f>
              <c:numCache>
                <c:formatCode>0.00</c:formatCode>
                <c:ptCount val="24"/>
                <c:pt idx="0">
                  <c:v>0.4</c:v>
                </c:pt>
                <c:pt idx="1">
                  <c:v>0.4</c:v>
                </c:pt>
                <c:pt idx="2">
                  <c:v>0.4</c:v>
                </c:pt>
                <c:pt idx="3">
                  <c:v>0.4</c:v>
                </c:pt>
                <c:pt idx="4">
                  <c:v>0.4</c:v>
                </c:pt>
                <c:pt idx="5">
                  <c:v>0.4</c:v>
                </c:pt>
                <c:pt idx="6">
                  <c:v>0.4</c:v>
                </c:pt>
                <c:pt idx="7">
                  <c:v>0.7</c:v>
                </c:pt>
                <c:pt idx="8">
                  <c:v>0.9</c:v>
                </c:pt>
                <c:pt idx="9">
                  <c:v>0.9</c:v>
                </c:pt>
                <c:pt idx="10">
                  <c:v>0.9</c:v>
                </c:pt>
                <c:pt idx="11">
                  <c:v>0.9</c:v>
                </c:pt>
                <c:pt idx="12">
                  <c:v>0.9</c:v>
                </c:pt>
                <c:pt idx="13">
                  <c:v>0.9</c:v>
                </c:pt>
                <c:pt idx="14">
                  <c:v>0.9</c:v>
                </c:pt>
                <c:pt idx="15">
                  <c:v>0.9</c:v>
                </c:pt>
                <c:pt idx="16">
                  <c:v>0.6</c:v>
                </c:pt>
                <c:pt idx="17">
                  <c:v>0.6</c:v>
                </c:pt>
                <c:pt idx="18">
                  <c:v>0.6</c:v>
                </c:pt>
                <c:pt idx="19">
                  <c:v>0.6</c:v>
                </c:pt>
                <c:pt idx="20">
                  <c:v>0.6</c:v>
                </c:pt>
                <c:pt idx="21">
                  <c:v>0.6</c:v>
                </c:pt>
                <c:pt idx="22">
                  <c:v>0.6</c:v>
                </c:pt>
                <c:pt idx="23">
                  <c:v>0.4</c:v>
                </c:pt>
              </c:numCache>
            </c:numRef>
          </c:val>
          <c:smooth val="0"/>
          <c:extLst>
            <c:ext xmlns:c16="http://schemas.microsoft.com/office/drawing/2014/chart" uri="{C3380CC4-5D6E-409C-BE32-E72D297353CC}">
              <c16:uniqueId val="{00000004-6B5C-40F5-A291-B53D82B35DBB}"/>
            </c:ext>
          </c:extLst>
        </c:ser>
        <c:ser>
          <c:idx val="4"/>
          <c:order val="4"/>
          <c:tx>
            <c:v>Saturday PNNL</c:v>
          </c:tx>
          <c:spPr>
            <a:ln w="28575" cap="rnd">
              <a:solidFill>
                <a:schemeClr val="accent5"/>
              </a:solidFill>
              <a:prstDash val="sysDash"/>
              <a:round/>
            </a:ln>
            <a:effectLst/>
          </c:spPr>
          <c:marker>
            <c:symbol val="none"/>
          </c:marker>
          <c:val>
            <c:numRef>
              <c:f>Schedules!$AN$48:$BK$48</c:f>
              <c:numCache>
                <c:formatCode>0.00</c:formatCode>
                <c:ptCount val="24"/>
                <c:pt idx="0">
                  <c:v>0.4</c:v>
                </c:pt>
                <c:pt idx="1">
                  <c:v>0.4</c:v>
                </c:pt>
                <c:pt idx="2">
                  <c:v>0.4</c:v>
                </c:pt>
                <c:pt idx="3">
                  <c:v>0.4</c:v>
                </c:pt>
                <c:pt idx="4">
                  <c:v>0.4</c:v>
                </c:pt>
                <c:pt idx="5">
                  <c:v>0.4</c:v>
                </c:pt>
                <c:pt idx="6">
                  <c:v>0.4</c:v>
                </c:pt>
                <c:pt idx="7">
                  <c:v>0.8</c:v>
                </c:pt>
                <c:pt idx="8">
                  <c:v>0.65</c:v>
                </c:pt>
                <c:pt idx="9">
                  <c:v>0.65</c:v>
                </c:pt>
                <c:pt idx="10">
                  <c:v>0.65</c:v>
                </c:pt>
                <c:pt idx="11">
                  <c:v>0.65</c:v>
                </c:pt>
                <c:pt idx="12">
                  <c:v>0.65</c:v>
                </c:pt>
                <c:pt idx="13">
                  <c:v>0.65</c:v>
                </c:pt>
                <c:pt idx="14">
                  <c:v>0.65</c:v>
                </c:pt>
                <c:pt idx="15">
                  <c:v>0.65</c:v>
                </c:pt>
                <c:pt idx="16">
                  <c:v>0.65</c:v>
                </c:pt>
                <c:pt idx="17">
                  <c:v>0.65</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5-6B5C-40F5-A291-B53D82B35DBB}"/>
            </c:ext>
          </c:extLst>
        </c:ser>
        <c:ser>
          <c:idx val="5"/>
          <c:order val="5"/>
          <c:tx>
            <c:v>Sunday PNNL</c:v>
          </c:tx>
          <c:spPr>
            <a:ln w="28575" cap="rnd">
              <a:solidFill>
                <a:schemeClr val="accent6"/>
              </a:solidFill>
              <a:prstDash val="sysDash"/>
              <a:round/>
            </a:ln>
            <a:effectLst/>
          </c:spPr>
          <c:marker>
            <c:symbol val="none"/>
          </c:marker>
          <c:val>
            <c:numRef>
              <c:f>Schedules!$AN$49:$BK$49</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6-6B5C-40F5-A291-B53D82B35DB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2724239688947145"/>
          <c:y val="5.1254109139228224E-3"/>
          <c:w val="0.2727576031105286"/>
          <c:h val="0.35898684493188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General</c:formatCode>
                <c:ptCount val="24"/>
                <c:pt idx="0">
                  <c:v>0.4</c:v>
                </c:pt>
                <c:pt idx="1">
                  <c:v>0.4</c:v>
                </c:pt>
                <c:pt idx="2">
                  <c:v>0.4</c:v>
                </c:pt>
                <c:pt idx="3">
                  <c:v>0.4</c:v>
                </c:pt>
                <c:pt idx="4">
                  <c:v>0.4</c:v>
                </c:pt>
                <c:pt idx="5">
                  <c:v>0.4</c:v>
                </c:pt>
                <c:pt idx="6">
                  <c:v>0.4</c:v>
                </c:pt>
                <c:pt idx="7">
                  <c:v>0.5</c:v>
                </c:pt>
                <c:pt idx="8">
                  <c:v>0.6</c:v>
                </c:pt>
                <c:pt idx="9">
                  <c:v>0.8</c:v>
                </c:pt>
                <c:pt idx="10">
                  <c:v>0.8</c:v>
                </c:pt>
                <c:pt idx="11">
                  <c:v>0.8</c:v>
                </c:pt>
                <c:pt idx="12">
                  <c:v>0.8</c:v>
                </c:pt>
                <c:pt idx="13">
                  <c:v>0.8</c:v>
                </c:pt>
                <c:pt idx="14">
                  <c:v>0.8</c:v>
                </c:pt>
                <c:pt idx="15">
                  <c:v>0.8</c:v>
                </c:pt>
                <c:pt idx="16">
                  <c:v>0.8</c:v>
                </c:pt>
                <c:pt idx="17">
                  <c:v>0.6</c:v>
                </c:pt>
                <c:pt idx="18">
                  <c:v>0.5</c:v>
                </c:pt>
                <c:pt idx="19">
                  <c:v>0.5</c:v>
                </c:pt>
                <c:pt idx="20">
                  <c:v>0.4</c:v>
                </c:pt>
                <c:pt idx="21">
                  <c:v>0.4</c:v>
                </c:pt>
                <c:pt idx="22">
                  <c:v>0.4</c:v>
                </c:pt>
                <c:pt idx="23">
                  <c:v>0.4</c:v>
                </c:pt>
              </c:numCache>
            </c:numRef>
          </c:val>
          <c:smooth val="0"/>
          <c:extLst>
            <c:ext xmlns:c16="http://schemas.microsoft.com/office/drawing/2014/chart" uri="{C3380CC4-5D6E-409C-BE32-E72D297353CC}">
              <c16:uniqueId val="{00000000-1C87-4060-844F-199617D5D7AA}"/>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General</c:formatCode>
                <c:ptCount val="24"/>
                <c:pt idx="0">
                  <c:v>0.4</c:v>
                </c:pt>
                <c:pt idx="1">
                  <c:v>0.4</c:v>
                </c:pt>
                <c:pt idx="2">
                  <c:v>0.4</c:v>
                </c:pt>
                <c:pt idx="3">
                  <c:v>0.4</c:v>
                </c:pt>
                <c:pt idx="4">
                  <c:v>0.4</c:v>
                </c:pt>
                <c:pt idx="5">
                  <c:v>0.4</c:v>
                </c:pt>
                <c:pt idx="6">
                  <c:v>0.4</c:v>
                </c:pt>
                <c:pt idx="7">
                  <c:v>0.5</c:v>
                </c:pt>
                <c:pt idx="8">
                  <c:v>0.6</c:v>
                </c:pt>
                <c:pt idx="9">
                  <c:v>0.6</c:v>
                </c:pt>
                <c:pt idx="10">
                  <c:v>0.6</c:v>
                </c:pt>
                <c:pt idx="11">
                  <c:v>0.6</c:v>
                </c:pt>
                <c:pt idx="12">
                  <c:v>0.6</c:v>
                </c:pt>
                <c:pt idx="13">
                  <c:v>0.6</c:v>
                </c:pt>
                <c:pt idx="14">
                  <c:v>0.6</c:v>
                </c:pt>
                <c:pt idx="15">
                  <c:v>0.6</c:v>
                </c:pt>
                <c:pt idx="16">
                  <c:v>0.6</c:v>
                </c:pt>
                <c:pt idx="17">
                  <c:v>0.5</c:v>
                </c:pt>
                <c:pt idx="18">
                  <c:v>0.5</c:v>
                </c:pt>
                <c:pt idx="19">
                  <c:v>0.4</c:v>
                </c:pt>
                <c:pt idx="20">
                  <c:v>0.4</c:v>
                </c:pt>
                <c:pt idx="21">
                  <c:v>0.4</c:v>
                </c:pt>
                <c:pt idx="22">
                  <c:v>0.4</c:v>
                </c:pt>
                <c:pt idx="23">
                  <c:v>0.4</c:v>
                </c:pt>
              </c:numCache>
            </c:numRef>
          </c:val>
          <c:smooth val="0"/>
          <c:extLst>
            <c:ext xmlns:c16="http://schemas.microsoft.com/office/drawing/2014/chart" uri="{C3380CC4-5D6E-409C-BE32-E72D297353CC}">
              <c16:uniqueId val="{00000001-1C87-4060-844F-199617D5D7AA}"/>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General</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2-1C87-4060-844F-199617D5D7A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General</c:formatCode>
                <c:ptCount val="24"/>
                <c:pt idx="0">
                  <c:v>0.45</c:v>
                </c:pt>
                <c:pt idx="1">
                  <c:v>0.45</c:v>
                </c:pt>
                <c:pt idx="2">
                  <c:v>0.45</c:v>
                </c:pt>
                <c:pt idx="3">
                  <c:v>0.45</c:v>
                </c:pt>
                <c:pt idx="4">
                  <c:v>0.45</c:v>
                </c:pt>
                <c:pt idx="5">
                  <c:v>0.45</c:v>
                </c:pt>
                <c:pt idx="6">
                  <c:v>0.45</c:v>
                </c:pt>
                <c:pt idx="7">
                  <c:v>0.45</c:v>
                </c:pt>
                <c:pt idx="8">
                  <c:v>0.81</c:v>
                </c:pt>
                <c:pt idx="9">
                  <c:v>0.81</c:v>
                </c:pt>
                <c:pt idx="10">
                  <c:v>0.81</c:v>
                </c:pt>
                <c:pt idx="11">
                  <c:v>0.81</c:v>
                </c:pt>
                <c:pt idx="12">
                  <c:v>0.81</c:v>
                </c:pt>
                <c:pt idx="13">
                  <c:v>0.81</c:v>
                </c:pt>
                <c:pt idx="14">
                  <c:v>0.81</c:v>
                </c:pt>
                <c:pt idx="15">
                  <c:v>0.81</c:v>
                </c:pt>
                <c:pt idx="16">
                  <c:v>0.45</c:v>
                </c:pt>
                <c:pt idx="17">
                  <c:v>0.45</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0-A5CF-4FE7-996D-B78C97662507}"/>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General</c:formatCode>
                <c:ptCount val="24"/>
                <c:pt idx="0">
                  <c:v>0.45</c:v>
                </c:pt>
                <c:pt idx="1">
                  <c:v>0.45</c:v>
                </c:pt>
                <c:pt idx="2">
                  <c:v>0.45</c:v>
                </c:pt>
                <c:pt idx="3">
                  <c:v>0.45</c:v>
                </c:pt>
                <c:pt idx="4">
                  <c:v>0.45</c:v>
                </c:pt>
                <c:pt idx="5">
                  <c:v>0.45</c:v>
                </c:pt>
                <c:pt idx="6">
                  <c:v>0.45</c:v>
                </c:pt>
                <c:pt idx="7">
                  <c:v>0.45</c:v>
                </c:pt>
                <c:pt idx="8">
                  <c:v>0.72</c:v>
                </c:pt>
                <c:pt idx="9">
                  <c:v>0.72</c:v>
                </c:pt>
                <c:pt idx="10">
                  <c:v>0.72</c:v>
                </c:pt>
                <c:pt idx="11">
                  <c:v>0.72</c:v>
                </c:pt>
                <c:pt idx="12">
                  <c:v>0.72</c:v>
                </c:pt>
                <c:pt idx="13">
                  <c:v>0.72</c:v>
                </c:pt>
                <c:pt idx="14">
                  <c:v>0.72</c:v>
                </c:pt>
                <c:pt idx="15">
                  <c:v>0.72</c:v>
                </c:pt>
                <c:pt idx="16">
                  <c:v>0.72</c:v>
                </c:pt>
                <c:pt idx="17">
                  <c:v>0.72</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1-A5CF-4FE7-996D-B78C97662507}"/>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General</c:formatCode>
                <c:ptCount val="24"/>
                <c:pt idx="0">
                  <c:v>0.45</c:v>
                </c:pt>
                <c:pt idx="1">
                  <c:v>0.45</c:v>
                </c:pt>
                <c:pt idx="2">
                  <c:v>0.45</c:v>
                </c:pt>
                <c:pt idx="3">
                  <c:v>0.45</c:v>
                </c:pt>
                <c:pt idx="4">
                  <c:v>0.45</c:v>
                </c:pt>
                <c:pt idx="5">
                  <c:v>0.45</c:v>
                </c:pt>
                <c:pt idx="6">
                  <c:v>0.45</c:v>
                </c:pt>
                <c:pt idx="7">
                  <c:v>0.45</c:v>
                </c:pt>
                <c:pt idx="8">
                  <c:v>0.63</c:v>
                </c:pt>
                <c:pt idx="9">
                  <c:v>0.63</c:v>
                </c:pt>
                <c:pt idx="10">
                  <c:v>0.63</c:v>
                </c:pt>
                <c:pt idx="11">
                  <c:v>0.63</c:v>
                </c:pt>
                <c:pt idx="12">
                  <c:v>0.63</c:v>
                </c:pt>
                <c:pt idx="13">
                  <c:v>0.63</c:v>
                </c:pt>
                <c:pt idx="14">
                  <c:v>0.63</c:v>
                </c:pt>
                <c:pt idx="15">
                  <c:v>0.63</c:v>
                </c:pt>
                <c:pt idx="16">
                  <c:v>0.45</c:v>
                </c:pt>
                <c:pt idx="17">
                  <c:v>0.45</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2-A5CF-4FE7-996D-B78C9766250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0.4</c:v>
                </c:pt>
                <c:pt idx="1">
                  <c:v>0.4</c:v>
                </c:pt>
                <c:pt idx="2">
                  <c:v>0.4</c:v>
                </c:pt>
                <c:pt idx="3">
                  <c:v>0.4</c:v>
                </c:pt>
                <c:pt idx="4">
                  <c:v>0.4</c:v>
                </c:pt>
                <c:pt idx="5">
                  <c:v>0.4</c:v>
                </c:pt>
                <c:pt idx="6">
                  <c:v>0.4</c:v>
                </c:pt>
                <c:pt idx="7">
                  <c:v>0.7</c:v>
                </c:pt>
                <c:pt idx="8">
                  <c:v>0.9</c:v>
                </c:pt>
                <c:pt idx="9">
                  <c:v>0.9</c:v>
                </c:pt>
                <c:pt idx="10">
                  <c:v>0.9</c:v>
                </c:pt>
                <c:pt idx="11">
                  <c:v>0.9</c:v>
                </c:pt>
                <c:pt idx="12">
                  <c:v>0.9</c:v>
                </c:pt>
                <c:pt idx="13">
                  <c:v>0.9</c:v>
                </c:pt>
                <c:pt idx="14">
                  <c:v>0.9</c:v>
                </c:pt>
                <c:pt idx="15">
                  <c:v>0.9</c:v>
                </c:pt>
                <c:pt idx="16">
                  <c:v>0.6</c:v>
                </c:pt>
                <c:pt idx="17">
                  <c:v>0.6</c:v>
                </c:pt>
                <c:pt idx="18">
                  <c:v>0.6</c:v>
                </c:pt>
                <c:pt idx="19">
                  <c:v>0.6</c:v>
                </c:pt>
                <c:pt idx="20">
                  <c:v>0.6</c:v>
                </c:pt>
                <c:pt idx="21">
                  <c:v>0.6</c:v>
                </c:pt>
                <c:pt idx="22">
                  <c:v>0.6</c:v>
                </c:pt>
                <c:pt idx="23">
                  <c:v>0.4</c:v>
                </c:pt>
              </c:numCache>
            </c:numRef>
          </c:val>
          <c:smooth val="0"/>
          <c:extLst>
            <c:ext xmlns:c16="http://schemas.microsoft.com/office/drawing/2014/chart" uri="{C3380CC4-5D6E-409C-BE32-E72D297353CC}">
              <c16:uniqueId val="{00000000-3AF8-4C14-8B78-6A665B328BB2}"/>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0.4</c:v>
                </c:pt>
                <c:pt idx="1">
                  <c:v>0.4</c:v>
                </c:pt>
                <c:pt idx="2">
                  <c:v>0.4</c:v>
                </c:pt>
                <c:pt idx="3">
                  <c:v>0.4</c:v>
                </c:pt>
                <c:pt idx="4">
                  <c:v>0.4</c:v>
                </c:pt>
                <c:pt idx="5">
                  <c:v>0.4</c:v>
                </c:pt>
                <c:pt idx="6">
                  <c:v>0.4</c:v>
                </c:pt>
                <c:pt idx="7">
                  <c:v>0.8</c:v>
                </c:pt>
                <c:pt idx="8">
                  <c:v>0.65</c:v>
                </c:pt>
                <c:pt idx="9">
                  <c:v>0.65</c:v>
                </c:pt>
                <c:pt idx="10">
                  <c:v>0.65</c:v>
                </c:pt>
                <c:pt idx="11">
                  <c:v>0.65</c:v>
                </c:pt>
                <c:pt idx="12">
                  <c:v>0.65</c:v>
                </c:pt>
                <c:pt idx="13">
                  <c:v>0.65</c:v>
                </c:pt>
                <c:pt idx="14">
                  <c:v>0.65</c:v>
                </c:pt>
                <c:pt idx="15">
                  <c:v>0.65</c:v>
                </c:pt>
                <c:pt idx="16">
                  <c:v>0.65</c:v>
                </c:pt>
                <c:pt idx="17">
                  <c:v>0.65</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1-3AF8-4C14-8B78-6A665B328BB2}"/>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2-3AF8-4C14-8B78-6A665B328BB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General</c:formatCode>
                <c:ptCount val="24"/>
                <c:pt idx="0">
                  <c:v>0.3</c:v>
                </c:pt>
                <c:pt idx="1">
                  <c:v>0.3</c:v>
                </c:pt>
                <c:pt idx="2">
                  <c:v>0.3</c:v>
                </c:pt>
                <c:pt idx="3">
                  <c:v>0.3</c:v>
                </c:pt>
                <c:pt idx="4">
                  <c:v>0.3</c:v>
                </c:pt>
                <c:pt idx="5">
                  <c:v>0.3</c:v>
                </c:pt>
                <c:pt idx="6">
                  <c:v>0.5</c:v>
                </c:pt>
                <c:pt idx="7">
                  <c:v>0.57999999999999996</c:v>
                </c:pt>
                <c:pt idx="8">
                  <c:v>0.66</c:v>
                </c:pt>
                <c:pt idx="9">
                  <c:v>0.78</c:v>
                </c:pt>
                <c:pt idx="10">
                  <c:v>0.82</c:v>
                </c:pt>
                <c:pt idx="11">
                  <c:v>0.71</c:v>
                </c:pt>
                <c:pt idx="12">
                  <c:v>0.82</c:v>
                </c:pt>
                <c:pt idx="13">
                  <c:v>0.78</c:v>
                </c:pt>
                <c:pt idx="14">
                  <c:v>0.74</c:v>
                </c:pt>
                <c:pt idx="15">
                  <c:v>0.63</c:v>
                </c:pt>
                <c:pt idx="16">
                  <c:v>0.41</c:v>
                </c:pt>
                <c:pt idx="17">
                  <c:v>0.35</c:v>
                </c:pt>
                <c:pt idx="18">
                  <c:v>0.35</c:v>
                </c:pt>
                <c:pt idx="19">
                  <c:v>0.35</c:v>
                </c:pt>
                <c:pt idx="20">
                  <c:v>0.3</c:v>
                </c:pt>
                <c:pt idx="21">
                  <c:v>0.3</c:v>
                </c:pt>
                <c:pt idx="22">
                  <c:v>0.3</c:v>
                </c:pt>
                <c:pt idx="23">
                  <c:v>0.3</c:v>
                </c:pt>
              </c:numCache>
            </c:numRef>
          </c:val>
          <c:smooth val="0"/>
          <c:extLst>
            <c:ext xmlns:c16="http://schemas.microsoft.com/office/drawing/2014/chart" uri="{C3380CC4-5D6E-409C-BE32-E72D297353CC}">
              <c16:uniqueId val="{00000000-6A3D-4834-91B1-3D823C9647B4}"/>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General</c:formatCode>
                <c:ptCount val="24"/>
                <c:pt idx="0">
                  <c:v>0.3</c:v>
                </c:pt>
                <c:pt idx="1">
                  <c:v>0.3</c:v>
                </c:pt>
                <c:pt idx="2">
                  <c:v>0.3</c:v>
                </c:pt>
                <c:pt idx="3">
                  <c:v>0.3</c:v>
                </c:pt>
                <c:pt idx="4">
                  <c:v>0.3</c:v>
                </c:pt>
                <c:pt idx="5">
                  <c:v>0.3</c:v>
                </c:pt>
                <c:pt idx="6">
                  <c:v>0.3</c:v>
                </c:pt>
                <c:pt idx="7">
                  <c:v>0.4</c:v>
                </c:pt>
                <c:pt idx="8">
                  <c:v>0.5</c:v>
                </c:pt>
                <c:pt idx="9">
                  <c:v>0.6</c:v>
                </c:pt>
                <c:pt idx="10">
                  <c:v>0.6</c:v>
                </c:pt>
                <c:pt idx="11">
                  <c:v>0.6</c:v>
                </c:pt>
                <c:pt idx="12">
                  <c:v>0.6</c:v>
                </c:pt>
                <c:pt idx="13">
                  <c:v>0.6</c:v>
                </c:pt>
                <c:pt idx="14">
                  <c:v>0.6</c:v>
                </c:pt>
                <c:pt idx="15">
                  <c:v>0.6</c:v>
                </c:pt>
                <c:pt idx="16">
                  <c:v>0.5</c:v>
                </c:pt>
                <c:pt idx="17">
                  <c:v>0.3</c:v>
                </c:pt>
                <c:pt idx="18">
                  <c:v>0.3</c:v>
                </c:pt>
                <c:pt idx="19">
                  <c:v>0.3</c:v>
                </c:pt>
                <c:pt idx="20">
                  <c:v>0.3</c:v>
                </c:pt>
                <c:pt idx="21">
                  <c:v>0.3</c:v>
                </c:pt>
                <c:pt idx="22">
                  <c:v>0.3</c:v>
                </c:pt>
                <c:pt idx="23">
                  <c:v>0.3</c:v>
                </c:pt>
              </c:numCache>
            </c:numRef>
          </c:val>
          <c:smooth val="0"/>
          <c:extLst>
            <c:ext xmlns:c16="http://schemas.microsoft.com/office/drawing/2014/chart" uri="{C3380CC4-5D6E-409C-BE32-E72D297353CC}">
              <c16:uniqueId val="{00000001-6A3D-4834-91B1-3D823C9647B4}"/>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General</c:formatCode>
                <c:ptCount val="24"/>
                <c:pt idx="0">
                  <c:v>0.3</c:v>
                </c:pt>
                <c:pt idx="1">
                  <c:v>0.3</c:v>
                </c:pt>
                <c:pt idx="2">
                  <c:v>0.3</c:v>
                </c:pt>
                <c:pt idx="3">
                  <c:v>0.3</c:v>
                </c:pt>
                <c:pt idx="4">
                  <c:v>0.3</c:v>
                </c:pt>
                <c:pt idx="5">
                  <c:v>0.3</c:v>
                </c:pt>
                <c:pt idx="6">
                  <c:v>0.3</c:v>
                </c:pt>
                <c:pt idx="7">
                  <c:v>0.4</c:v>
                </c:pt>
                <c:pt idx="8">
                  <c:v>0.5</c:v>
                </c:pt>
                <c:pt idx="9">
                  <c:v>0.6</c:v>
                </c:pt>
                <c:pt idx="10">
                  <c:v>0.6</c:v>
                </c:pt>
                <c:pt idx="11">
                  <c:v>0.6</c:v>
                </c:pt>
                <c:pt idx="12">
                  <c:v>0.6</c:v>
                </c:pt>
                <c:pt idx="13">
                  <c:v>0.6</c:v>
                </c:pt>
                <c:pt idx="14">
                  <c:v>0.6</c:v>
                </c:pt>
                <c:pt idx="15">
                  <c:v>0.6</c:v>
                </c:pt>
                <c:pt idx="16">
                  <c:v>0.5</c:v>
                </c:pt>
                <c:pt idx="17">
                  <c:v>0.3</c:v>
                </c:pt>
                <c:pt idx="18">
                  <c:v>0.3</c:v>
                </c:pt>
                <c:pt idx="19">
                  <c:v>0.3</c:v>
                </c:pt>
                <c:pt idx="20">
                  <c:v>0.3</c:v>
                </c:pt>
                <c:pt idx="21">
                  <c:v>0.3</c:v>
                </c:pt>
                <c:pt idx="22">
                  <c:v>0.3</c:v>
                </c:pt>
                <c:pt idx="23">
                  <c:v>0.3</c:v>
                </c:pt>
              </c:numCache>
            </c:numRef>
          </c:val>
          <c:smooth val="0"/>
          <c:extLst>
            <c:ext xmlns:c16="http://schemas.microsoft.com/office/drawing/2014/chart" uri="{C3380CC4-5D6E-409C-BE32-E72D297353CC}">
              <c16:uniqueId val="{00000002-6A3D-4834-91B1-3D823C9647B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0.1</c:v>
                </c:pt>
                <c:pt idx="1">
                  <c:v>0.1</c:v>
                </c:pt>
                <c:pt idx="2">
                  <c:v>0.1</c:v>
                </c:pt>
                <c:pt idx="3">
                  <c:v>0.1</c:v>
                </c:pt>
                <c:pt idx="4">
                  <c:v>0.1</c:v>
                </c:pt>
                <c:pt idx="5">
                  <c:v>0.1</c:v>
                </c:pt>
                <c:pt idx="6">
                  <c:v>0.1</c:v>
                </c:pt>
                <c:pt idx="7">
                  <c:v>0.75</c:v>
                </c:pt>
                <c:pt idx="8">
                  <c:v>0.9</c:v>
                </c:pt>
                <c:pt idx="9">
                  <c:v>0.9</c:v>
                </c:pt>
                <c:pt idx="10">
                  <c:v>0.9</c:v>
                </c:pt>
                <c:pt idx="11">
                  <c:v>0.9</c:v>
                </c:pt>
                <c:pt idx="12">
                  <c:v>0.9</c:v>
                </c:pt>
                <c:pt idx="13">
                  <c:v>0.9</c:v>
                </c:pt>
                <c:pt idx="14">
                  <c:v>0.9</c:v>
                </c:pt>
                <c:pt idx="15">
                  <c:v>0.9</c:v>
                </c:pt>
                <c:pt idx="16">
                  <c:v>0.9</c:v>
                </c:pt>
                <c:pt idx="17">
                  <c:v>0.75</c:v>
                </c:pt>
                <c:pt idx="18">
                  <c:v>0.2</c:v>
                </c:pt>
                <c:pt idx="19">
                  <c:v>0.1</c:v>
                </c:pt>
                <c:pt idx="20">
                  <c:v>0.1</c:v>
                </c:pt>
                <c:pt idx="21">
                  <c:v>0.1</c:v>
                </c:pt>
                <c:pt idx="22">
                  <c:v>0.1</c:v>
                </c:pt>
                <c:pt idx="23">
                  <c:v>0.1</c:v>
                </c:pt>
              </c:numCache>
            </c:numRef>
          </c:val>
          <c:smooth val="0"/>
          <c:extLst>
            <c:ext xmlns:c16="http://schemas.microsoft.com/office/drawing/2014/chart" uri="{C3380CC4-5D6E-409C-BE32-E72D297353CC}">
              <c16:uniqueId val="{00000000-8C87-4B8A-95D0-01F729E59493}"/>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8C87-4B8A-95D0-01F729E59493}"/>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2-8C87-4B8A-95D0-01F729E59493}"/>
            </c:ext>
          </c:extLst>
        </c:ser>
        <c:ser>
          <c:idx val="3"/>
          <c:order val="3"/>
          <c:tx>
            <c:v>Weekly PNNL</c:v>
          </c:tx>
          <c:spPr>
            <a:ln w="28575" cap="rnd">
              <a:solidFill>
                <a:schemeClr val="accent4"/>
              </a:solidFill>
              <a:prstDash val="sysDash"/>
              <a:round/>
            </a:ln>
            <a:effectLst/>
          </c:spPr>
          <c:marker>
            <c:symbol val="none"/>
          </c:marker>
          <c:val>
            <c:numRef>
              <c:f>Schedules!$AN$47:$BK$47</c:f>
              <c:numCache>
                <c:formatCode>0.00</c:formatCode>
                <c:ptCount val="24"/>
                <c:pt idx="0">
                  <c:v>0.4</c:v>
                </c:pt>
                <c:pt idx="1">
                  <c:v>0.4</c:v>
                </c:pt>
                <c:pt idx="2">
                  <c:v>0.4</c:v>
                </c:pt>
                <c:pt idx="3">
                  <c:v>0.4</c:v>
                </c:pt>
                <c:pt idx="4">
                  <c:v>0.4</c:v>
                </c:pt>
                <c:pt idx="5">
                  <c:v>0.4</c:v>
                </c:pt>
                <c:pt idx="6">
                  <c:v>0.4</c:v>
                </c:pt>
                <c:pt idx="7">
                  <c:v>0.7</c:v>
                </c:pt>
                <c:pt idx="8">
                  <c:v>0.9</c:v>
                </c:pt>
                <c:pt idx="9">
                  <c:v>0.9</c:v>
                </c:pt>
                <c:pt idx="10">
                  <c:v>0.9</c:v>
                </c:pt>
                <c:pt idx="11">
                  <c:v>0.9</c:v>
                </c:pt>
                <c:pt idx="12">
                  <c:v>0.9</c:v>
                </c:pt>
                <c:pt idx="13">
                  <c:v>0.9</c:v>
                </c:pt>
                <c:pt idx="14">
                  <c:v>0.9</c:v>
                </c:pt>
                <c:pt idx="15">
                  <c:v>0.9</c:v>
                </c:pt>
                <c:pt idx="16">
                  <c:v>0.6</c:v>
                </c:pt>
                <c:pt idx="17">
                  <c:v>0.6</c:v>
                </c:pt>
                <c:pt idx="18">
                  <c:v>0.6</c:v>
                </c:pt>
                <c:pt idx="19">
                  <c:v>0.6</c:v>
                </c:pt>
                <c:pt idx="20">
                  <c:v>0.6</c:v>
                </c:pt>
                <c:pt idx="21">
                  <c:v>0.6</c:v>
                </c:pt>
                <c:pt idx="22">
                  <c:v>0.6</c:v>
                </c:pt>
                <c:pt idx="23">
                  <c:v>0.4</c:v>
                </c:pt>
              </c:numCache>
            </c:numRef>
          </c:val>
          <c:smooth val="0"/>
          <c:extLst>
            <c:ext xmlns:c16="http://schemas.microsoft.com/office/drawing/2014/chart" uri="{C3380CC4-5D6E-409C-BE32-E72D297353CC}">
              <c16:uniqueId val="{00000003-8C87-4B8A-95D0-01F729E59493}"/>
            </c:ext>
          </c:extLst>
        </c:ser>
        <c:ser>
          <c:idx val="4"/>
          <c:order val="4"/>
          <c:tx>
            <c:v>Saturday PNNL</c:v>
          </c:tx>
          <c:spPr>
            <a:ln w="28575" cap="rnd">
              <a:solidFill>
                <a:schemeClr val="accent5"/>
              </a:solidFill>
              <a:prstDash val="sysDash"/>
              <a:round/>
            </a:ln>
            <a:effectLst/>
          </c:spPr>
          <c:marker>
            <c:symbol val="none"/>
          </c:marker>
          <c:val>
            <c:numRef>
              <c:f>Schedules!$AN$48:$BK$48</c:f>
              <c:numCache>
                <c:formatCode>0.00</c:formatCode>
                <c:ptCount val="24"/>
                <c:pt idx="0">
                  <c:v>0.4</c:v>
                </c:pt>
                <c:pt idx="1">
                  <c:v>0.4</c:v>
                </c:pt>
                <c:pt idx="2">
                  <c:v>0.4</c:v>
                </c:pt>
                <c:pt idx="3">
                  <c:v>0.4</c:v>
                </c:pt>
                <c:pt idx="4">
                  <c:v>0.4</c:v>
                </c:pt>
                <c:pt idx="5">
                  <c:v>0.4</c:v>
                </c:pt>
                <c:pt idx="6">
                  <c:v>0.4</c:v>
                </c:pt>
                <c:pt idx="7">
                  <c:v>0.8</c:v>
                </c:pt>
                <c:pt idx="8">
                  <c:v>0.65</c:v>
                </c:pt>
                <c:pt idx="9">
                  <c:v>0.65</c:v>
                </c:pt>
                <c:pt idx="10">
                  <c:v>0.65</c:v>
                </c:pt>
                <c:pt idx="11">
                  <c:v>0.65</c:v>
                </c:pt>
                <c:pt idx="12">
                  <c:v>0.65</c:v>
                </c:pt>
                <c:pt idx="13">
                  <c:v>0.65</c:v>
                </c:pt>
                <c:pt idx="14">
                  <c:v>0.65</c:v>
                </c:pt>
                <c:pt idx="15">
                  <c:v>0.65</c:v>
                </c:pt>
                <c:pt idx="16">
                  <c:v>0.65</c:v>
                </c:pt>
                <c:pt idx="17">
                  <c:v>0.65</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4-8C87-4B8A-95D0-01F729E59493}"/>
            </c:ext>
          </c:extLst>
        </c:ser>
        <c:ser>
          <c:idx val="5"/>
          <c:order val="5"/>
          <c:tx>
            <c:v>Sunday PNNL</c:v>
          </c:tx>
          <c:spPr>
            <a:ln w="28575" cap="rnd">
              <a:solidFill>
                <a:schemeClr val="accent6"/>
              </a:solidFill>
              <a:prstDash val="sysDash"/>
              <a:round/>
            </a:ln>
            <a:effectLst/>
          </c:spPr>
          <c:marker>
            <c:symbol val="none"/>
          </c:marker>
          <c:val>
            <c:numRef>
              <c:f>Schedules!$AN$49:$BK$49</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5-8C87-4B8A-95D0-01F729E5949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2724239688947145"/>
          <c:y val="5.1254109139228224E-3"/>
          <c:w val="0.2727576031105286"/>
          <c:h val="0.35898684493188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General</c:formatCode>
                <c:ptCount val="24"/>
                <c:pt idx="0">
                  <c:v>0.4</c:v>
                </c:pt>
                <c:pt idx="1">
                  <c:v>0.4</c:v>
                </c:pt>
                <c:pt idx="2">
                  <c:v>0.4</c:v>
                </c:pt>
                <c:pt idx="3">
                  <c:v>0.4</c:v>
                </c:pt>
                <c:pt idx="4">
                  <c:v>0.4</c:v>
                </c:pt>
                <c:pt idx="5">
                  <c:v>0.4</c:v>
                </c:pt>
                <c:pt idx="6">
                  <c:v>0.4</c:v>
                </c:pt>
                <c:pt idx="7">
                  <c:v>0.5</c:v>
                </c:pt>
                <c:pt idx="8">
                  <c:v>0.6</c:v>
                </c:pt>
                <c:pt idx="9">
                  <c:v>0.8</c:v>
                </c:pt>
                <c:pt idx="10">
                  <c:v>0.8</c:v>
                </c:pt>
                <c:pt idx="11">
                  <c:v>0.8</c:v>
                </c:pt>
                <c:pt idx="12">
                  <c:v>0.8</c:v>
                </c:pt>
                <c:pt idx="13">
                  <c:v>0.8</c:v>
                </c:pt>
                <c:pt idx="14">
                  <c:v>0.8</c:v>
                </c:pt>
                <c:pt idx="15">
                  <c:v>0.8</c:v>
                </c:pt>
                <c:pt idx="16">
                  <c:v>0.8</c:v>
                </c:pt>
                <c:pt idx="17">
                  <c:v>0.6</c:v>
                </c:pt>
                <c:pt idx="18">
                  <c:v>0.5</c:v>
                </c:pt>
                <c:pt idx="19">
                  <c:v>0.5</c:v>
                </c:pt>
                <c:pt idx="20">
                  <c:v>0.4</c:v>
                </c:pt>
                <c:pt idx="21">
                  <c:v>0.4</c:v>
                </c:pt>
                <c:pt idx="22">
                  <c:v>0.4</c:v>
                </c:pt>
                <c:pt idx="23">
                  <c:v>0.4</c:v>
                </c:pt>
              </c:numCache>
            </c:numRef>
          </c:val>
          <c:smooth val="0"/>
          <c:extLst>
            <c:ext xmlns:c16="http://schemas.microsoft.com/office/drawing/2014/chart" uri="{C3380CC4-5D6E-409C-BE32-E72D297353CC}">
              <c16:uniqueId val="{00000000-E5E7-4FD8-B583-28AF4C2EC2C2}"/>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General</c:formatCode>
                <c:ptCount val="24"/>
                <c:pt idx="0">
                  <c:v>0.4</c:v>
                </c:pt>
                <c:pt idx="1">
                  <c:v>0.4</c:v>
                </c:pt>
                <c:pt idx="2">
                  <c:v>0.4</c:v>
                </c:pt>
                <c:pt idx="3">
                  <c:v>0.4</c:v>
                </c:pt>
                <c:pt idx="4">
                  <c:v>0.4</c:v>
                </c:pt>
                <c:pt idx="5">
                  <c:v>0.4</c:v>
                </c:pt>
                <c:pt idx="6">
                  <c:v>0.4</c:v>
                </c:pt>
                <c:pt idx="7">
                  <c:v>0.5</c:v>
                </c:pt>
                <c:pt idx="8">
                  <c:v>0.6</c:v>
                </c:pt>
                <c:pt idx="9">
                  <c:v>0.6</c:v>
                </c:pt>
                <c:pt idx="10">
                  <c:v>0.6</c:v>
                </c:pt>
                <c:pt idx="11">
                  <c:v>0.6</c:v>
                </c:pt>
                <c:pt idx="12">
                  <c:v>0.6</c:v>
                </c:pt>
                <c:pt idx="13">
                  <c:v>0.6</c:v>
                </c:pt>
                <c:pt idx="14">
                  <c:v>0.6</c:v>
                </c:pt>
                <c:pt idx="15">
                  <c:v>0.6</c:v>
                </c:pt>
                <c:pt idx="16">
                  <c:v>0.6</c:v>
                </c:pt>
                <c:pt idx="17">
                  <c:v>0.5</c:v>
                </c:pt>
                <c:pt idx="18">
                  <c:v>0.5</c:v>
                </c:pt>
                <c:pt idx="19">
                  <c:v>0.4</c:v>
                </c:pt>
                <c:pt idx="20">
                  <c:v>0.4</c:v>
                </c:pt>
                <c:pt idx="21">
                  <c:v>0.4</c:v>
                </c:pt>
                <c:pt idx="22">
                  <c:v>0.4</c:v>
                </c:pt>
                <c:pt idx="23">
                  <c:v>0.4</c:v>
                </c:pt>
              </c:numCache>
            </c:numRef>
          </c:val>
          <c:smooth val="0"/>
          <c:extLst>
            <c:ext xmlns:c16="http://schemas.microsoft.com/office/drawing/2014/chart" uri="{C3380CC4-5D6E-409C-BE32-E72D297353CC}">
              <c16:uniqueId val="{00000001-E5E7-4FD8-B583-28AF4C2EC2C2}"/>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General</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2-E5E7-4FD8-B583-28AF4C2EC2C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General</c:formatCode>
                <c:ptCount val="24"/>
                <c:pt idx="0">
                  <c:v>0.45</c:v>
                </c:pt>
                <c:pt idx="1">
                  <c:v>0.45</c:v>
                </c:pt>
                <c:pt idx="2">
                  <c:v>0.45</c:v>
                </c:pt>
                <c:pt idx="3">
                  <c:v>0.45</c:v>
                </c:pt>
                <c:pt idx="4">
                  <c:v>0.45</c:v>
                </c:pt>
                <c:pt idx="5">
                  <c:v>0.45</c:v>
                </c:pt>
                <c:pt idx="6">
                  <c:v>0.45</c:v>
                </c:pt>
                <c:pt idx="7">
                  <c:v>0.45</c:v>
                </c:pt>
                <c:pt idx="8">
                  <c:v>0.81</c:v>
                </c:pt>
                <c:pt idx="9">
                  <c:v>0.81</c:v>
                </c:pt>
                <c:pt idx="10">
                  <c:v>0.81</c:v>
                </c:pt>
                <c:pt idx="11">
                  <c:v>0.81</c:v>
                </c:pt>
                <c:pt idx="12">
                  <c:v>0.81</c:v>
                </c:pt>
                <c:pt idx="13">
                  <c:v>0.81</c:v>
                </c:pt>
                <c:pt idx="14">
                  <c:v>0.81</c:v>
                </c:pt>
                <c:pt idx="15">
                  <c:v>0.81</c:v>
                </c:pt>
                <c:pt idx="16">
                  <c:v>0.45</c:v>
                </c:pt>
                <c:pt idx="17">
                  <c:v>0.45</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0-5DCD-4F71-B67D-DE474D2CEE3A}"/>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General</c:formatCode>
                <c:ptCount val="24"/>
                <c:pt idx="0">
                  <c:v>0.45</c:v>
                </c:pt>
                <c:pt idx="1">
                  <c:v>0.45</c:v>
                </c:pt>
                <c:pt idx="2">
                  <c:v>0.45</c:v>
                </c:pt>
                <c:pt idx="3">
                  <c:v>0.45</c:v>
                </c:pt>
                <c:pt idx="4">
                  <c:v>0.45</c:v>
                </c:pt>
                <c:pt idx="5">
                  <c:v>0.45</c:v>
                </c:pt>
                <c:pt idx="6">
                  <c:v>0.45</c:v>
                </c:pt>
                <c:pt idx="7">
                  <c:v>0.45</c:v>
                </c:pt>
                <c:pt idx="8">
                  <c:v>0.72</c:v>
                </c:pt>
                <c:pt idx="9">
                  <c:v>0.72</c:v>
                </c:pt>
                <c:pt idx="10">
                  <c:v>0.72</c:v>
                </c:pt>
                <c:pt idx="11">
                  <c:v>0.72</c:v>
                </c:pt>
                <c:pt idx="12">
                  <c:v>0.72</c:v>
                </c:pt>
                <c:pt idx="13">
                  <c:v>0.72</c:v>
                </c:pt>
                <c:pt idx="14">
                  <c:v>0.72</c:v>
                </c:pt>
                <c:pt idx="15">
                  <c:v>0.72</c:v>
                </c:pt>
                <c:pt idx="16">
                  <c:v>0.72</c:v>
                </c:pt>
                <c:pt idx="17">
                  <c:v>0.72</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1-5DCD-4F71-B67D-DE474D2CEE3A}"/>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General</c:formatCode>
                <c:ptCount val="24"/>
                <c:pt idx="0">
                  <c:v>0.45</c:v>
                </c:pt>
                <c:pt idx="1">
                  <c:v>0.45</c:v>
                </c:pt>
                <c:pt idx="2">
                  <c:v>0.45</c:v>
                </c:pt>
                <c:pt idx="3">
                  <c:v>0.45</c:v>
                </c:pt>
                <c:pt idx="4">
                  <c:v>0.45</c:v>
                </c:pt>
                <c:pt idx="5">
                  <c:v>0.45</c:v>
                </c:pt>
                <c:pt idx="6">
                  <c:v>0.45</c:v>
                </c:pt>
                <c:pt idx="7">
                  <c:v>0.45</c:v>
                </c:pt>
                <c:pt idx="8">
                  <c:v>0.63</c:v>
                </c:pt>
                <c:pt idx="9">
                  <c:v>0.63</c:v>
                </c:pt>
                <c:pt idx="10">
                  <c:v>0.63</c:v>
                </c:pt>
                <c:pt idx="11">
                  <c:v>0.63</c:v>
                </c:pt>
                <c:pt idx="12">
                  <c:v>0.63</c:v>
                </c:pt>
                <c:pt idx="13">
                  <c:v>0.63</c:v>
                </c:pt>
                <c:pt idx="14">
                  <c:v>0.63</c:v>
                </c:pt>
                <c:pt idx="15">
                  <c:v>0.63</c:v>
                </c:pt>
                <c:pt idx="16">
                  <c:v>0.45</c:v>
                </c:pt>
                <c:pt idx="17">
                  <c:v>0.45</c:v>
                </c:pt>
                <c:pt idx="18">
                  <c:v>0.45</c:v>
                </c:pt>
                <c:pt idx="19">
                  <c:v>0.45</c:v>
                </c:pt>
                <c:pt idx="20">
                  <c:v>0.45</c:v>
                </c:pt>
                <c:pt idx="21">
                  <c:v>0.45</c:v>
                </c:pt>
                <c:pt idx="22">
                  <c:v>0.45</c:v>
                </c:pt>
                <c:pt idx="23">
                  <c:v>0.45</c:v>
                </c:pt>
              </c:numCache>
            </c:numRef>
          </c:val>
          <c:smooth val="0"/>
          <c:extLst>
            <c:ext xmlns:c16="http://schemas.microsoft.com/office/drawing/2014/chart" uri="{C3380CC4-5D6E-409C-BE32-E72D297353CC}">
              <c16:uniqueId val="{00000002-5DCD-4F71-B67D-DE474D2CEE3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0.4</c:v>
                </c:pt>
                <c:pt idx="1">
                  <c:v>0.4</c:v>
                </c:pt>
                <c:pt idx="2">
                  <c:v>0.4</c:v>
                </c:pt>
                <c:pt idx="3">
                  <c:v>0.4</c:v>
                </c:pt>
                <c:pt idx="4">
                  <c:v>0.4</c:v>
                </c:pt>
                <c:pt idx="5">
                  <c:v>0.4</c:v>
                </c:pt>
                <c:pt idx="6">
                  <c:v>0.4</c:v>
                </c:pt>
                <c:pt idx="7">
                  <c:v>0.7</c:v>
                </c:pt>
                <c:pt idx="8">
                  <c:v>0.9</c:v>
                </c:pt>
                <c:pt idx="9">
                  <c:v>0.9</c:v>
                </c:pt>
                <c:pt idx="10">
                  <c:v>0.9</c:v>
                </c:pt>
                <c:pt idx="11">
                  <c:v>0.9</c:v>
                </c:pt>
                <c:pt idx="12">
                  <c:v>0.9</c:v>
                </c:pt>
                <c:pt idx="13">
                  <c:v>0.9</c:v>
                </c:pt>
                <c:pt idx="14">
                  <c:v>0.9</c:v>
                </c:pt>
                <c:pt idx="15">
                  <c:v>0.9</c:v>
                </c:pt>
                <c:pt idx="16">
                  <c:v>0.6</c:v>
                </c:pt>
                <c:pt idx="17">
                  <c:v>0.6</c:v>
                </c:pt>
                <c:pt idx="18">
                  <c:v>0.6</c:v>
                </c:pt>
                <c:pt idx="19">
                  <c:v>0.6</c:v>
                </c:pt>
                <c:pt idx="20">
                  <c:v>0.6</c:v>
                </c:pt>
                <c:pt idx="21">
                  <c:v>0.6</c:v>
                </c:pt>
                <c:pt idx="22">
                  <c:v>0.6</c:v>
                </c:pt>
                <c:pt idx="23">
                  <c:v>0.4</c:v>
                </c:pt>
              </c:numCache>
            </c:numRef>
          </c:val>
          <c:smooth val="0"/>
          <c:extLst>
            <c:ext xmlns:c16="http://schemas.microsoft.com/office/drawing/2014/chart" uri="{C3380CC4-5D6E-409C-BE32-E72D297353CC}">
              <c16:uniqueId val="{00000000-2E85-4519-817D-ADFCB45E4452}"/>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0.4</c:v>
                </c:pt>
                <c:pt idx="1">
                  <c:v>0.4</c:v>
                </c:pt>
                <c:pt idx="2">
                  <c:v>0.4</c:v>
                </c:pt>
                <c:pt idx="3">
                  <c:v>0.4</c:v>
                </c:pt>
                <c:pt idx="4">
                  <c:v>0.4</c:v>
                </c:pt>
                <c:pt idx="5">
                  <c:v>0.4</c:v>
                </c:pt>
                <c:pt idx="6">
                  <c:v>0.4</c:v>
                </c:pt>
                <c:pt idx="7">
                  <c:v>0.8</c:v>
                </c:pt>
                <c:pt idx="8">
                  <c:v>0.65</c:v>
                </c:pt>
                <c:pt idx="9">
                  <c:v>0.65</c:v>
                </c:pt>
                <c:pt idx="10">
                  <c:v>0.65</c:v>
                </c:pt>
                <c:pt idx="11">
                  <c:v>0.65</c:v>
                </c:pt>
                <c:pt idx="12">
                  <c:v>0.65</c:v>
                </c:pt>
                <c:pt idx="13">
                  <c:v>0.65</c:v>
                </c:pt>
                <c:pt idx="14">
                  <c:v>0.65</c:v>
                </c:pt>
                <c:pt idx="15">
                  <c:v>0.65</c:v>
                </c:pt>
                <c:pt idx="16">
                  <c:v>0.65</c:v>
                </c:pt>
                <c:pt idx="17">
                  <c:v>0.65</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1-2E85-4519-817D-ADFCB45E4452}"/>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2-2E85-4519-817D-ADFCB45E445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General</c:formatCode>
                <c:ptCount val="24"/>
                <c:pt idx="0">
                  <c:v>0.3</c:v>
                </c:pt>
                <c:pt idx="1">
                  <c:v>0.3</c:v>
                </c:pt>
                <c:pt idx="2">
                  <c:v>0.3</c:v>
                </c:pt>
                <c:pt idx="3">
                  <c:v>0.3</c:v>
                </c:pt>
                <c:pt idx="4">
                  <c:v>0.3</c:v>
                </c:pt>
                <c:pt idx="5">
                  <c:v>0.3</c:v>
                </c:pt>
                <c:pt idx="6">
                  <c:v>0.5</c:v>
                </c:pt>
                <c:pt idx="7">
                  <c:v>0.57999999999999996</c:v>
                </c:pt>
                <c:pt idx="8">
                  <c:v>0.66</c:v>
                </c:pt>
                <c:pt idx="9">
                  <c:v>0.78</c:v>
                </c:pt>
                <c:pt idx="10">
                  <c:v>0.82</c:v>
                </c:pt>
                <c:pt idx="11">
                  <c:v>0.71</c:v>
                </c:pt>
                <c:pt idx="12">
                  <c:v>0.82</c:v>
                </c:pt>
                <c:pt idx="13">
                  <c:v>0.78</c:v>
                </c:pt>
                <c:pt idx="14">
                  <c:v>0.74</c:v>
                </c:pt>
                <c:pt idx="15">
                  <c:v>0.63</c:v>
                </c:pt>
                <c:pt idx="16">
                  <c:v>0.41</c:v>
                </c:pt>
                <c:pt idx="17">
                  <c:v>0.35</c:v>
                </c:pt>
                <c:pt idx="18">
                  <c:v>0.35</c:v>
                </c:pt>
                <c:pt idx="19">
                  <c:v>0.35</c:v>
                </c:pt>
                <c:pt idx="20">
                  <c:v>0.3</c:v>
                </c:pt>
                <c:pt idx="21">
                  <c:v>0.3</c:v>
                </c:pt>
                <c:pt idx="22">
                  <c:v>0.3</c:v>
                </c:pt>
                <c:pt idx="23">
                  <c:v>0.3</c:v>
                </c:pt>
              </c:numCache>
            </c:numRef>
          </c:val>
          <c:smooth val="0"/>
          <c:extLst>
            <c:ext xmlns:c16="http://schemas.microsoft.com/office/drawing/2014/chart" uri="{C3380CC4-5D6E-409C-BE32-E72D297353CC}">
              <c16:uniqueId val="{00000000-1609-4904-A5AB-8AE59B41A761}"/>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General</c:formatCode>
                <c:ptCount val="24"/>
                <c:pt idx="0">
                  <c:v>0.3</c:v>
                </c:pt>
                <c:pt idx="1">
                  <c:v>0.3</c:v>
                </c:pt>
                <c:pt idx="2">
                  <c:v>0.3</c:v>
                </c:pt>
                <c:pt idx="3">
                  <c:v>0.3</c:v>
                </c:pt>
                <c:pt idx="4">
                  <c:v>0.3</c:v>
                </c:pt>
                <c:pt idx="5">
                  <c:v>0.3</c:v>
                </c:pt>
                <c:pt idx="6">
                  <c:v>0.3</c:v>
                </c:pt>
                <c:pt idx="7">
                  <c:v>0.4</c:v>
                </c:pt>
                <c:pt idx="8">
                  <c:v>0.5</c:v>
                </c:pt>
                <c:pt idx="9">
                  <c:v>0.6</c:v>
                </c:pt>
                <c:pt idx="10">
                  <c:v>0.6</c:v>
                </c:pt>
                <c:pt idx="11">
                  <c:v>0.6</c:v>
                </c:pt>
                <c:pt idx="12">
                  <c:v>0.6</c:v>
                </c:pt>
                <c:pt idx="13">
                  <c:v>0.6</c:v>
                </c:pt>
                <c:pt idx="14">
                  <c:v>0.6</c:v>
                </c:pt>
                <c:pt idx="15">
                  <c:v>0.6</c:v>
                </c:pt>
                <c:pt idx="16">
                  <c:v>0.5</c:v>
                </c:pt>
                <c:pt idx="17">
                  <c:v>0.3</c:v>
                </c:pt>
                <c:pt idx="18">
                  <c:v>0.3</c:v>
                </c:pt>
                <c:pt idx="19">
                  <c:v>0.3</c:v>
                </c:pt>
                <c:pt idx="20">
                  <c:v>0.3</c:v>
                </c:pt>
                <c:pt idx="21">
                  <c:v>0.3</c:v>
                </c:pt>
                <c:pt idx="22">
                  <c:v>0.3</c:v>
                </c:pt>
                <c:pt idx="23">
                  <c:v>0.3</c:v>
                </c:pt>
              </c:numCache>
            </c:numRef>
          </c:val>
          <c:smooth val="0"/>
          <c:extLst>
            <c:ext xmlns:c16="http://schemas.microsoft.com/office/drawing/2014/chart" uri="{C3380CC4-5D6E-409C-BE32-E72D297353CC}">
              <c16:uniqueId val="{00000001-1609-4904-A5AB-8AE59B41A761}"/>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General</c:formatCode>
                <c:ptCount val="24"/>
                <c:pt idx="0">
                  <c:v>0.3</c:v>
                </c:pt>
                <c:pt idx="1">
                  <c:v>0.3</c:v>
                </c:pt>
                <c:pt idx="2">
                  <c:v>0.3</c:v>
                </c:pt>
                <c:pt idx="3">
                  <c:v>0.3</c:v>
                </c:pt>
                <c:pt idx="4">
                  <c:v>0.3</c:v>
                </c:pt>
                <c:pt idx="5">
                  <c:v>0.3</c:v>
                </c:pt>
                <c:pt idx="6">
                  <c:v>0.3</c:v>
                </c:pt>
                <c:pt idx="7">
                  <c:v>0.4</c:v>
                </c:pt>
                <c:pt idx="8">
                  <c:v>0.5</c:v>
                </c:pt>
                <c:pt idx="9">
                  <c:v>0.6</c:v>
                </c:pt>
                <c:pt idx="10">
                  <c:v>0.6</c:v>
                </c:pt>
                <c:pt idx="11">
                  <c:v>0.6</c:v>
                </c:pt>
                <c:pt idx="12">
                  <c:v>0.6</c:v>
                </c:pt>
                <c:pt idx="13">
                  <c:v>0.6</c:v>
                </c:pt>
                <c:pt idx="14">
                  <c:v>0.6</c:v>
                </c:pt>
                <c:pt idx="15">
                  <c:v>0.6</c:v>
                </c:pt>
                <c:pt idx="16">
                  <c:v>0.5</c:v>
                </c:pt>
                <c:pt idx="17">
                  <c:v>0.3</c:v>
                </c:pt>
                <c:pt idx="18">
                  <c:v>0.3</c:v>
                </c:pt>
                <c:pt idx="19">
                  <c:v>0.3</c:v>
                </c:pt>
                <c:pt idx="20">
                  <c:v>0.3</c:v>
                </c:pt>
                <c:pt idx="21">
                  <c:v>0.3</c:v>
                </c:pt>
                <c:pt idx="22">
                  <c:v>0.3</c:v>
                </c:pt>
                <c:pt idx="23">
                  <c:v>0.3</c:v>
                </c:pt>
              </c:numCache>
            </c:numRef>
          </c:val>
          <c:smooth val="0"/>
          <c:extLst>
            <c:ext xmlns:c16="http://schemas.microsoft.com/office/drawing/2014/chart" uri="{C3380CC4-5D6E-409C-BE32-E72D297353CC}">
              <c16:uniqueId val="{00000002-1609-4904-A5AB-8AE59B41A76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0.1</c:v>
                </c:pt>
                <c:pt idx="1">
                  <c:v>0.1</c:v>
                </c:pt>
                <c:pt idx="2">
                  <c:v>0.1</c:v>
                </c:pt>
                <c:pt idx="3">
                  <c:v>0.1</c:v>
                </c:pt>
                <c:pt idx="4">
                  <c:v>0.1</c:v>
                </c:pt>
                <c:pt idx="5">
                  <c:v>0.1</c:v>
                </c:pt>
                <c:pt idx="6">
                  <c:v>0.1</c:v>
                </c:pt>
                <c:pt idx="7">
                  <c:v>0.75</c:v>
                </c:pt>
                <c:pt idx="8">
                  <c:v>0.9</c:v>
                </c:pt>
                <c:pt idx="9">
                  <c:v>0.9</c:v>
                </c:pt>
                <c:pt idx="10">
                  <c:v>0.9</c:v>
                </c:pt>
                <c:pt idx="11">
                  <c:v>0.9</c:v>
                </c:pt>
                <c:pt idx="12">
                  <c:v>0.9</c:v>
                </c:pt>
                <c:pt idx="13">
                  <c:v>0.9</c:v>
                </c:pt>
                <c:pt idx="14">
                  <c:v>0.9</c:v>
                </c:pt>
                <c:pt idx="15">
                  <c:v>0.9</c:v>
                </c:pt>
                <c:pt idx="16">
                  <c:v>0.9</c:v>
                </c:pt>
                <c:pt idx="17">
                  <c:v>0.75</c:v>
                </c:pt>
                <c:pt idx="18">
                  <c:v>0.2</c:v>
                </c:pt>
                <c:pt idx="19">
                  <c:v>0.1</c:v>
                </c:pt>
                <c:pt idx="20">
                  <c:v>0.1</c:v>
                </c:pt>
                <c:pt idx="21">
                  <c:v>0.1</c:v>
                </c:pt>
                <c:pt idx="22">
                  <c:v>0.1</c:v>
                </c:pt>
                <c:pt idx="23">
                  <c:v>0.1</c:v>
                </c:pt>
              </c:numCache>
            </c:numRef>
          </c:val>
          <c:smooth val="0"/>
          <c:extLst>
            <c:ext xmlns:c16="http://schemas.microsoft.com/office/drawing/2014/chart" uri="{C3380CC4-5D6E-409C-BE32-E72D297353CC}">
              <c16:uniqueId val="{00000000-33A5-42B2-A322-4C41AE510980}"/>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33A5-42B2-A322-4C41AE510980}"/>
            </c:ext>
          </c:extLst>
        </c:ser>
        <c:ser>
          <c:idx val="2"/>
          <c:order val="2"/>
          <c:tx>
            <c:strRef>
              <c:f>Schedules!$E$49</c:f>
              <c:strCache>
                <c:ptCount val="1"/>
                <c:pt idx="0">
                  <c:v>Sunday</c:v>
                </c:pt>
              </c:strCache>
            </c:strRef>
          </c:tx>
          <c:spPr>
            <a:ln w="28575" cap="rnd">
              <a:solidFill>
                <a:schemeClr val="accent3"/>
              </a:solidFill>
              <a:round/>
            </a:ln>
            <a:effectLst/>
          </c:spPr>
          <c:marker>
            <c:symbol val="none"/>
          </c:marker>
          <c:val>
            <c:numRef>
              <c:f>Schedules!$F$49:$AC$49</c:f>
              <c:numCache>
                <c:formatCode>0.00</c:formatCode>
                <c:ptCount val="24"/>
                <c:pt idx="0">
                  <c:v>0.1</c:v>
                </c:pt>
                <c:pt idx="1">
                  <c:v>0.1</c:v>
                </c:pt>
                <c:pt idx="2">
                  <c:v>0.1</c:v>
                </c:pt>
                <c:pt idx="3">
                  <c:v>0.1</c:v>
                </c:pt>
                <c:pt idx="4">
                  <c:v>0.1</c:v>
                </c:pt>
                <c:pt idx="5">
                  <c:v>0.1</c:v>
                </c:pt>
                <c:pt idx="6">
                  <c:v>0.1</c:v>
                </c:pt>
                <c:pt idx="7">
                  <c:v>0.3</c:v>
                </c:pt>
                <c:pt idx="8">
                  <c:v>0.5</c:v>
                </c:pt>
                <c:pt idx="9">
                  <c:v>0.5</c:v>
                </c:pt>
                <c:pt idx="10">
                  <c:v>0.5</c:v>
                </c:pt>
                <c:pt idx="11">
                  <c:v>0.5</c:v>
                </c:pt>
                <c:pt idx="12">
                  <c:v>0.5</c:v>
                </c:pt>
                <c:pt idx="13">
                  <c:v>0.5</c:v>
                </c:pt>
                <c:pt idx="14">
                  <c:v>0.5</c:v>
                </c:pt>
                <c:pt idx="15">
                  <c:v>0.5</c:v>
                </c:pt>
                <c:pt idx="16">
                  <c:v>0.5</c:v>
                </c:pt>
                <c:pt idx="17">
                  <c:v>0.3</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2-33A5-42B2-A322-4C41AE510980}"/>
            </c:ext>
          </c:extLst>
        </c:ser>
        <c:ser>
          <c:idx val="3"/>
          <c:order val="3"/>
          <c:tx>
            <c:v>Weekly PNNL</c:v>
          </c:tx>
          <c:spPr>
            <a:ln w="28575" cap="rnd">
              <a:solidFill>
                <a:schemeClr val="accent4"/>
              </a:solidFill>
              <a:prstDash val="sysDash"/>
              <a:round/>
            </a:ln>
            <a:effectLst/>
          </c:spPr>
          <c:marker>
            <c:symbol val="none"/>
          </c:marker>
          <c:val>
            <c:numRef>
              <c:f>Schedules!$AN$47:$BK$47</c:f>
              <c:numCache>
                <c:formatCode>0.00</c:formatCode>
                <c:ptCount val="24"/>
                <c:pt idx="0">
                  <c:v>0.4</c:v>
                </c:pt>
                <c:pt idx="1">
                  <c:v>0.4</c:v>
                </c:pt>
                <c:pt idx="2">
                  <c:v>0.4</c:v>
                </c:pt>
                <c:pt idx="3">
                  <c:v>0.4</c:v>
                </c:pt>
                <c:pt idx="4">
                  <c:v>0.4</c:v>
                </c:pt>
                <c:pt idx="5">
                  <c:v>0.4</c:v>
                </c:pt>
                <c:pt idx="6">
                  <c:v>0.4</c:v>
                </c:pt>
                <c:pt idx="7">
                  <c:v>0.7</c:v>
                </c:pt>
                <c:pt idx="8">
                  <c:v>0.9</c:v>
                </c:pt>
                <c:pt idx="9">
                  <c:v>0.9</c:v>
                </c:pt>
                <c:pt idx="10">
                  <c:v>0.9</c:v>
                </c:pt>
                <c:pt idx="11">
                  <c:v>0.9</c:v>
                </c:pt>
                <c:pt idx="12">
                  <c:v>0.9</c:v>
                </c:pt>
                <c:pt idx="13">
                  <c:v>0.9</c:v>
                </c:pt>
                <c:pt idx="14">
                  <c:v>0.9</c:v>
                </c:pt>
                <c:pt idx="15">
                  <c:v>0.9</c:v>
                </c:pt>
                <c:pt idx="16">
                  <c:v>0.6</c:v>
                </c:pt>
                <c:pt idx="17">
                  <c:v>0.6</c:v>
                </c:pt>
                <c:pt idx="18">
                  <c:v>0.6</c:v>
                </c:pt>
                <c:pt idx="19">
                  <c:v>0.6</c:v>
                </c:pt>
                <c:pt idx="20">
                  <c:v>0.6</c:v>
                </c:pt>
                <c:pt idx="21">
                  <c:v>0.6</c:v>
                </c:pt>
                <c:pt idx="22">
                  <c:v>0.6</c:v>
                </c:pt>
                <c:pt idx="23">
                  <c:v>0.4</c:v>
                </c:pt>
              </c:numCache>
            </c:numRef>
          </c:val>
          <c:smooth val="0"/>
          <c:extLst>
            <c:ext xmlns:c16="http://schemas.microsoft.com/office/drawing/2014/chart" uri="{C3380CC4-5D6E-409C-BE32-E72D297353CC}">
              <c16:uniqueId val="{00000003-33A5-42B2-A322-4C41AE510980}"/>
            </c:ext>
          </c:extLst>
        </c:ser>
        <c:ser>
          <c:idx val="4"/>
          <c:order val="4"/>
          <c:tx>
            <c:v>Saturday PNNL</c:v>
          </c:tx>
          <c:spPr>
            <a:ln w="28575" cap="rnd">
              <a:solidFill>
                <a:schemeClr val="accent5"/>
              </a:solidFill>
              <a:prstDash val="sysDash"/>
              <a:round/>
            </a:ln>
            <a:effectLst/>
          </c:spPr>
          <c:marker>
            <c:symbol val="none"/>
          </c:marker>
          <c:val>
            <c:numRef>
              <c:f>Schedules!$AN$48:$BK$48</c:f>
              <c:numCache>
                <c:formatCode>0.00</c:formatCode>
                <c:ptCount val="24"/>
                <c:pt idx="0">
                  <c:v>0.4</c:v>
                </c:pt>
                <c:pt idx="1">
                  <c:v>0.4</c:v>
                </c:pt>
                <c:pt idx="2">
                  <c:v>0.4</c:v>
                </c:pt>
                <c:pt idx="3">
                  <c:v>0.4</c:v>
                </c:pt>
                <c:pt idx="4">
                  <c:v>0.4</c:v>
                </c:pt>
                <c:pt idx="5">
                  <c:v>0.4</c:v>
                </c:pt>
                <c:pt idx="6">
                  <c:v>0.4</c:v>
                </c:pt>
                <c:pt idx="7">
                  <c:v>0.8</c:v>
                </c:pt>
                <c:pt idx="8">
                  <c:v>0.65</c:v>
                </c:pt>
                <c:pt idx="9">
                  <c:v>0.65</c:v>
                </c:pt>
                <c:pt idx="10">
                  <c:v>0.65</c:v>
                </c:pt>
                <c:pt idx="11">
                  <c:v>0.65</c:v>
                </c:pt>
                <c:pt idx="12">
                  <c:v>0.65</c:v>
                </c:pt>
                <c:pt idx="13">
                  <c:v>0.65</c:v>
                </c:pt>
                <c:pt idx="14">
                  <c:v>0.65</c:v>
                </c:pt>
                <c:pt idx="15">
                  <c:v>0.65</c:v>
                </c:pt>
                <c:pt idx="16">
                  <c:v>0.65</c:v>
                </c:pt>
                <c:pt idx="17">
                  <c:v>0.65</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4-33A5-42B2-A322-4C41AE510980}"/>
            </c:ext>
          </c:extLst>
        </c:ser>
        <c:ser>
          <c:idx val="5"/>
          <c:order val="5"/>
          <c:tx>
            <c:v>Sunday PNNL</c:v>
          </c:tx>
          <c:spPr>
            <a:ln w="28575" cap="rnd">
              <a:solidFill>
                <a:schemeClr val="accent6"/>
              </a:solidFill>
              <a:prstDash val="sysDash"/>
              <a:round/>
            </a:ln>
            <a:effectLst/>
          </c:spPr>
          <c:marker>
            <c:symbol val="none"/>
          </c:marker>
          <c:val>
            <c:numRef>
              <c:f>Schedules!$AN$49:$BK$49</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0.6</c:v>
                </c:pt>
                <c:pt idx="12">
                  <c:v>0.6</c:v>
                </c:pt>
                <c:pt idx="13">
                  <c:v>0.6</c:v>
                </c:pt>
                <c:pt idx="14">
                  <c:v>0.6</c:v>
                </c:pt>
                <c:pt idx="15">
                  <c:v>0.6</c:v>
                </c:pt>
                <c:pt idx="16">
                  <c:v>0.4</c:v>
                </c:pt>
                <c:pt idx="17">
                  <c:v>0.4</c:v>
                </c:pt>
                <c:pt idx="18">
                  <c:v>0.4</c:v>
                </c:pt>
                <c:pt idx="19">
                  <c:v>0.4</c:v>
                </c:pt>
                <c:pt idx="20">
                  <c:v>0.4</c:v>
                </c:pt>
                <c:pt idx="21">
                  <c:v>0.4</c:v>
                </c:pt>
                <c:pt idx="22">
                  <c:v>0.4</c:v>
                </c:pt>
                <c:pt idx="23">
                  <c:v>0.4</c:v>
                </c:pt>
              </c:numCache>
            </c:numRef>
          </c:val>
          <c:smooth val="0"/>
          <c:extLst>
            <c:ext xmlns:c16="http://schemas.microsoft.com/office/drawing/2014/chart" uri="{C3380CC4-5D6E-409C-BE32-E72D297353CC}">
              <c16:uniqueId val="{00000005-33A5-42B2-A322-4C41AE51098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2724239688947145"/>
          <c:y val="5.1254109139228224E-3"/>
          <c:w val="0.2727576031105286"/>
          <c:h val="0.35898684493188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Hospital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_(* #,##0.0_);_(* \(#,##0.0\);_(* "-"??_);_(@_)</c:formatCode>
                <c:ptCount val="16"/>
                <c:pt idx="0">
                  <c:v>91.60344117127579</c:v>
                </c:pt>
                <c:pt idx="1">
                  <c:v>74.330019181577256</c:v>
                </c:pt>
                <c:pt idx="2">
                  <c:v>76.236172957109986</c:v>
                </c:pt>
                <c:pt idx="3">
                  <c:v>78.68643378679171</c:v>
                </c:pt>
                <c:pt idx="4">
                  <c:v>48.483508803172441</c:v>
                </c:pt>
                <c:pt idx="5">
                  <c:v>97.806368133941262</c:v>
                </c:pt>
                <c:pt idx="6">
                  <c:v>90.247369099445123</c:v>
                </c:pt>
                <c:pt idx="7">
                  <c:v>107.59155890866316</c:v>
                </c:pt>
                <c:pt idx="8">
                  <c:v>81.448753975008586</c:v>
                </c:pt>
                <c:pt idx="9">
                  <c:v>97.954687830978884</c:v>
                </c:pt>
                <c:pt idx="10">
                  <c:v>82.450567458265652</c:v>
                </c:pt>
                <c:pt idx="11">
                  <c:v>83.979435808234626</c:v>
                </c:pt>
                <c:pt idx="12">
                  <c:v>92.921710944559734</c:v>
                </c:pt>
                <c:pt idx="13">
                  <c:v>105.51441725743651</c:v>
                </c:pt>
                <c:pt idx="14">
                  <c:v>93.655895138289651</c:v>
                </c:pt>
                <c:pt idx="15">
                  <c:v>102.48850179871603</c:v>
                </c:pt>
              </c:numCache>
            </c:numRef>
          </c:val>
          <c:extLst>
            <c:ext xmlns:c16="http://schemas.microsoft.com/office/drawing/2014/chart" uri="{C3380CC4-5D6E-409C-BE32-E72D297353CC}">
              <c16:uniqueId val="{00000001-3EE5-40CB-8928-7C798AFB8622}"/>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61.068960780850546</c:v>
                </c:pt>
                <c:pt idx="1">
                  <c:v>49.553346121051504</c:v>
                </c:pt>
                <c:pt idx="2">
                  <c:v>50.824115304739991</c:v>
                </c:pt>
                <c:pt idx="3">
                  <c:v>52.457622524527793</c:v>
                </c:pt>
                <c:pt idx="4">
                  <c:v>32.322339202114961</c:v>
                </c:pt>
                <c:pt idx="5">
                  <c:v>65.204245422627523</c:v>
                </c:pt>
                <c:pt idx="6">
                  <c:v>60.16491273296343</c:v>
                </c:pt>
                <c:pt idx="7">
                  <c:v>71.727705939108773</c:v>
                </c:pt>
                <c:pt idx="8">
                  <c:v>54.299169316672405</c:v>
                </c:pt>
                <c:pt idx="9">
                  <c:v>65.303125220652589</c:v>
                </c:pt>
                <c:pt idx="10">
                  <c:v>54.967044972177121</c:v>
                </c:pt>
                <c:pt idx="11">
                  <c:v>55.986290538823084</c:v>
                </c:pt>
                <c:pt idx="12">
                  <c:v>61.947807296373171</c:v>
                </c:pt>
                <c:pt idx="13">
                  <c:v>70.342944838291018</c:v>
                </c:pt>
                <c:pt idx="14">
                  <c:v>62.437263425526453</c:v>
                </c:pt>
                <c:pt idx="15">
                  <c:v>68.325667865810701</c:v>
                </c:pt>
              </c:numCache>
            </c:numRef>
          </c:val>
          <c:extLst>
            <c:ext xmlns:c16="http://schemas.microsoft.com/office/drawing/2014/chart" uri="{C3380CC4-5D6E-409C-BE32-E72D297353CC}">
              <c16:uniqueId val="{00000002-3EE5-40CB-8928-7C798AFB8622}"/>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3-3EE5-40CB-8928-7C798AFB8622}"/>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4-3EE5-40CB-8928-7C798AFB8622}"/>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Hospital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150.22500000000002</c:v>
                </c:pt>
                <c:pt idx="1">
                  <c:v>150.89999999999998</c:v>
                </c:pt>
                <c:pt idx="2">
                  <c:v>148.94999999999999</c:v>
                </c:pt>
                <c:pt idx="3">
                  <c:v>155.10000000000002</c:v>
                </c:pt>
                <c:pt idx="4">
                  <c:v>148.72500000000002</c:v>
                </c:pt>
                <c:pt idx="5">
                  <c:v>152.625</c:v>
                </c:pt>
                <c:pt idx="6">
                  <c:v>153.75</c:v>
                </c:pt>
                <c:pt idx="7">
                  <c:v>158.10000000000002</c:v>
                </c:pt>
                <c:pt idx="8">
                  <c:v>157.35000000000002</c:v>
                </c:pt>
                <c:pt idx="9">
                  <c:v>160.05000000000001</c:v>
                </c:pt>
                <c:pt idx="10">
                  <c:v>161.625</c:v>
                </c:pt>
                <c:pt idx="11">
                  <c:v>157.125</c:v>
                </c:pt>
                <c:pt idx="12">
                  <c:v>163.72500000000002</c:v>
                </c:pt>
                <c:pt idx="13">
                  <c:v>161.85000000000002</c:v>
                </c:pt>
                <c:pt idx="14">
                  <c:v>178.72500000000002</c:v>
                </c:pt>
                <c:pt idx="15">
                  <c:v>153.67500000000001</c:v>
                </c:pt>
              </c:numCache>
            </c:numRef>
          </c:val>
          <c:extLst>
            <c:ext xmlns:c16="http://schemas.microsoft.com/office/drawing/2014/chart" uri="{C3380CC4-5D6E-409C-BE32-E72D297353CC}">
              <c16:uniqueId val="{00000000-D7A4-424B-A1C6-F08EF1867055}"/>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100.14999999999998</c:v>
                </c:pt>
                <c:pt idx="1">
                  <c:v>100.60000000000002</c:v>
                </c:pt>
                <c:pt idx="2">
                  <c:v>99.300000000000011</c:v>
                </c:pt>
                <c:pt idx="3">
                  <c:v>103.39999999999998</c:v>
                </c:pt>
                <c:pt idx="4">
                  <c:v>99.149999999999977</c:v>
                </c:pt>
                <c:pt idx="5">
                  <c:v>101.75</c:v>
                </c:pt>
                <c:pt idx="6">
                  <c:v>102.5</c:v>
                </c:pt>
                <c:pt idx="7">
                  <c:v>105.39999999999998</c:v>
                </c:pt>
                <c:pt idx="8">
                  <c:v>104.89999999999998</c:v>
                </c:pt>
                <c:pt idx="9">
                  <c:v>106.69999999999999</c:v>
                </c:pt>
                <c:pt idx="10">
                  <c:v>107.75</c:v>
                </c:pt>
                <c:pt idx="11">
                  <c:v>104.75</c:v>
                </c:pt>
                <c:pt idx="12">
                  <c:v>109.14999999999998</c:v>
                </c:pt>
                <c:pt idx="13">
                  <c:v>107.89999999999998</c:v>
                </c:pt>
                <c:pt idx="14">
                  <c:v>119.14999999999998</c:v>
                </c:pt>
                <c:pt idx="15">
                  <c:v>102.44999999999999</c:v>
                </c:pt>
              </c:numCache>
            </c:numRef>
          </c:val>
          <c:extLst>
            <c:ext xmlns:c16="http://schemas.microsoft.com/office/drawing/2014/chart" uri="{C3380CC4-5D6E-409C-BE32-E72D297353CC}">
              <c16:uniqueId val="{00000001-D7A4-424B-A1C6-F08EF1867055}"/>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D7A4-424B-A1C6-F08EF1867055}"/>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D7A4-424B-A1C6-F08EF1867055}"/>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30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2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editAs="oneCell">
    <xdr:from>
      <xdr:col>0</xdr:col>
      <xdr:colOff>220980</xdr:colOff>
      <xdr:row>55</xdr:row>
      <xdr:rowOff>152399</xdr:rowOff>
    </xdr:from>
    <xdr:to>
      <xdr:col>2</xdr:col>
      <xdr:colOff>750</xdr:colOff>
      <xdr:row>73</xdr:row>
      <xdr:rowOff>75604</xdr:rowOff>
    </xdr:to>
    <xdr:pic>
      <xdr:nvPicPr>
        <xdr:cNvPr id="3" name="Picture 2">
          <a:extLst>
            <a:ext uri="{FF2B5EF4-FFF2-40B4-BE49-F238E27FC236}">
              <a16:creationId xmlns:a16="http://schemas.microsoft.com/office/drawing/2014/main" id="{A38FE243-02A3-3051-BEFA-34D095E68C6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685" r="966"/>
        <a:stretch/>
      </xdr:blipFill>
      <xdr:spPr>
        <a:xfrm>
          <a:off x="220980" y="8968739"/>
          <a:ext cx="6468225" cy="2971205"/>
        </a:xfrm>
        <a:prstGeom prst="rect">
          <a:avLst/>
        </a:prstGeom>
      </xdr:spPr>
    </xdr:pic>
    <xdr:clientData/>
  </xdr:twoCellAnchor>
  <xdr:twoCellAnchor editAs="oneCell">
    <xdr:from>
      <xdr:col>2</xdr:col>
      <xdr:colOff>158115</xdr:colOff>
      <xdr:row>55</xdr:row>
      <xdr:rowOff>154305</xdr:rowOff>
    </xdr:from>
    <xdr:to>
      <xdr:col>4</xdr:col>
      <xdr:colOff>1127088</xdr:colOff>
      <xdr:row>67</xdr:row>
      <xdr:rowOff>133350</xdr:rowOff>
    </xdr:to>
    <xdr:pic>
      <xdr:nvPicPr>
        <xdr:cNvPr id="4" name="Picture 3" descr="A bar chart showing health care buildings by square footage category. On average, hospitals were 264,800 square feet per building, but outpatient health care buildings averaged 13,700 square feet.">
          <a:extLst>
            <a:ext uri="{FF2B5EF4-FFF2-40B4-BE49-F238E27FC236}">
              <a16:creationId xmlns:a16="http://schemas.microsoft.com/office/drawing/2014/main" id="{5B7F2AF0-03AD-2AD5-0101-D8B54EE873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01815" y="8970645"/>
          <a:ext cx="5815965" cy="1996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179070</xdr:colOff>
      <xdr:row>68</xdr:row>
      <xdr:rowOff>59055</xdr:rowOff>
    </xdr:from>
    <xdr:to>
      <xdr:col>4</xdr:col>
      <xdr:colOff>938493</xdr:colOff>
      <xdr:row>82</xdr:row>
      <xdr:rowOff>93344</xdr:rowOff>
    </xdr:to>
    <xdr:pic>
      <xdr:nvPicPr>
        <xdr:cNvPr id="6" name="Picture 5" descr="A bar chart showing energy consumption in health care buildings by fuel. In health care buildings, electricity was the most-used fuel (327 TBtu), followed by natural gas (207 TBtu).">
          <a:extLst>
            <a:ext uri="{FF2B5EF4-FFF2-40B4-BE49-F238E27FC236}">
              <a16:creationId xmlns:a16="http://schemas.microsoft.com/office/drawing/2014/main" id="{2C654C4F-6557-E5D3-A998-E1727C7CAC6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22770" y="11069955"/>
          <a:ext cx="5596890" cy="240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971326</xdr:colOff>
      <xdr:row>39</xdr:row>
      <xdr:rowOff>1589</xdr:rowOff>
    </xdr:from>
    <xdr:to>
      <xdr:col>2</xdr:col>
      <xdr:colOff>2570853</xdr:colOff>
      <xdr:row>49</xdr:row>
      <xdr:rowOff>115089</xdr:rowOff>
    </xdr:to>
    <xdr:pic>
      <xdr:nvPicPr>
        <xdr:cNvPr id="5" name="Picture 4">
          <a:extLst>
            <a:ext uri="{FF2B5EF4-FFF2-40B4-BE49-F238E27FC236}">
              <a16:creationId xmlns:a16="http://schemas.microsoft.com/office/drawing/2014/main" id="{D170ADE6-35B8-5C50-B7E4-84902022A95B}"/>
            </a:ext>
          </a:extLst>
        </xdr:cNvPr>
        <xdr:cNvPicPr>
          <a:picLocks noChangeAspect="1"/>
        </xdr:cNvPicPr>
      </xdr:nvPicPr>
      <xdr:blipFill>
        <a:blip xmlns:r="http://schemas.openxmlformats.org/officeDocument/2006/relationships" r:embed="rId4"/>
        <a:stretch>
          <a:fillRect/>
        </a:stretch>
      </xdr:blipFill>
      <xdr:spPr>
        <a:xfrm>
          <a:off x="971326" y="6288089"/>
          <a:ext cx="8105663" cy="19064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666751</xdr:colOff>
      <xdr:row>7</xdr:row>
      <xdr:rowOff>9525</xdr:rowOff>
    </xdr:from>
    <xdr:to>
      <xdr:col>1</xdr:col>
      <xdr:colOff>2613620</xdr:colOff>
      <xdr:row>8</xdr:row>
      <xdr:rowOff>1905</xdr:rowOff>
    </xdr:to>
    <xdr:pic>
      <xdr:nvPicPr>
        <xdr:cNvPr id="4" name="Picture 3">
          <a:extLst>
            <a:ext uri="{FF2B5EF4-FFF2-40B4-BE49-F238E27FC236}">
              <a16:creationId xmlns:a16="http://schemas.microsoft.com/office/drawing/2014/main" id="{422A6D37-3287-77F1-A35F-02EE87A89E20}"/>
            </a:ext>
          </a:extLst>
        </xdr:cNvPr>
        <xdr:cNvPicPr>
          <a:picLocks noChangeAspect="1"/>
        </xdr:cNvPicPr>
      </xdr:nvPicPr>
      <xdr:blipFill>
        <a:blip xmlns:r="http://schemas.openxmlformats.org/officeDocument/2006/relationships" r:embed="rId1">
          <a:clrChange>
            <a:clrFrom>
              <a:srgbClr val="D2D0B9"/>
            </a:clrFrom>
            <a:clrTo>
              <a:srgbClr val="D2D0B9">
                <a:alpha val="0"/>
              </a:srgbClr>
            </a:clrTo>
          </a:clrChange>
        </a:blip>
        <a:stretch>
          <a:fillRect/>
        </a:stretch>
      </xdr:blipFill>
      <xdr:spPr>
        <a:xfrm>
          <a:off x="2381251" y="1590675"/>
          <a:ext cx="1952584" cy="12306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1282561</xdr:colOff>
      <xdr:row>0</xdr:row>
      <xdr:rowOff>35035</xdr:rowOff>
    </xdr:from>
    <xdr:to>
      <xdr:col>16</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1325218</xdr:colOff>
      <xdr:row>0</xdr:row>
      <xdr:rowOff>67505</xdr:rowOff>
    </xdr:from>
    <xdr:to>
      <xdr:col>16</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15</xdr:col>
      <xdr:colOff>85724</xdr:colOff>
      <xdr:row>36</xdr:row>
      <xdr:rowOff>38100</xdr:rowOff>
    </xdr:from>
    <xdr:to>
      <xdr:col>18</xdr:col>
      <xdr:colOff>457200</xdr:colOff>
      <xdr:row>56</xdr:row>
      <xdr:rowOff>57149</xdr:rowOff>
    </xdr:to>
    <xdr:pic>
      <xdr:nvPicPr>
        <xdr:cNvPr id="2" name="Picture 9" descr="Hospital_FloorPlan_Zoning_Level2_Mar_9_2011.gif">
          <a:extLst>
            <a:ext uri="{FF2B5EF4-FFF2-40B4-BE49-F238E27FC236}">
              <a16:creationId xmlns:a16="http://schemas.microsoft.com/office/drawing/2014/main" id="{AA1E4D07-5B8F-4583-BB8E-FE035E1E388C}"/>
            </a:ext>
            <a:ext uri="{147F2762-F138-4A5C-976F-8EAC2B608ADB}">
              <a16:predDERef xmlns:a16="http://schemas.microsoft.com/office/drawing/2014/main" pred="{1DDDC35D-79DC-FE8D-E36B-A215903DCB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775" t="3427" r="29633" b="3466"/>
        <a:stretch>
          <a:fillRect/>
        </a:stretch>
      </xdr:blipFill>
      <xdr:spPr bwMode="auto">
        <a:xfrm>
          <a:off x="22031324" y="9077325"/>
          <a:ext cx="4762501" cy="440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892549</xdr:colOff>
      <xdr:row>1</xdr:row>
      <xdr:rowOff>108696</xdr:rowOff>
    </xdr:from>
    <xdr:to>
      <xdr:col>22</xdr:col>
      <xdr:colOff>894230</xdr:colOff>
      <xdr:row>19</xdr:row>
      <xdr:rowOff>179294</xdr:rowOff>
    </xdr:to>
    <xdr:pic>
      <xdr:nvPicPr>
        <xdr:cNvPr id="3" name="Picture 10" descr="Hospital_FloorPlan_Zoning_Level3_Mar_9_2011.gif">
          <a:extLst>
            <a:ext uri="{FF2B5EF4-FFF2-40B4-BE49-F238E27FC236}">
              <a16:creationId xmlns:a16="http://schemas.microsoft.com/office/drawing/2014/main" id="{942B02D0-F8BF-440B-9F63-9BD38FA45D98}"/>
            </a:ext>
            <a:ext uri="{147F2762-F138-4A5C-976F-8EAC2B608ADB}">
              <a16:predDERef xmlns:a16="http://schemas.microsoft.com/office/drawing/2014/main" pred="{AA1E4D07-5B8F-4583-BB8E-FE035E1E388C}"/>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914" t="2313" r="29080" b="2215"/>
        <a:stretch>
          <a:fillRect/>
        </a:stretch>
      </xdr:blipFill>
      <xdr:spPr bwMode="auto">
        <a:xfrm>
          <a:off x="26856578" y="433667"/>
          <a:ext cx="4765862" cy="44296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874059</xdr:colOff>
      <xdr:row>19</xdr:row>
      <xdr:rowOff>190499</xdr:rowOff>
    </xdr:from>
    <xdr:to>
      <xdr:col>22</xdr:col>
      <xdr:colOff>939613</xdr:colOff>
      <xdr:row>34</xdr:row>
      <xdr:rowOff>196743</xdr:rowOff>
    </xdr:to>
    <xdr:pic>
      <xdr:nvPicPr>
        <xdr:cNvPr id="5" name="Picture 11" descr="Hospital_FloorPlan_Zoning_Level4_Mar_9_2011.gif">
          <a:extLst>
            <a:ext uri="{FF2B5EF4-FFF2-40B4-BE49-F238E27FC236}">
              <a16:creationId xmlns:a16="http://schemas.microsoft.com/office/drawing/2014/main" id="{09E02D01-95A4-480E-A501-952B75FA6CB3}"/>
            </a:ext>
            <a:ext uri="{147F2762-F138-4A5C-976F-8EAC2B608ADB}">
              <a16:predDERef xmlns:a16="http://schemas.microsoft.com/office/drawing/2014/main" pred="{942B02D0-F8BF-440B-9F63-9BD38FA45D98}"/>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3786" t="2094" r="28190" b="1825"/>
        <a:stretch>
          <a:fillRect/>
        </a:stretch>
      </xdr:blipFill>
      <xdr:spPr bwMode="auto">
        <a:xfrm>
          <a:off x="26838088" y="4874558"/>
          <a:ext cx="4829735" cy="4448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942094</xdr:colOff>
      <xdr:row>36</xdr:row>
      <xdr:rowOff>71238</xdr:rowOff>
    </xdr:from>
    <xdr:to>
      <xdr:col>22</xdr:col>
      <xdr:colOff>895590</xdr:colOff>
      <xdr:row>56</xdr:row>
      <xdr:rowOff>27214</xdr:rowOff>
    </xdr:to>
    <xdr:pic>
      <xdr:nvPicPr>
        <xdr:cNvPr id="6" name="Picture 12" descr="Hospital_FloorPlan_Zoning_Level5_Mar_9_2011.gif">
          <a:extLst>
            <a:ext uri="{FF2B5EF4-FFF2-40B4-BE49-F238E27FC236}">
              <a16:creationId xmlns:a16="http://schemas.microsoft.com/office/drawing/2014/main" id="{9A0D78F0-5082-4784-B9AD-0CD33B96363E}"/>
            </a:ext>
            <a:ext uri="{147F2762-F138-4A5C-976F-8EAC2B608ADB}">
              <a16:predDERef xmlns:a16="http://schemas.microsoft.com/office/drawing/2014/main" pred="{09E02D01-95A4-480E-A501-952B75FA6CB3}"/>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3926" t="2319" r="28852" b="1893"/>
        <a:stretch>
          <a:fillRect/>
        </a:stretch>
      </xdr:blipFill>
      <xdr:spPr bwMode="auto">
        <a:xfrm>
          <a:off x="26904523" y="9079167"/>
          <a:ext cx="4720078" cy="4310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19050</xdr:colOff>
      <xdr:row>19</xdr:row>
      <xdr:rowOff>200025</xdr:rowOff>
    </xdr:from>
    <xdr:to>
      <xdr:col>18</xdr:col>
      <xdr:colOff>457201</xdr:colOff>
      <xdr:row>35</xdr:row>
      <xdr:rowOff>6804</xdr:rowOff>
    </xdr:to>
    <xdr:pic>
      <xdr:nvPicPr>
        <xdr:cNvPr id="9" name="Picture 8" descr="Hospital_FloorPlan_Zoning_Level1_Mar_9_2011.gif">
          <a:extLst>
            <a:ext uri="{FF2B5EF4-FFF2-40B4-BE49-F238E27FC236}">
              <a16:creationId xmlns:a16="http://schemas.microsoft.com/office/drawing/2014/main" id="{B0C09557-6173-4345-8B7B-9FE05765A0DC}"/>
            </a:ext>
            <a:ext uri="{147F2762-F138-4A5C-976F-8EAC2B608ADB}">
              <a16:predDERef xmlns:a16="http://schemas.microsoft.com/office/drawing/2014/main" pred="{656208E7-2006-4328-9C35-71CA11B820E1}"/>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4120" t="3642" r="29380" b="3186"/>
        <a:stretch>
          <a:fillRect/>
        </a:stretch>
      </xdr:blipFill>
      <xdr:spPr bwMode="auto">
        <a:xfrm>
          <a:off x="21964650" y="4800600"/>
          <a:ext cx="4829176" cy="439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70</xdr:row>
      <xdr:rowOff>120852</xdr:rowOff>
    </xdr:from>
    <xdr:to>
      <xdr:col>2</xdr:col>
      <xdr:colOff>1143000</xdr:colOff>
      <xdr:row>88</xdr:row>
      <xdr:rowOff>129944</xdr:rowOff>
    </xdr:to>
    <xdr:pic>
      <xdr:nvPicPr>
        <xdr:cNvPr id="10" name="Picture 9">
          <a:extLst>
            <a:ext uri="{FF2B5EF4-FFF2-40B4-BE49-F238E27FC236}">
              <a16:creationId xmlns:a16="http://schemas.microsoft.com/office/drawing/2014/main" id="{FEC288C6-D9F6-8BFC-D7B3-885D81F0B969}"/>
            </a:ext>
          </a:extLst>
        </xdr:cNvPr>
        <xdr:cNvPicPr>
          <a:picLocks noChangeAspect="1"/>
        </xdr:cNvPicPr>
      </xdr:nvPicPr>
      <xdr:blipFill>
        <a:blip xmlns:r="http://schemas.openxmlformats.org/officeDocument/2006/relationships" r:embed="rId6"/>
        <a:stretch>
          <a:fillRect/>
        </a:stretch>
      </xdr:blipFill>
      <xdr:spPr>
        <a:xfrm>
          <a:off x="0" y="14979852"/>
          <a:ext cx="5486400" cy="2775151"/>
        </a:xfrm>
        <a:prstGeom prst="rect">
          <a:avLst/>
        </a:prstGeom>
      </xdr:spPr>
    </xdr:pic>
    <xdr:clientData/>
  </xdr:twoCellAnchor>
  <xdr:twoCellAnchor editAs="oneCell">
    <xdr:from>
      <xdr:col>15</xdr:col>
      <xdr:colOff>22411</xdr:colOff>
      <xdr:row>1</xdr:row>
      <xdr:rowOff>113738</xdr:rowOff>
    </xdr:from>
    <xdr:to>
      <xdr:col>18</xdr:col>
      <xdr:colOff>465909</xdr:colOff>
      <xdr:row>20</xdr:row>
      <xdr:rowOff>11207</xdr:rowOff>
    </xdr:to>
    <xdr:pic>
      <xdr:nvPicPr>
        <xdr:cNvPr id="12" name="Picture 11">
          <a:extLst>
            <a:ext uri="{FF2B5EF4-FFF2-40B4-BE49-F238E27FC236}">
              <a16:creationId xmlns:a16="http://schemas.microsoft.com/office/drawing/2014/main" id="{4B9C8638-F4DA-3BB7-E4BB-BF11A1B58C66}"/>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4194" t="3542" r="39060" b="4483"/>
        <a:stretch>
          <a:fillRect/>
        </a:stretch>
      </xdr:blipFill>
      <xdr:spPr>
        <a:xfrm>
          <a:off x="21963529" y="438709"/>
          <a:ext cx="4837884" cy="44806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40216</xdr:colOff>
      <xdr:row>79</xdr:row>
      <xdr:rowOff>168486</xdr:rowOff>
    </xdr:from>
    <xdr:to>
      <xdr:col>2</xdr:col>
      <xdr:colOff>91440</xdr:colOff>
      <xdr:row>121</xdr:row>
      <xdr:rowOff>22012</xdr:rowOff>
    </xdr:to>
    <xdr:pic>
      <xdr:nvPicPr>
        <xdr:cNvPr id="11" name="Picture 2">
          <a:extLst>
            <a:ext uri="{FF2B5EF4-FFF2-40B4-BE49-F238E27FC236}">
              <a16:creationId xmlns:a16="http://schemas.microsoft.com/office/drawing/2014/main" id="{A709DE88-FA16-9D6B-5A49-5AC043EAF7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216" y="15006319"/>
          <a:ext cx="5960534" cy="7473527"/>
        </a:xfrm>
        <a:prstGeom prst="rect">
          <a:avLst/>
        </a:prstGeom>
      </xdr:spPr>
    </xdr:pic>
    <xdr:clientData/>
  </xdr:twoCellAnchor>
  <xdr:twoCellAnchor>
    <xdr:from>
      <xdr:col>2</xdr:col>
      <xdr:colOff>234606</xdr:colOff>
      <xdr:row>79</xdr:row>
      <xdr:rowOff>77216</xdr:rowOff>
    </xdr:from>
    <xdr:to>
      <xdr:col>5</xdr:col>
      <xdr:colOff>857823</xdr:colOff>
      <xdr:row>120</xdr:row>
      <xdr:rowOff>57681</xdr:rowOff>
    </xdr:to>
    <xdr:pic>
      <xdr:nvPicPr>
        <xdr:cNvPr id="12" name="Picture 4">
          <a:extLst>
            <a:ext uri="{FF2B5EF4-FFF2-40B4-BE49-F238E27FC236}">
              <a16:creationId xmlns:a16="http://schemas.microsoft.com/office/drawing/2014/main" id="{3CED911C-4EC7-F1BA-06B8-8ABFBD856A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16999" y="17263037"/>
          <a:ext cx="5034108" cy="7225456"/>
        </a:xfrm>
        <a:prstGeom prst="rect">
          <a:avLst/>
        </a:prstGeom>
      </xdr:spPr>
    </xdr:pic>
    <xdr:clientData/>
  </xdr:twoCellAnchor>
  <xdr:twoCellAnchor>
    <xdr:from>
      <xdr:col>5</xdr:col>
      <xdr:colOff>1253649</xdr:colOff>
      <xdr:row>79</xdr:row>
      <xdr:rowOff>15861</xdr:rowOff>
    </xdr:from>
    <xdr:to>
      <xdr:col>9</xdr:col>
      <xdr:colOff>195373</xdr:colOff>
      <xdr:row>119</xdr:row>
      <xdr:rowOff>135350</xdr:rowOff>
    </xdr:to>
    <xdr:pic>
      <xdr:nvPicPr>
        <xdr:cNvPr id="13" name="Picture 6">
          <a:extLst>
            <a:ext uri="{FF2B5EF4-FFF2-40B4-BE49-F238E27FC236}">
              <a16:creationId xmlns:a16="http://schemas.microsoft.com/office/drawing/2014/main" id="{FFE12CE0-1E7F-E2B1-49B5-C6C53E8829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28590" y="20825185"/>
          <a:ext cx="6640165" cy="7291254"/>
        </a:xfrm>
        <a:prstGeom prst="rect">
          <a:avLst/>
        </a:prstGeom>
      </xdr:spPr>
    </xdr:pic>
    <xdr:clientData/>
  </xdr:twoCellAnchor>
  <xdr:twoCellAnchor editAs="oneCell">
    <xdr:from>
      <xdr:col>9</xdr:col>
      <xdr:colOff>549822</xdr:colOff>
      <xdr:row>79</xdr:row>
      <xdr:rowOff>21672</xdr:rowOff>
    </xdr:from>
    <xdr:to>
      <xdr:col>14</xdr:col>
      <xdr:colOff>495261</xdr:colOff>
      <xdr:row>150</xdr:row>
      <xdr:rowOff>53170</xdr:rowOff>
    </xdr:to>
    <xdr:pic>
      <xdr:nvPicPr>
        <xdr:cNvPr id="14" name="Picture 8">
          <a:extLst>
            <a:ext uri="{FF2B5EF4-FFF2-40B4-BE49-F238E27FC236}">
              <a16:creationId xmlns:a16="http://schemas.microsoft.com/office/drawing/2014/main" id="{4F0ADCEC-5169-47D4-CBF2-32B3317A806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423204" y="20830996"/>
          <a:ext cx="8798086" cy="50734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39</xdr:row>
      <xdr:rowOff>9525</xdr:rowOff>
    </xdr:from>
    <xdr:to>
      <xdr:col>6</xdr:col>
      <xdr:colOff>95250</xdr:colOff>
      <xdr:row>47</xdr:row>
      <xdr:rowOff>38100</xdr:rowOff>
    </xdr:to>
    <xdr:pic>
      <xdr:nvPicPr>
        <xdr:cNvPr id="2" name="Picture 1">
          <a:extLst>
            <a:ext uri="{FF2B5EF4-FFF2-40B4-BE49-F238E27FC236}">
              <a16:creationId xmlns:a16="http://schemas.microsoft.com/office/drawing/2014/main" id="{482379C0-10C7-4BFA-B4E5-C753DE6F6821}"/>
            </a:ext>
          </a:extLst>
        </xdr:cNvPr>
        <xdr:cNvPicPr>
          <a:picLocks noChangeAspect="1"/>
        </xdr:cNvPicPr>
      </xdr:nvPicPr>
      <xdr:blipFill>
        <a:blip xmlns:r="http://schemas.openxmlformats.org/officeDocument/2006/relationships" r:embed="rId1"/>
        <a:stretch>
          <a:fillRect/>
        </a:stretch>
      </xdr:blipFill>
      <xdr:spPr>
        <a:xfrm>
          <a:off x="0" y="10620375"/>
          <a:ext cx="6267450" cy="15525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923925</xdr:colOff>
      <xdr:row>143</xdr:row>
      <xdr:rowOff>167640</xdr:rowOff>
    </xdr:from>
    <xdr:to>
      <xdr:col>8</xdr:col>
      <xdr:colOff>339173</xdr:colOff>
      <xdr:row>156</xdr:row>
      <xdr:rowOff>169083</xdr:rowOff>
    </xdr:to>
    <xdr:pic>
      <xdr:nvPicPr>
        <xdr:cNvPr id="2" name="Picture 1">
          <a:extLst>
            <a:ext uri="{FF2B5EF4-FFF2-40B4-BE49-F238E27FC236}">
              <a16:creationId xmlns:a16="http://schemas.microsoft.com/office/drawing/2014/main" id="{BB6C80E9-7DE9-43B1-B9EF-091EEF5B68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95900" y="37781865"/>
          <a:ext cx="8559248" cy="2477943"/>
        </a:xfrm>
        <a:prstGeom prst="rect">
          <a:avLst/>
        </a:prstGeom>
      </xdr:spPr>
    </xdr:pic>
    <xdr:clientData/>
  </xdr:twoCellAnchor>
  <xdr:twoCellAnchor>
    <xdr:from>
      <xdr:col>0</xdr:col>
      <xdr:colOff>203340</xdr:colOff>
      <xdr:row>144</xdr:row>
      <xdr:rowOff>12840</xdr:rowOff>
    </xdr:from>
    <xdr:to>
      <xdr:col>2</xdr:col>
      <xdr:colOff>817220</xdr:colOff>
      <xdr:row>175</xdr:row>
      <xdr:rowOff>20973</xdr:rowOff>
    </xdr:to>
    <xdr:pic>
      <xdr:nvPicPr>
        <xdr:cNvPr id="3" name="Picture 2">
          <a:extLst>
            <a:ext uri="{FF2B5EF4-FFF2-40B4-BE49-F238E27FC236}">
              <a16:creationId xmlns:a16="http://schemas.microsoft.com/office/drawing/2014/main" id="{0A174DAD-8F41-4D4A-8287-2F1DF719DB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3340" y="37817565"/>
          <a:ext cx="4985855" cy="591363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29</xdr:col>
      <xdr:colOff>245745</xdr:colOff>
      <xdr:row>3</xdr:row>
      <xdr:rowOff>9857</xdr:rowOff>
    </xdr:from>
    <xdr:to>
      <xdr:col>35</xdr:col>
      <xdr:colOff>609600</xdr:colOff>
      <xdr:row>5</xdr:row>
      <xdr:rowOff>352425</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285750</xdr:colOff>
      <xdr:row>6</xdr:row>
      <xdr:rowOff>180975</xdr:rowOff>
    </xdr:from>
    <xdr:to>
      <xdr:col>36</xdr:col>
      <xdr:colOff>0</xdr:colOff>
      <xdr:row>8</xdr:row>
      <xdr:rowOff>393791</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127635</xdr:colOff>
      <xdr:row>202</xdr:row>
      <xdr:rowOff>57150</xdr:rowOff>
    </xdr:from>
    <xdr:to>
      <xdr:col>36</xdr:col>
      <xdr:colOff>457200</xdr:colOff>
      <xdr:row>205</xdr:row>
      <xdr:rowOff>48986</xdr:rowOff>
    </xdr:to>
    <xdr:graphicFrame macro="">
      <xdr:nvGraphicFramePr>
        <xdr:cNvPr id="14" name="Chart 5">
          <a:extLst>
            <a:ext uri="{FF2B5EF4-FFF2-40B4-BE49-F238E27FC236}">
              <a16:creationId xmlns:a16="http://schemas.microsoft.com/office/drawing/2014/main" id="{4BFFA047-264D-465D-AB1C-FD1D056BC607}"/>
            </a:ext>
            <a:ext uri="{147F2762-F138-4A5C-976F-8EAC2B608ADB}">
              <a16:predDERef xmlns:a16="http://schemas.microsoft.com/office/drawing/2014/main" pred="{6467D4B0-6F0E-43CB-958A-F19CE6AFC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315686</xdr:colOff>
      <xdr:row>15</xdr:row>
      <xdr:rowOff>0</xdr:rowOff>
    </xdr:from>
    <xdr:to>
      <xdr:col>36</xdr:col>
      <xdr:colOff>26126</xdr:colOff>
      <xdr:row>18</xdr:row>
      <xdr:rowOff>0</xdr:rowOff>
    </xdr:to>
    <xdr:graphicFrame macro="">
      <xdr:nvGraphicFramePr>
        <xdr:cNvPr id="3"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4"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361950</xdr:colOff>
      <xdr:row>11</xdr:row>
      <xdr:rowOff>447675</xdr:rowOff>
    </xdr:from>
    <xdr:to>
      <xdr:col>36</xdr:col>
      <xdr:colOff>72390</xdr:colOff>
      <xdr:row>14</xdr:row>
      <xdr:rowOff>447675</xdr:rowOff>
    </xdr:to>
    <xdr:graphicFrame macro="">
      <xdr:nvGraphicFramePr>
        <xdr:cNvPr id="5"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268332</xdr:colOff>
      <xdr:row>111</xdr:row>
      <xdr:rowOff>133894</xdr:rowOff>
    </xdr:from>
    <xdr:to>
      <xdr:col>36</xdr:col>
      <xdr:colOff>190500</xdr:colOff>
      <xdr:row>115</xdr:row>
      <xdr:rowOff>27214</xdr:rowOff>
    </xdr:to>
    <xdr:graphicFrame macro="">
      <xdr:nvGraphicFramePr>
        <xdr:cNvPr id="6" name="Chart 5">
          <a:extLst>
            <a:ext uri="{FF2B5EF4-FFF2-40B4-BE49-F238E27FC236}">
              <a16:creationId xmlns:a16="http://schemas.microsoft.com/office/drawing/2014/main" id="{0D481C11-A4CB-43EE-8D22-6D2AED2860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274047</xdr:colOff>
      <xdr:row>115</xdr:row>
      <xdr:rowOff>0</xdr:rowOff>
    </xdr:from>
    <xdr:to>
      <xdr:col>36</xdr:col>
      <xdr:colOff>192405</xdr:colOff>
      <xdr:row>117</xdr:row>
      <xdr:rowOff>462643</xdr:rowOff>
    </xdr:to>
    <xdr:graphicFrame macro="">
      <xdr:nvGraphicFramePr>
        <xdr:cNvPr id="7" name="Chart 6">
          <a:extLst>
            <a:ext uri="{FF2B5EF4-FFF2-40B4-BE49-F238E27FC236}">
              <a16:creationId xmlns:a16="http://schemas.microsoft.com/office/drawing/2014/main" id="{718CAAC3-1467-499D-8DBF-39FEEF6F4D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272143</xdr:colOff>
      <xdr:row>117</xdr:row>
      <xdr:rowOff>476251</xdr:rowOff>
    </xdr:from>
    <xdr:to>
      <xdr:col>36</xdr:col>
      <xdr:colOff>184786</xdr:colOff>
      <xdr:row>120</xdr:row>
      <xdr:rowOff>439239</xdr:rowOff>
    </xdr:to>
    <xdr:graphicFrame macro="">
      <xdr:nvGraphicFramePr>
        <xdr:cNvPr id="8" name="Chart 7">
          <a:extLst>
            <a:ext uri="{FF2B5EF4-FFF2-40B4-BE49-F238E27FC236}">
              <a16:creationId xmlns:a16="http://schemas.microsoft.com/office/drawing/2014/main" id="{A399EDBE-48AF-4B03-B5F6-271A5F53675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245745</xdr:colOff>
      <xdr:row>34</xdr:row>
      <xdr:rowOff>9857</xdr:rowOff>
    </xdr:from>
    <xdr:to>
      <xdr:col>35</xdr:col>
      <xdr:colOff>609600</xdr:colOff>
      <xdr:row>36</xdr:row>
      <xdr:rowOff>352425</xdr:rowOff>
    </xdr:to>
    <xdr:graphicFrame macro="">
      <xdr:nvGraphicFramePr>
        <xdr:cNvPr id="10" name="Chart 5">
          <a:extLst>
            <a:ext uri="{FF2B5EF4-FFF2-40B4-BE49-F238E27FC236}">
              <a16:creationId xmlns:a16="http://schemas.microsoft.com/office/drawing/2014/main" id="{31E462BB-2D31-4960-B007-002BBBDDDE0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285750</xdr:colOff>
      <xdr:row>37</xdr:row>
      <xdr:rowOff>180975</xdr:rowOff>
    </xdr:from>
    <xdr:to>
      <xdr:col>36</xdr:col>
      <xdr:colOff>0</xdr:colOff>
      <xdr:row>39</xdr:row>
      <xdr:rowOff>393791</xdr:rowOff>
    </xdr:to>
    <xdr:graphicFrame macro="">
      <xdr:nvGraphicFramePr>
        <xdr:cNvPr id="11" name="Chart 5">
          <a:extLst>
            <a:ext uri="{FF2B5EF4-FFF2-40B4-BE49-F238E27FC236}">
              <a16:creationId xmlns:a16="http://schemas.microsoft.com/office/drawing/2014/main" id="{9CF83771-1390-4244-AD72-CB2FB619679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315686</xdr:colOff>
      <xdr:row>40</xdr:row>
      <xdr:rowOff>0</xdr:rowOff>
    </xdr:from>
    <xdr:to>
      <xdr:col>36</xdr:col>
      <xdr:colOff>26126</xdr:colOff>
      <xdr:row>43</xdr:row>
      <xdr:rowOff>0</xdr:rowOff>
    </xdr:to>
    <xdr:graphicFrame macro="">
      <xdr:nvGraphicFramePr>
        <xdr:cNvPr id="12" name="Chart 5">
          <a:extLst>
            <a:ext uri="{FF2B5EF4-FFF2-40B4-BE49-F238E27FC236}">
              <a16:creationId xmlns:a16="http://schemas.microsoft.com/office/drawing/2014/main" id="{DE2A9E27-869F-4BB2-9CDE-BEFFD5D977F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315686</xdr:colOff>
      <xdr:row>46</xdr:row>
      <xdr:rowOff>0</xdr:rowOff>
    </xdr:from>
    <xdr:to>
      <xdr:col>36</xdr:col>
      <xdr:colOff>26126</xdr:colOff>
      <xdr:row>49</xdr:row>
      <xdr:rowOff>0</xdr:rowOff>
    </xdr:to>
    <xdr:graphicFrame macro="">
      <xdr:nvGraphicFramePr>
        <xdr:cNvPr id="13" name="Chart 5">
          <a:extLst>
            <a:ext uri="{FF2B5EF4-FFF2-40B4-BE49-F238E27FC236}">
              <a16:creationId xmlns:a16="http://schemas.microsoft.com/office/drawing/2014/main" id="{CD41ECE5-2C2D-41D4-A18B-4DDC6FC9230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361950</xdr:colOff>
      <xdr:row>42</xdr:row>
      <xdr:rowOff>447675</xdr:rowOff>
    </xdr:from>
    <xdr:to>
      <xdr:col>36</xdr:col>
      <xdr:colOff>72390</xdr:colOff>
      <xdr:row>45</xdr:row>
      <xdr:rowOff>447675</xdr:rowOff>
    </xdr:to>
    <xdr:graphicFrame macro="">
      <xdr:nvGraphicFramePr>
        <xdr:cNvPr id="15" name="Chart 5">
          <a:extLst>
            <a:ext uri="{FF2B5EF4-FFF2-40B4-BE49-F238E27FC236}">
              <a16:creationId xmlns:a16="http://schemas.microsoft.com/office/drawing/2014/main" id="{3C7EACA0-E5C1-4DE0-B939-FD376004685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38</xdr:col>
      <xdr:colOff>259976</xdr:colOff>
      <xdr:row>10</xdr:row>
      <xdr:rowOff>170330</xdr:rowOff>
    </xdr:from>
    <xdr:to>
      <xdr:col>50</xdr:col>
      <xdr:colOff>44823</xdr:colOff>
      <xdr:row>18</xdr:row>
      <xdr:rowOff>98612</xdr:rowOff>
    </xdr:to>
    <xdr:graphicFrame macro="">
      <xdr:nvGraphicFramePr>
        <xdr:cNvPr id="16" name="Chart 5">
          <a:extLst>
            <a:ext uri="{FF2B5EF4-FFF2-40B4-BE49-F238E27FC236}">
              <a16:creationId xmlns:a16="http://schemas.microsoft.com/office/drawing/2014/main" id="{2A1D91DB-1627-4811-A224-A07274F3811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38</xdr:col>
      <xdr:colOff>268942</xdr:colOff>
      <xdr:row>2</xdr:row>
      <xdr:rowOff>304800</xdr:rowOff>
    </xdr:from>
    <xdr:to>
      <xdr:col>50</xdr:col>
      <xdr:colOff>44823</xdr:colOff>
      <xdr:row>10</xdr:row>
      <xdr:rowOff>197223</xdr:rowOff>
    </xdr:to>
    <xdr:graphicFrame macro="">
      <xdr:nvGraphicFramePr>
        <xdr:cNvPr id="17" name="Chart 5">
          <a:extLst>
            <a:ext uri="{FF2B5EF4-FFF2-40B4-BE49-F238E27FC236}">
              <a16:creationId xmlns:a16="http://schemas.microsoft.com/office/drawing/2014/main" id="{03352F15-4A94-4CC0-884C-2D363149F5E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36</xdr:col>
      <xdr:colOff>412376</xdr:colOff>
      <xdr:row>42</xdr:row>
      <xdr:rowOff>71717</xdr:rowOff>
    </xdr:from>
    <xdr:to>
      <xdr:col>47</xdr:col>
      <xdr:colOff>331694</xdr:colOff>
      <xdr:row>49</xdr:row>
      <xdr:rowOff>134470</xdr:rowOff>
    </xdr:to>
    <xdr:graphicFrame macro="">
      <xdr:nvGraphicFramePr>
        <xdr:cNvPr id="20" name="Chart 5">
          <a:extLst>
            <a:ext uri="{FF2B5EF4-FFF2-40B4-BE49-F238E27FC236}">
              <a16:creationId xmlns:a16="http://schemas.microsoft.com/office/drawing/2014/main" id="{51B42EDF-BC91-4C09-82F0-4CAC080425F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245745</xdr:colOff>
      <xdr:row>62</xdr:row>
      <xdr:rowOff>9857</xdr:rowOff>
    </xdr:from>
    <xdr:to>
      <xdr:col>35</xdr:col>
      <xdr:colOff>609600</xdr:colOff>
      <xdr:row>64</xdr:row>
      <xdr:rowOff>352425</xdr:rowOff>
    </xdr:to>
    <xdr:graphicFrame macro="">
      <xdr:nvGraphicFramePr>
        <xdr:cNvPr id="21" name="Chart 5">
          <a:extLst>
            <a:ext uri="{FF2B5EF4-FFF2-40B4-BE49-F238E27FC236}">
              <a16:creationId xmlns:a16="http://schemas.microsoft.com/office/drawing/2014/main" id="{FF0B2742-0D49-45F6-B66C-BE6F8DDA203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285750</xdr:colOff>
      <xdr:row>65</xdr:row>
      <xdr:rowOff>180975</xdr:rowOff>
    </xdr:from>
    <xdr:to>
      <xdr:col>36</xdr:col>
      <xdr:colOff>0</xdr:colOff>
      <xdr:row>67</xdr:row>
      <xdr:rowOff>393791</xdr:rowOff>
    </xdr:to>
    <xdr:graphicFrame macro="">
      <xdr:nvGraphicFramePr>
        <xdr:cNvPr id="22" name="Chart 5">
          <a:extLst>
            <a:ext uri="{FF2B5EF4-FFF2-40B4-BE49-F238E27FC236}">
              <a16:creationId xmlns:a16="http://schemas.microsoft.com/office/drawing/2014/main" id="{0E70A0E9-D0F0-4F1B-994E-9775BF7FF0E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315686</xdr:colOff>
      <xdr:row>68</xdr:row>
      <xdr:rowOff>0</xdr:rowOff>
    </xdr:from>
    <xdr:to>
      <xdr:col>36</xdr:col>
      <xdr:colOff>26126</xdr:colOff>
      <xdr:row>71</xdr:row>
      <xdr:rowOff>0</xdr:rowOff>
    </xdr:to>
    <xdr:graphicFrame macro="">
      <xdr:nvGraphicFramePr>
        <xdr:cNvPr id="23" name="Chart 5">
          <a:extLst>
            <a:ext uri="{FF2B5EF4-FFF2-40B4-BE49-F238E27FC236}">
              <a16:creationId xmlns:a16="http://schemas.microsoft.com/office/drawing/2014/main" id="{336AD118-9EF6-45F5-AD2C-F6A4E2A570B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361950</xdr:colOff>
      <xdr:row>70</xdr:row>
      <xdr:rowOff>447675</xdr:rowOff>
    </xdr:from>
    <xdr:to>
      <xdr:col>36</xdr:col>
      <xdr:colOff>72390</xdr:colOff>
      <xdr:row>73</xdr:row>
      <xdr:rowOff>447675</xdr:rowOff>
    </xdr:to>
    <xdr:graphicFrame macro="">
      <xdr:nvGraphicFramePr>
        <xdr:cNvPr id="25" name="Chart 5">
          <a:extLst>
            <a:ext uri="{FF2B5EF4-FFF2-40B4-BE49-F238E27FC236}">
              <a16:creationId xmlns:a16="http://schemas.microsoft.com/office/drawing/2014/main" id="{CF5482A8-8D83-4B53-9DEC-8D03D6522BC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36</xdr:col>
      <xdr:colOff>412376</xdr:colOff>
      <xdr:row>70</xdr:row>
      <xdr:rowOff>71717</xdr:rowOff>
    </xdr:from>
    <xdr:to>
      <xdr:col>47</xdr:col>
      <xdr:colOff>331694</xdr:colOff>
      <xdr:row>74</xdr:row>
      <xdr:rowOff>134470</xdr:rowOff>
    </xdr:to>
    <xdr:graphicFrame macro="">
      <xdr:nvGraphicFramePr>
        <xdr:cNvPr id="26" name="Chart 5">
          <a:extLst>
            <a:ext uri="{FF2B5EF4-FFF2-40B4-BE49-F238E27FC236}">
              <a16:creationId xmlns:a16="http://schemas.microsoft.com/office/drawing/2014/main" id="{E12065D6-9FE1-444C-A384-214684B171F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245745</xdr:colOff>
      <xdr:row>87</xdr:row>
      <xdr:rowOff>9857</xdr:rowOff>
    </xdr:from>
    <xdr:to>
      <xdr:col>35</xdr:col>
      <xdr:colOff>609600</xdr:colOff>
      <xdr:row>89</xdr:row>
      <xdr:rowOff>352425</xdr:rowOff>
    </xdr:to>
    <xdr:graphicFrame macro="">
      <xdr:nvGraphicFramePr>
        <xdr:cNvPr id="32" name="Chart 5">
          <a:extLst>
            <a:ext uri="{FF2B5EF4-FFF2-40B4-BE49-F238E27FC236}">
              <a16:creationId xmlns:a16="http://schemas.microsoft.com/office/drawing/2014/main" id="{53FDCA16-83A4-4F82-B754-2A6F881680C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29</xdr:col>
      <xdr:colOff>285750</xdr:colOff>
      <xdr:row>90</xdr:row>
      <xdr:rowOff>180975</xdr:rowOff>
    </xdr:from>
    <xdr:to>
      <xdr:col>36</xdr:col>
      <xdr:colOff>0</xdr:colOff>
      <xdr:row>92</xdr:row>
      <xdr:rowOff>393791</xdr:rowOff>
    </xdr:to>
    <xdr:graphicFrame macro="">
      <xdr:nvGraphicFramePr>
        <xdr:cNvPr id="33" name="Chart 5">
          <a:extLst>
            <a:ext uri="{FF2B5EF4-FFF2-40B4-BE49-F238E27FC236}">
              <a16:creationId xmlns:a16="http://schemas.microsoft.com/office/drawing/2014/main" id="{D9870C9D-28FB-4D31-8B96-0518D4F1E49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29</xdr:col>
      <xdr:colOff>315686</xdr:colOff>
      <xdr:row>93</xdr:row>
      <xdr:rowOff>0</xdr:rowOff>
    </xdr:from>
    <xdr:to>
      <xdr:col>36</xdr:col>
      <xdr:colOff>26126</xdr:colOff>
      <xdr:row>96</xdr:row>
      <xdr:rowOff>0</xdr:rowOff>
    </xdr:to>
    <xdr:graphicFrame macro="">
      <xdr:nvGraphicFramePr>
        <xdr:cNvPr id="34" name="Chart 5">
          <a:extLst>
            <a:ext uri="{FF2B5EF4-FFF2-40B4-BE49-F238E27FC236}">
              <a16:creationId xmlns:a16="http://schemas.microsoft.com/office/drawing/2014/main" id="{50925787-8E7D-4BF7-BD24-A27036F161D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29</xdr:col>
      <xdr:colOff>361950</xdr:colOff>
      <xdr:row>95</xdr:row>
      <xdr:rowOff>447675</xdr:rowOff>
    </xdr:from>
    <xdr:to>
      <xdr:col>36</xdr:col>
      <xdr:colOff>72390</xdr:colOff>
      <xdr:row>98</xdr:row>
      <xdr:rowOff>447675</xdr:rowOff>
    </xdr:to>
    <xdr:graphicFrame macro="">
      <xdr:nvGraphicFramePr>
        <xdr:cNvPr id="35" name="Chart 5">
          <a:extLst>
            <a:ext uri="{FF2B5EF4-FFF2-40B4-BE49-F238E27FC236}">
              <a16:creationId xmlns:a16="http://schemas.microsoft.com/office/drawing/2014/main" id="{ABD53B1E-8CFF-4DDA-A54B-5B0313A4A55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36</xdr:col>
      <xdr:colOff>412376</xdr:colOff>
      <xdr:row>95</xdr:row>
      <xdr:rowOff>71717</xdr:rowOff>
    </xdr:from>
    <xdr:to>
      <xdr:col>47</xdr:col>
      <xdr:colOff>331694</xdr:colOff>
      <xdr:row>99</xdr:row>
      <xdr:rowOff>134470</xdr:rowOff>
    </xdr:to>
    <xdr:graphicFrame macro="">
      <xdr:nvGraphicFramePr>
        <xdr:cNvPr id="36" name="Chart 5">
          <a:extLst>
            <a:ext uri="{FF2B5EF4-FFF2-40B4-BE49-F238E27FC236}">
              <a16:creationId xmlns:a16="http://schemas.microsoft.com/office/drawing/2014/main" id="{8187E544-4DAF-4814-B31F-40AE16C55A6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23</xdr:col>
      <xdr:colOff>327658</xdr:colOff>
      <xdr:row>0</xdr:row>
      <xdr:rowOff>0</xdr:rowOff>
    </xdr:from>
    <xdr:to>
      <xdr:col>40</xdr:col>
      <xdr:colOff>66674</xdr:colOff>
      <xdr:row>16</xdr:row>
      <xdr:rowOff>209550</xdr:rowOff>
    </xdr:to>
    <xdr:graphicFrame macro="">
      <xdr:nvGraphicFramePr>
        <xdr:cNvPr id="7" name="Chart 1">
          <a:extLst>
            <a:ext uri="{FF2B5EF4-FFF2-40B4-BE49-F238E27FC236}">
              <a16:creationId xmlns:a16="http://schemas.microsoft.com/office/drawing/2014/main" id="{435A5768-47F5-9979-90FB-0BC43BC43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393700</xdr:colOff>
      <xdr:row>17</xdr:row>
      <xdr:rowOff>190500</xdr:rowOff>
    </xdr:from>
    <xdr:to>
      <xdr:col>39</xdr:col>
      <xdr:colOff>172659</xdr:colOff>
      <xdr:row>45</xdr:row>
      <xdr:rowOff>146378</xdr:rowOff>
    </xdr:to>
    <xdr:graphicFrame macro="">
      <xdr:nvGraphicFramePr>
        <xdr:cNvPr id="6" name="Chart 2">
          <a:extLst>
            <a:ext uri="{FF2B5EF4-FFF2-40B4-BE49-F238E27FC236}">
              <a16:creationId xmlns:a16="http://schemas.microsoft.com/office/drawing/2014/main" id="{3A6E8217-E86C-4A0B-8DEA-B388FA5D0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itle24stakeholders.com/wp-content/uploads/2017/09/2019-T24-CASE-Report_Fume-Hoods_Final_September-2017.pdf?" TargetMode="External"/><Relationship Id="rId13" Type="http://schemas.openxmlformats.org/officeDocument/2006/relationships/hyperlink" Target="https://up.codes/viewer/california/ca-mechanical-code-2022" TargetMode="External"/><Relationship Id="rId18" Type="http://schemas.openxmlformats.org/officeDocument/2006/relationships/hyperlink" Target="https://www.eia.gov/consumption/commercial/data/2018/" TargetMode="External"/><Relationship Id="rId26" Type="http://schemas.openxmlformats.org/officeDocument/2006/relationships/hyperlink" Target="https://www.grainger.com/category/plumbing/water-heaters/electric-tank-water-heaters" TargetMode="External"/><Relationship Id="rId3" Type="http://schemas.openxmlformats.org/officeDocument/2006/relationships/hyperlink" Target="https://github.com/sound-data/DEER-Prototypes-EnergyPlus" TargetMode="External"/><Relationship Id="rId21" Type="http://schemas.openxmlformats.org/officeDocument/2006/relationships/hyperlink" Target="https://codes.iccsafe.org/codes/united-states/california" TargetMode="External"/><Relationship Id="rId7" Type="http://schemas.openxmlformats.org/officeDocument/2006/relationships/hyperlink" Target="https://www.pnnl.gov/main/publications/external/technical_reports/PNNL-20405.pdf" TargetMode="External"/><Relationship Id="rId12" Type="http://schemas.openxmlformats.org/officeDocument/2006/relationships/hyperlink" Target="https://hcai.ca.gov/" TargetMode="External"/><Relationship Id="rId17" Type="http://schemas.openxmlformats.org/officeDocument/2006/relationships/hyperlink" Target="https://www.ahadata.com/aha-hospital-statistics" TargetMode="External"/><Relationship Id="rId25" Type="http://schemas.openxmlformats.org/officeDocument/2006/relationships/hyperlink" Target="https://www.grainger.com/category/plumbing/water-heaters/gas-tank-water-heaters" TargetMode="External"/><Relationship Id="rId2" Type="http://schemas.openxmlformats.org/officeDocument/2006/relationships/hyperlink" Target="https://www.energycodes.gov/prototype-building-models" TargetMode="External"/><Relationship Id="rId16" Type="http://schemas.openxmlformats.org/officeDocument/2006/relationships/hyperlink" Target="https://www.ashrae.org/technical-resources/aedgs/50-percent-aedg-free-download" TargetMode="External"/><Relationship Id="rId20" Type="http://schemas.openxmlformats.org/officeDocument/2006/relationships/hyperlink" Target="https://codes.iccsafe.org/content/ASHRAE6212022P1" TargetMode="External"/><Relationship Id="rId29" Type="http://schemas.openxmlformats.org/officeDocument/2006/relationships/drawing" Target="../drawings/drawing1.xml"/><Relationship Id="rId1" Type="http://schemas.openxmlformats.org/officeDocument/2006/relationships/hyperlink" Target="https://bees.noresco.com/software2022.html" TargetMode="External"/><Relationship Id="rId6" Type="http://schemas.openxmlformats.org/officeDocument/2006/relationships/hyperlink" Target="https://title24stakeholders.com/wp-content/uploads/2016/10/T24-2019-CASE-Study-Results-Report-Outdoor-Sources_Final_with-Attachments.pdf" TargetMode="External"/><Relationship Id="rId11" Type="http://schemas.openxmlformats.org/officeDocument/2006/relationships/hyperlink" Target="https://www.ashrae.org/technical-resources/bookstore/health-care-facilities-resources" TargetMode="External"/><Relationship Id="rId24" Type="http://schemas.openxmlformats.org/officeDocument/2006/relationships/hyperlink" Target="https://www.energystar.gov/productfinder/product/certified-commercial-water-heaters/results?fuel_filter=Gas&amp;markets_filter=United+States" TargetMode="External"/><Relationship Id="rId5" Type="http://schemas.openxmlformats.org/officeDocument/2006/relationships/hyperlink" Target="https://title24stakeholders.com/wp-content/uploads/2020/10/2022-T24-Final-CASE-Report_Reduce-Infiltration.pdf" TargetMode="External"/><Relationship Id="rId15" Type="http://schemas.openxmlformats.org/officeDocument/2006/relationships/hyperlink" Target="https://idl.be.uw.edu/wp-content/uploads/sites/32/2017/08/Targeting100_FullReport_063010.pdf" TargetMode="External"/><Relationship Id="rId23" Type="http://schemas.openxmlformats.org/officeDocument/2006/relationships/hyperlink" Target="https://www.ashrae.org/technical-resources/standards-and-guidelines/read-only-versions-of-ashrae-standards" TargetMode="External"/><Relationship Id="rId28" Type="http://schemas.openxmlformats.org/officeDocument/2006/relationships/hyperlink" Target="https://www.govinfo.gov/content/pkg/FR-2009-03-23/pdf/FR-2009-03-23.pdf" TargetMode="External"/><Relationship Id="rId10" Type="http://schemas.openxmlformats.org/officeDocument/2006/relationships/hyperlink" Target="https://www.energy.ca.gov/publications/2022/2022-nonresidential-and-multifamily-alternative-calculation-method-reference" TargetMode="External"/><Relationship Id="rId19" Type="http://schemas.openxmlformats.org/officeDocument/2006/relationships/hyperlink" Target="https://www.energy.ca.gov/publications/2023/2022-california-commercial-end-use-survey-ceus-final-report" TargetMode="External"/><Relationship Id="rId4" Type="http://schemas.openxmlformats.org/officeDocument/2006/relationships/hyperlink" Target="https://www.eia.gov/consumption/commercial/" TargetMode="External"/><Relationship Id="rId9"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14" Type="http://schemas.openxmlformats.org/officeDocument/2006/relationships/hyperlink" Target="https://www.energy.ca.gov/publications/2022/2022-nonresidential-and-multifamily-alternative-calculation-method-reference" TargetMode="External"/><Relationship Id="rId22" Type="http://schemas.openxmlformats.org/officeDocument/2006/relationships/hyperlink" Target="https://www.energy.ca.gov/publications/2025/2025-building-energy-efficiency-standards-residential-and-nonresidential" TargetMode="External"/><Relationship Id="rId27" Type="http://schemas.openxmlformats.org/officeDocument/2006/relationships/hyperlink" Target="https://www.thefreelibrary.com/Determining+Vintage+Bins+for+Prototype+Development%3a+An+Analysis+of...-a0879271125"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69"/>
  <sheetViews>
    <sheetView zoomScale="85" zoomScaleNormal="85" workbookViewId="0">
      <selection sqref="A1:C1"/>
    </sheetView>
  </sheetViews>
  <sheetFormatPr defaultColWidth="9.33203125" defaultRowHeight="13.2" x14ac:dyDescent="0.25"/>
  <cols>
    <col min="1" max="1" width="14.6640625" style="3" customWidth="1"/>
    <col min="2" max="2" width="83.6640625" style="3" customWidth="1"/>
    <col min="3" max="3" width="61.33203125" style="3" customWidth="1"/>
    <col min="4" max="4" width="9.33203125" style="3"/>
    <col min="5" max="5" width="21.6640625" style="3" customWidth="1"/>
    <col min="6" max="6" width="10.6640625" style="3" customWidth="1"/>
    <col min="7" max="7" width="9.6640625" style="3" customWidth="1"/>
    <col min="8" max="8" width="9.6640625" style="3" bestFit="1" customWidth="1"/>
    <col min="9" max="16384" width="9.33203125" style="3"/>
  </cols>
  <sheetData>
    <row r="1" spans="1:4" ht="20.399999999999999" customHeight="1" x14ac:dyDescent="0.25">
      <c r="A1" s="799" t="s">
        <v>0</v>
      </c>
      <c r="B1" s="799"/>
      <c r="C1" s="799"/>
    </row>
    <row r="2" spans="1:4" ht="13.2" customHeight="1" x14ac:dyDescent="0.25">
      <c r="A2" s="798" t="s">
        <v>1</v>
      </c>
      <c r="B2" s="3" t="s">
        <v>2</v>
      </c>
    </row>
    <row r="3" spans="1:4" ht="13.2" customHeight="1" x14ac:dyDescent="0.25">
      <c r="A3" s="798"/>
      <c r="B3" s="3" t="s">
        <v>3</v>
      </c>
      <c r="C3" s="503" t="s">
        <v>4</v>
      </c>
      <c r="D3" s="3" t="s">
        <v>5</v>
      </c>
    </row>
    <row r="4" spans="1:4" ht="13.2" customHeight="1" x14ac:dyDescent="0.25">
      <c r="A4" s="798"/>
      <c r="B4" s="3" t="s">
        <v>6</v>
      </c>
      <c r="C4" s="503" t="s">
        <v>7</v>
      </c>
      <c r="D4" s="3" t="s">
        <v>5</v>
      </c>
    </row>
    <row r="5" spans="1:4" x14ac:dyDescent="0.25">
      <c r="A5" s="798"/>
      <c r="B5" s="3" t="s">
        <v>8</v>
      </c>
      <c r="C5" s="503" t="s">
        <v>9</v>
      </c>
      <c r="D5" s="3" t="s">
        <v>5</v>
      </c>
    </row>
    <row r="6" spans="1:4" x14ac:dyDescent="0.25">
      <c r="A6" s="798"/>
      <c r="D6" s="3" t="s">
        <v>5</v>
      </c>
    </row>
    <row r="7" spans="1:4" x14ac:dyDescent="0.25">
      <c r="A7" s="798" t="s">
        <v>10</v>
      </c>
      <c r="B7" s="3" t="s">
        <v>11</v>
      </c>
      <c r="C7" s="532" t="s">
        <v>12</v>
      </c>
      <c r="D7" s="3" t="s">
        <v>5</v>
      </c>
    </row>
    <row r="8" spans="1:4" x14ac:dyDescent="0.25">
      <c r="A8" s="798"/>
      <c r="B8" s="3" t="s">
        <v>13</v>
      </c>
      <c r="C8" s="532" t="s">
        <v>14</v>
      </c>
      <c r="D8" s="3" t="s">
        <v>5</v>
      </c>
    </row>
    <row r="9" spans="1:4" x14ac:dyDescent="0.25">
      <c r="A9" s="798"/>
      <c r="B9" s="3" t="s">
        <v>15</v>
      </c>
      <c r="C9" s="532" t="s">
        <v>16</v>
      </c>
      <c r="D9" s="3" t="s">
        <v>5</v>
      </c>
    </row>
    <row r="10" spans="1:4" x14ac:dyDescent="0.25">
      <c r="A10" s="798"/>
      <c r="C10" s="532"/>
      <c r="D10" s="3" t="s">
        <v>5</v>
      </c>
    </row>
    <row r="11" spans="1:4" ht="12.75" customHeight="1" x14ac:dyDescent="0.25">
      <c r="A11" s="804" t="s">
        <v>17</v>
      </c>
      <c r="B11" s="806" t="s">
        <v>18</v>
      </c>
      <c r="C11" s="505" t="s">
        <v>19</v>
      </c>
      <c r="D11" s="502">
        <v>2025</v>
      </c>
    </row>
    <row r="12" spans="1:4" ht="12.75" customHeight="1" x14ac:dyDescent="0.25">
      <c r="A12" s="804"/>
      <c r="B12" s="806"/>
      <c r="C12" s="505" t="s">
        <v>20</v>
      </c>
      <c r="D12" s="3" t="s">
        <v>21</v>
      </c>
    </row>
    <row r="13" spans="1:4" x14ac:dyDescent="0.25">
      <c r="A13" s="804"/>
      <c r="B13" s="3" t="s">
        <v>22</v>
      </c>
      <c r="C13" s="504" t="s">
        <v>23</v>
      </c>
      <c r="D13" s="3" t="s">
        <v>5</v>
      </c>
    </row>
    <row r="14" spans="1:4" x14ac:dyDescent="0.25">
      <c r="A14" s="804"/>
      <c r="B14" s="497" t="s">
        <v>24</v>
      </c>
      <c r="C14" s="532" t="s">
        <v>25</v>
      </c>
      <c r="D14" s="3" t="s">
        <v>5</v>
      </c>
    </row>
    <row r="15" spans="1:4" ht="12.75" customHeight="1" x14ac:dyDescent="0.25">
      <c r="A15" s="804"/>
      <c r="B15" s="535" t="s">
        <v>26</v>
      </c>
      <c r="C15" s="506" t="s">
        <v>27</v>
      </c>
      <c r="D15" s="3" t="s">
        <v>5</v>
      </c>
    </row>
    <row r="16" spans="1:4" ht="12.75" customHeight="1" x14ac:dyDescent="0.25">
      <c r="A16" s="804"/>
      <c r="B16" s="497" t="s">
        <v>28</v>
      </c>
      <c r="C16" s="533" t="s">
        <v>29</v>
      </c>
      <c r="D16" s="3" t="s">
        <v>5</v>
      </c>
    </row>
    <row r="17" spans="1:4" ht="12.75" customHeight="1" x14ac:dyDescent="0.25">
      <c r="A17" s="804"/>
      <c r="B17" s="458" t="s">
        <v>30</v>
      </c>
      <c r="C17" s="532" t="s">
        <v>31</v>
      </c>
      <c r="D17" s="3" t="s">
        <v>5</v>
      </c>
    </row>
    <row r="18" spans="1:4" ht="12.75" customHeight="1" x14ac:dyDescent="0.25">
      <c r="A18" s="804"/>
      <c r="B18" s="458" t="s">
        <v>32</v>
      </c>
      <c r="C18" s="532" t="s">
        <v>33</v>
      </c>
      <c r="D18" s="3" t="s">
        <v>5</v>
      </c>
    </row>
    <row r="19" spans="1:4" ht="12.75" customHeight="1" x14ac:dyDescent="0.25">
      <c r="A19" s="804"/>
      <c r="B19" s="458" t="s">
        <v>34</v>
      </c>
      <c r="C19" s="532" t="s">
        <v>35</v>
      </c>
      <c r="D19" s="3" t="s">
        <v>5</v>
      </c>
    </row>
    <row r="20" spans="1:4" ht="14.25" customHeight="1" x14ac:dyDescent="0.25">
      <c r="A20" s="804"/>
      <c r="C20" s="532"/>
      <c r="D20" s="3" t="s">
        <v>5</v>
      </c>
    </row>
    <row r="21" spans="1:4" ht="14.25" customHeight="1" x14ac:dyDescent="0.25">
      <c r="A21" s="805" t="s">
        <v>36</v>
      </c>
      <c r="B21" s="3" t="s">
        <v>37</v>
      </c>
      <c r="C21" s="532" t="s">
        <v>38</v>
      </c>
      <c r="D21" s="3" t="s">
        <v>5</v>
      </c>
    </row>
    <row r="22" spans="1:4" ht="14.25" customHeight="1" x14ac:dyDescent="0.25">
      <c r="A22" s="805"/>
      <c r="B22" s="501" t="s">
        <v>39</v>
      </c>
      <c r="C22" s="532" t="s">
        <v>38</v>
      </c>
      <c r="D22" s="3" t="s">
        <v>5</v>
      </c>
    </row>
    <row r="23" spans="1:4" ht="13.5" customHeight="1" x14ac:dyDescent="0.25">
      <c r="A23" s="805"/>
      <c r="B23" s="106" t="s">
        <v>40</v>
      </c>
      <c r="C23" s="532" t="s">
        <v>41</v>
      </c>
      <c r="D23" s="3" t="s">
        <v>5</v>
      </c>
    </row>
    <row r="24" spans="1:4" ht="13.5" customHeight="1" x14ac:dyDescent="0.25">
      <c r="A24" s="805"/>
      <c r="B24" s="497" t="s">
        <v>42</v>
      </c>
      <c r="C24" s="532" t="s">
        <v>43</v>
      </c>
      <c r="D24" s="3" t="s">
        <v>5</v>
      </c>
    </row>
    <row r="25" spans="1:4" ht="14.25" customHeight="1" x14ac:dyDescent="0.25">
      <c r="A25" s="805"/>
      <c r="B25" s="497" t="s">
        <v>44</v>
      </c>
      <c r="C25" s="532" t="s">
        <v>45</v>
      </c>
      <c r="D25" s="3" t="s">
        <v>5</v>
      </c>
    </row>
    <row r="26" spans="1:4" x14ac:dyDescent="0.25">
      <c r="A26" s="805"/>
      <c r="B26" s="497" t="s">
        <v>46</v>
      </c>
      <c r="C26" s="532" t="s">
        <v>47</v>
      </c>
      <c r="D26" s="3" t="s">
        <v>5</v>
      </c>
    </row>
    <row r="27" spans="1:4" ht="13.2" customHeight="1" x14ac:dyDescent="0.25">
      <c r="A27" s="805"/>
      <c r="B27" s="106" t="s">
        <v>48</v>
      </c>
      <c r="C27" s="534" t="s">
        <v>49</v>
      </c>
      <c r="D27" s="497" t="s">
        <v>5</v>
      </c>
    </row>
    <row r="28" spans="1:4" ht="13.2" customHeight="1" x14ac:dyDescent="0.25">
      <c r="A28" s="805"/>
      <c r="B28" s="457" t="s">
        <v>50</v>
      </c>
      <c r="C28" s="534" t="s">
        <v>51</v>
      </c>
      <c r="D28" s="497" t="s">
        <v>5</v>
      </c>
    </row>
    <row r="29" spans="1:4" ht="13.2" customHeight="1" x14ac:dyDescent="0.25">
      <c r="A29" s="805"/>
      <c r="B29" s="457" t="s">
        <v>52</v>
      </c>
      <c r="C29" s="534" t="s">
        <v>53</v>
      </c>
      <c r="D29" s="497" t="s">
        <v>5</v>
      </c>
    </row>
    <row r="30" spans="1:4" ht="13.2" customHeight="1" x14ac:dyDescent="0.25">
      <c r="A30" s="805"/>
      <c r="B30" s="458" t="s">
        <v>54</v>
      </c>
      <c r="C30" s="534" t="s">
        <v>55</v>
      </c>
      <c r="D30" s="497" t="s">
        <v>5</v>
      </c>
    </row>
    <row r="31" spans="1:4" ht="24" customHeight="1" x14ac:dyDescent="0.25">
      <c r="A31" s="805"/>
      <c r="B31" s="457" t="s">
        <v>56</v>
      </c>
      <c r="C31" s="507" t="s">
        <v>57</v>
      </c>
      <c r="D31" s="497" t="s">
        <v>5</v>
      </c>
    </row>
    <row r="32" spans="1:4" x14ac:dyDescent="0.25">
      <c r="A32" s="805"/>
      <c r="B32" s="458" t="s">
        <v>58</v>
      </c>
      <c r="C32" s="504" t="s">
        <v>59</v>
      </c>
      <c r="D32" s="3" t="s">
        <v>5</v>
      </c>
    </row>
    <row r="33" spans="1:4" ht="18.600000000000001" customHeight="1" x14ac:dyDescent="0.25">
      <c r="A33" s="805"/>
      <c r="B33" s="458" t="s">
        <v>60</v>
      </c>
      <c r="C33" s="506" t="s">
        <v>61</v>
      </c>
      <c r="D33" s="3" t="s">
        <v>5</v>
      </c>
    </row>
    <row r="34" spans="1:4" x14ac:dyDescent="0.25">
      <c r="A34" s="805"/>
      <c r="B34" s="458" t="s">
        <v>62</v>
      </c>
      <c r="C34" s="506" t="s">
        <v>63</v>
      </c>
      <c r="D34" s="3" t="s">
        <v>5</v>
      </c>
    </row>
    <row r="35" spans="1:4" x14ac:dyDescent="0.25">
      <c r="A35" s="500"/>
      <c r="C35" s="506"/>
    </row>
    <row r="36" spans="1:4" ht="13.8" x14ac:dyDescent="0.3">
      <c r="A36" s="500"/>
      <c r="C36" s="449"/>
    </row>
    <row r="37" spans="1:4" ht="13.8" x14ac:dyDescent="0.3">
      <c r="A37" s="500"/>
      <c r="C37" s="449"/>
    </row>
    <row r="38" spans="1:4" ht="14.4" customHeight="1" x14ac:dyDescent="0.25">
      <c r="A38" s="801" t="s">
        <v>64</v>
      </c>
      <c r="B38" s="801"/>
      <c r="C38" s="801"/>
    </row>
    <row r="39" spans="1:4" ht="14.4" customHeight="1" x14ac:dyDescent="0.25">
      <c r="C39" s="756"/>
    </row>
    <row r="40" spans="1:4" ht="14.4" customHeight="1" x14ac:dyDescent="0.25">
      <c r="C40" s="756"/>
    </row>
    <row r="41" spans="1:4" ht="14.4" customHeight="1" x14ac:dyDescent="0.25">
      <c r="C41" s="756"/>
    </row>
    <row r="42" spans="1:4" ht="14.4" customHeight="1" x14ac:dyDescent="0.25">
      <c r="C42" s="756"/>
    </row>
    <row r="43" spans="1:4" ht="14.4" customHeight="1" x14ac:dyDescent="0.25">
      <c r="C43" s="756"/>
    </row>
    <row r="44" spans="1:4" ht="14.4" customHeight="1" x14ac:dyDescent="0.25">
      <c r="C44" s="756"/>
    </row>
    <row r="45" spans="1:4" ht="14.4" customHeight="1" x14ac:dyDescent="0.25">
      <c r="C45" s="756"/>
    </row>
    <row r="46" spans="1:4" ht="14.4" customHeight="1" x14ac:dyDescent="0.25">
      <c r="C46" s="756"/>
    </row>
    <row r="47" spans="1:4" ht="14.4" customHeight="1" x14ac:dyDescent="0.25">
      <c r="C47" s="756"/>
    </row>
    <row r="48" spans="1:4" ht="14.4" customHeight="1" x14ac:dyDescent="0.25">
      <c r="C48" s="756"/>
    </row>
    <row r="49" spans="1:8" ht="14.4" customHeight="1" x14ac:dyDescent="0.25">
      <c r="C49" s="756"/>
    </row>
    <row r="50" spans="1:8" ht="14.4" customHeight="1" x14ac:dyDescent="0.25">
      <c r="C50" s="756"/>
    </row>
    <row r="51" spans="1:8" ht="14.4" customHeight="1" x14ac:dyDescent="0.25">
      <c r="B51" s="535" t="s">
        <v>65</v>
      </c>
      <c r="C51" s="756"/>
    </row>
    <row r="52" spans="1:8" ht="19.2" customHeight="1" x14ac:dyDescent="0.25">
      <c r="A52" s="801" t="s">
        <v>66</v>
      </c>
      <c r="B52" s="801"/>
      <c r="C52" s="801"/>
    </row>
    <row r="53" spans="1:8" ht="61.2" customHeight="1" x14ac:dyDescent="0.25">
      <c r="A53" s="751" t="s">
        <v>67</v>
      </c>
      <c r="B53" s="802" t="s">
        <v>68</v>
      </c>
      <c r="C53" s="802"/>
    </row>
    <row r="54" spans="1:8" ht="59.4" customHeight="1" x14ac:dyDescent="0.25">
      <c r="A54" s="752" t="s">
        <v>69</v>
      </c>
      <c r="B54" s="798" t="s">
        <v>70</v>
      </c>
      <c r="C54" s="798"/>
      <c r="E54" s="752"/>
      <c r="F54" s="5"/>
      <c r="G54" s="5"/>
      <c r="H54" s="5"/>
    </row>
    <row r="55" spans="1:8" ht="14.4" x14ac:dyDescent="0.25">
      <c r="A55" s="6" t="s">
        <v>71</v>
      </c>
      <c r="B55" s="803" t="s">
        <v>72</v>
      </c>
      <c r="C55" s="803"/>
      <c r="E55" s="752"/>
      <c r="F55" s="28"/>
      <c r="G55" s="28"/>
      <c r="H55" s="28"/>
    </row>
    <row r="56" spans="1:8" x14ac:dyDescent="0.25">
      <c r="A56" s="6"/>
      <c r="B56" s="800"/>
      <c r="C56" s="800"/>
    </row>
    <row r="57" spans="1:8" ht="14.4" x14ac:dyDescent="0.3">
      <c r="A57" s="6"/>
      <c r="B57" s="800"/>
      <c r="C57" s="800"/>
      <c r="E57"/>
    </row>
    <row r="69" spans="4:4" ht="14.4" x14ac:dyDescent="0.3">
      <c r="D69"/>
    </row>
  </sheetData>
  <mergeCells count="13">
    <mergeCell ref="A7:A10"/>
    <mergeCell ref="A1:C1"/>
    <mergeCell ref="A2:A6"/>
    <mergeCell ref="B57:C57"/>
    <mergeCell ref="A52:C52"/>
    <mergeCell ref="B53:C53"/>
    <mergeCell ref="B54:C54"/>
    <mergeCell ref="B55:C55"/>
    <mergeCell ref="B56:C56"/>
    <mergeCell ref="A11:A20"/>
    <mergeCell ref="A21:A34"/>
    <mergeCell ref="B11:B12"/>
    <mergeCell ref="A38:C38"/>
  </mergeCells>
  <hyperlinks>
    <hyperlink ref="C7" r:id="rId1" xr:uid="{BE11EEF8-3AF7-48F0-A38B-7309CE5A9491}"/>
    <hyperlink ref="C8" r:id="rId2" location="Commercial" xr:uid="{626A4776-C2FA-489E-88C0-BC9C7C8EA36F}"/>
    <hyperlink ref="C9" r:id="rId3" xr:uid="{0DEB00BB-3A26-4527-9ED4-40D17F93A579}"/>
    <hyperlink ref="B55:C55" r:id="rId4" display="https://www.eia.gov/consumption/commercial/" xr:uid="{5E6D77C3-96CB-4399-9543-66C6A513EDAB}"/>
    <hyperlink ref="C23" r:id="rId5" xr:uid="{19C4D150-2626-4B8B-9525-F2E7945A7E87}"/>
    <hyperlink ref="C24" r:id="rId6" xr:uid="{1A9AC3CA-657D-4FD0-8886-B951DC49B996}"/>
    <hyperlink ref="C25" r:id="rId7" xr:uid="{35E8ADC8-EF89-431F-898E-A5D87D42979B}"/>
    <hyperlink ref="C27" r:id="rId8" xr:uid="{C2DB5C82-4F1C-4738-8BC3-2191D21C555F}"/>
    <hyperlink ref="C26" r:id="rId9" display="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xr:uid="{5B95454D-A369-40F1-87DC-E7D763C3477C}"/>
    <hyperlink ref="C22" r:id="rId10" xr:uid="{F9885FFE-336C-4338-9E58-1B5E8B3273C9}"/>
    <hyperlink ref="C17" r:id="rId11" xr:uid="{41446C14-AB74-4EBB-BA60-7F61534F4742}"/>
    <hyperlink ref="C18" r:id="rId12" xr:uid="{DCD207CF-27C9-4E26-B98D-F3E4EC24B67E}"/>
    <hyperlink ref="C19" r:id="rId13" xr:uid="{CE966227-E651-44DB-BF53-5916877C4705}"/>
    <hyperlink ref="C21" r:id="rId14" xr:uid="{8F0DD06A-BC39-47F0-9BDB-1348B27A981A}"/>
    <hyperlink ref="C28" r:id="rId15" xr:uid="{940D1A09-93D7-4D99-B420-41CA659C561B}"/>
    <hyperlink ref="C29" r:id="rId16" xr:uid="{DA0D4247-3CB1-4A0C-9569-24FCF28B5B35}"/>
    <hyperlink ref="C30" r:id="rId17" xr:uid="{3D6807B6-0580-41D7-85E8-95D40D7B13E7}"/>
    <hyperlink ref="C4" r:id="rId18" xr:uid="{97273140-06D3-4088-AE95-E8BCAF8BB5F6}"/>
    <hyperlink ref="C3" r:id="rId19" xr:uid="{CF2874A2-6925-4B96-B43C-9B37EE6771F8}"/>
    <hyperlink ref="C14" r:id="rId20" xr:uid="{A5FD8555-9D66-40AF-ABB6-A053F38D26BD}"/>
    <hyperlink ref="C12" r:id="rId21" xr:uid="{02400740-A90D-430D-845D-201897B2AD46}"/>
    <hyperlink ref="C11" r:id="rId22" xr:uid="{48EB7EB5-6FCA-459B-9EAC-912D25147626}"/>
    <hyperlink ref="C13" r:id="rId23" xr:uid="{144DB35F-9FDB-443F-A12C-DF38AF569FEA}"/>
    <hyperlink ref="C32" r:id="rId24" xr:uid="{B208A437-C0D3-4759-9200-939857E806CD}"/>
    <hyperlink ref="C33" r:id="rId25" xr:uid="{4CE07EE8-E167-47CD-89DA-510BBD6537D7}"/>
    <hyperlink ref="C34" r:id="rId26" xr:uid="{835028DC-C082-439C-9997-DCC20CF806B2}"/>
    <hyperlink ref="C31" r:id="rId27" xr:uid="{0F8845EE-15B5-4178-9808-8B7F0850C721}"/>
    <hyperlink ref="C15" r:id="rId28" xr:uid="{DFFB57B5-44CA-4B71-87EB-B7D48C8AEACA}"/>
  </hyperlinks>
  <pageMargins left="0.7" right="0.7" top="0.75" bottom="0.75" header="0.3" footer="0.3"/>
  <drawing r:id="rId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7"/>
  <sheetViews>
    <sheetView tabSelected="1" zoomScaleNormal="100" workbookViewId="0">
      <selection sqref="A1:C1"/>
    </sheetView>
  </sheetViews>
  <sheetFormatPr defaultColWidth="9.33203125" defaultRowHeight="13.8" x14ac:dyDescent="0.25"/>
  <cols>
    <col min="1" max="1" width="25" style="1" customWidth="1"/>
    <col min="2" max="5" width="44.33203125" style="1" customWidth="1"/>
    <col min="6" max="9" width="8.6640625" style="1" customWidth="1"/>
    <col min="10" max="16384" width="9.33203125" style="1"/>
  </cols>
  <sheetData>
    <row r="1" spans="1:9" ht="17.399999999999999" x14ac:dyDescent="0.25">
      <c r="A1" s="807" t="s">
        <v>863</v>
      </c>
      <c r="B1" s="807"/>
      <c r="C1" s="807"/>
      <c r="D1" s="8"/>
      <c r="E1" s="8"/>
      <c r="F1" s="8"/>
    </row>
    <row r="2" spans="1:9" ht="25.2" customHeight="1" x14ac:dyDescent="0.25">
      <c r="A2" s="808" t="s">
        <v>67</v>
      </c>
      <c r="B2" s="809"/>
      <c r="C2" s="809"/>
      <c r="D2" s="8"/>
      <c r="E2" s="8"/>
      <c r="F2" s="8"/>
    </row>
    <row r="3" spans="1:9" ht="20.399999999999999" customHeight="1" x14ac:dyDescent="0.25">
      <c r="A3" s="14" t="s">
        <v>73</v>
      </c>
      <c r="B3" s="785" t="s">
        <v>74</v>
      </c>
      <c r="C3" s="15" t="s">
        <v>0</v>
      </c>
    </row>
    <row r="4" spans="1:9" ht="16.2" customHeight="1" x14ac:dyDescent="0.25">
      <c r="A4" s="12" t="s">
        <v>75</v>
      </c>
      <c r="B4" s="778" t="s">
        <v>67</v>
      </c>
      <c r="C4" s="12"/>
    </row>
    <row r="5" spans="1:9" ht="23.25" customHeight="1" x14ac:dyDescent="0.25">
      <c r="A5" s="12" t="s">
        <v>76</v>
      </c>
      <c r="B5" s="778" t="s">
        <v>77</v>
      </c>
      <c r="C5" s="12"/>
    </row>
    <row r="6" spans="1:9" ht="23.25" customHeight="1" x14ac:dyDescent="0.25">
      <c r="A6" s="478" t="s">
        <v>78</v>
      </c>
      <c r="B6" s="781" t="s">
        <v>79</v>
      </c>
      <c r="C6" s="12"/>
    </row>
    <row r="7" spans="1:9" ht="107.25" customHeight="1" x14ac:dyDescent="0.25">
      <c r="A7" s="12" t="s">
        <v>80</v>
      </c>
      <c r="B7" s="768" t="s">
        <v>81</v>
      </c>
      <c r="C7" s="489" t="s">
        <v>82</v>
      </c>
      <c r="D7" s="56"/>
    </row>
    <row r="8" spans="1:9" ht="97.2" customHeight="1" x14ac:dyDescent="0.25">
      <c r="A8" s="12" t="s">
        <v>83</v>
      </c>
      <c r="B8" s="778"/>
      <c r="C8" s="13" t="s">
        <v>84</v>
      </c>
      <c r="I8" s="2"/>
    </row>
    <row r="9" spans="1:9" ht="16.2" customHeight="1" x14ac:dyDescent="0.25">
      <c r="A9" s="9" t="s">
        <v>85</v>
      </c>
      <c r="B9" s="10" t="s">
        <v>86</v>
      </c>
      <c r="C9" s="12" t="s">
        <v>87</v>
      </c>
      <c r="D9" s="3"/>
    </row>
    <row r="10" spans="1:9" ht="16.2" customHeight="1" x14ac:dyDescent="0.25">
      <c r="A10" s="9" t="s">
        <v>88</v>
      </c>
      <c r="B10" s="10">
        <v>100</v>
      </c>
      <c r="C10" s="12" t="s">
        <v>89</v>
      </c>
      <c r="D10" s="3"/>
    </row>
    <row r="11" spans="1:9" x14ac:dyDescent="0.25">
      <c r="A11" s="9" t="s">
        <v>90</v>
      </c>
      <c r="B11" s="55">
        <v>1.31</v>
      </c>
      <c r="C11" s="12" t="s">
        <v>87</v>
      </c>
      <c r="D11" s="3"/>
    </row>
    <row r="12" spans="1:9" x14ac:dyDescent="0.25">
      <c r="A12" s="11" t="s">
        <v>91</v>
      </c>
      <c r="B12" s="768" t="s">
        <v>92</v>
      </c>
      <c r="C12" s="12" t="s">
        <v>87</v>
      </c>
      <c r="D12" s="3"/>
    </row>
    <row r="13" spans="1:9" x14ac:dyDescent="0.25">
      <c r="A13" s="11" t="s">
        <v>93</v>
      </c>
      <c r="B13" s="778" t="s">
        <v>94</v>
      </c>
      <c r="C13" s="12" t="s">
        <v>95</v>
      </c>
      <c r="D13" s="3"/>
    </row>
    <row r="14" spans="1:9" ht="26.4" x14ac:dyDescent="0.25">
      <c r="A14" s="453" t="s">
        <v>96</v>
      </c>
      <c r="B14" s="454" t="s">
        <v>97</v>
      </c>
      <c r="C14" s="12" t="s">
        <v>87</v>
      </c>
      <c r="D14" s="108"/>
    </row>
    <row r="15" spans="1:9" ht="66" customHeight="1" x14ac:dyDescent="0.25">
      <c r="A15" s="455" t="s">
        <v>98</v>
      </c>
      <c r="B15" s="456" t="s">
        <v>99</v>
      </c>
      <c r="C15" s="12" t="s">
        <v>100</v>
      </c>
    </row>
    <row r="16" spans="1:9" ht="33.6" customHeight="1" x14ac:dyDescent="0.25">
      <c r="A16" s="9" t="s">
        <v>101</v>
      </c>
      <c r="B16" s="768" t="s">
        <v>102</v>
      </c>
      <c r="C16" s="12" t="s">
        <v>103</v>
      </c>
      <c r="D16" s="536"/>
    </row>
    <row r="17" spans="1:5" ht="16.2" customHeight="1" x14ac:dyDescent="0.25">
      <c r="A17" s="455" t="s">
        <v>104</v>
      </c>
      <c r="B17" s="781" t="s">
        <v>105</v>
      </c>
      <c r="C17" s="12"/>
    </row>
    <row r="18" spans="1:5" x14ac:dyDescent="0.25">
      <c r="A18" s="9" t="s">
        <v>106</v>
      </c>
      <c r="B18" s="768" t="s">
        <v>107</v>
      </c>
      <c r="C18" s="12" t="s">
        <v>108</v>
      </c>
    </row>
    <row r="21" spans="1:5" ht="14.7" customHeight="1" x14ac:dyDescent="0.25">
      <c r="A21" s="109" t="s">
        <v>109</v>
      </c>
      <c r="B21" s="110">
        <v>56720</v>
      </c>
    </row>
    <row r="22" spans="1:5" ht="14.7" customHeight="1" x14ac:dyDescent="0.25">
      <c r="A22" s="109" t="s">
        <v>110</v>
      </c>
      <c r="B22" s="110">
        <v>63203</v>
      </c>
    </row>
    <row r="23" spans="1:5" x14ac:dyDescent="0.25">
      <c r="A23" s="109" t="s">
        <v>111</v>
      </c>
      <c r="B23" s="110">
        <v>40254</v>
      </c>
    </row>
    <row r="24" spans="1:5" ht="14.7" customHeight="1" x14ac:dyDescent="0.25">
      <c r="A24" s="109" t="s">
        <v>112</v>
      </c>
      <c r="B24" s="110">
        <v>6482</v>
      </c>
    </row>
    <row r="25" spans="1:5" ht="14.7" customHeight="1" x14ac:dyDescent="0.25"/>
    <row r="26" spans="1:5" ht="14.4" x14ac:dyDescent="0.25">
      <c r="A26" s="408"/>
      <c r="B26" s="408"/>
      <c r="C26" s="408"/>
      <c r="D26" s="408"/>
      <c r="E26" s="408"/>
    </row>
    <row r="27" spans="1:5" ht="14.4" x14ac:dyDescent="0.25">
      <c r="A27" s="408"/>
      <c r="B27" s="408"/>
      <c r="C27" s="408"/>
      <c r="D27" s="408"/>
      <c r="E27" s="408"/>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A77"/>
  <sheetViews>
    <sheetView zoomScale="70" zoomScaleNormal="70" workbookViewId="0">
      <selection sqref="A1:N1"/>
    </sheetView>
  </sheetViews>
  <sheetFormatPr defaultColWidth="8.6640625" defaultRowHeight="12.75" customHeight="1" x14ac:dyDescent="0.25"/>
  <cols>
    <col min="1" max="1" width="24.88671875" style="501" customWidth="1"/>
    <col min="2" max="2" width="38.88671875" style="501" customWidth="1"/>
    <col min="3" max="3" width="57.88671875" style="501" customWidth="1"/>
    <col min="4" max="4" width="25.88671875" style="501" customWidth="1"/>
    <col min="5" max="5" width="19" style="5" customWidth="1"/>
    <col min="6" max="6" width="14.6640625" style="501" customWidth="1"/>
    <col min="7" max="7" width="12.6640625" style="501" customWidth="1"/>
    <col min="8" max="8" width="12" style="501" bestFit="1" customWidth="1"/>
    <col min="9" max="9" width="11.33203125" style="501" customWidth="1"/>
    <col min="10" max="10" width="13.6640625" style="501" bestFit="1" customWidth="1"/>
    <col min="11" max="11" width="11.33203125" style="501" customWidth="1"/>
    <col min="12" max="12" width="25.88671875" style="501" customWidth="1"/>
    <col min="13" max="13" width="24.88671875" style="3" customWidth="1"/>
    <col min="14" max="14" width="48" style="3" customWidth="1"/>
    <col min="15" max="15" width="12.6640625" style="3" customWidth="1"/>
    <col min="16" max="16" width="25.33203125" style="3" customWidth="1"/>
    <col min="17" max="17" width="22.33203125" style="3" bestFit="1" customWidth="1"/>
    <col min="18" max="18" width="18.33203125" style="3" customWidth="1"/>
    <col min="19" max="19" width="25.6640625" style="3" customWidth="1"/>
    <col min="20" max="20" width="22.6640625" style="3" customWidth="1"/>
    <col min="21" max="21" width="16.33203125" style="3" customWidth="1"/>
    <col min="22" max="22" width="6.6640625" style="3" bestFit="1" customWidth="1"/>
    <col min="23" max="27" width="17.33203125" style="3" customWidth="1"/>
    <col min="28" max="16383" width="8.6640625" style="3"/>
    <col min="16384" max="16384" width="8.6640625" style="3" bestFit="1" customWidth="1"/>
  </cols>
  <sheetData>
    <row r="1" spans="1:27" ht="25.95" customHeight="1" x14ac:dyDescent="0.25">
      <c r="A1" s="813" t="str">
        <f>"Proposed Layout - "&amp;Prototype!A2</f>
        <v>Proposed Layout - Hospital</v>
      </c>
      <c r="B1" s="813"/>
      <c r="C1" s="813"/>
      <c r="D1" s="813"/>
      <c r="E1" s="813"/>
      <c r="F1" s="813"/>
      <c r="G1" s="813"/>
      <c r="H1" s="813"/>
      <c r="I1" s="813"/>
      <c r="J1" s="813"/>
      <c r="K1" s="813"/>
      <c r="L1" s="813"/>
      <c r="M1" s="813"/>
      <c r="N1" s="813"/>
    </row>
    <row r="2" spans="1:27" ht="43.5" customHeight="1" x14ac:dyDescent="0.25">
      <c r="A2" s="575" t="s">
        <v>113</v>
      </c>
      <c r="B2" s="603" t="s">
        <v>114</v>
      </c>
      <c r="C2" s="784" t="s">
        <v>115</v>
      </c>
      <c r="D2" s="784" t="s">
        <v>116</v>
      </c>
      <c r="E2" s="27" t="s">
        <v>117</v>
      </c>
      <c r="F2" s="120" t="s">
        <v>118</v>
      </c>
      <c r="G2" s="27" t="s">
        <v>119</v>
      </c>
      <c r="H2" s="27" t="s">
        <v>120</v>
      </c>
      <c r="I2" s="120" t="s">
        <v>121</v>
      </c>
      <c r="J2" s="26" t="s">
        <v>122</v>
      </c>
      <c r="K2" s="784" t="s">
        <v>123</v>
      </c>
      <c r="L2" s="26" t="s">
        <v>124</v>
      </c>
      <c r="M2" s="26" t="s">
        <v>125</v>
      </c>
      <c r="N2" s="122" t="s">
        <v>66</v>
      </c>
      <c r="P2" s="577"/>
      <c r="Q2" s="578"/>
      <c r="R2" s="578"/>
      <c r="S2" s="578"/>
      <c r="T2" s="578"/>
      <c r="U2" s="578"/>
      <c r="V2" s="578"/>
      <c r="W2" s="578"/>
      <c r="X2" s="578"/>
      <c r="Y2" s="578"/>
      <c r="Z2" s="578"/>
      <c r="AA2" s="579"/>
    </row>
    <row r="3" spans="1:27" ht="17.7" customHeight="1" x14ac:dyDescent="0.25">
      <c r="A3" s="761" t="s">
        <v>67</v>
      </c>
      <c r="B3" s="572" t="s">
        <v>126</v>
      </c>
      <c r="C3" s="589" t="s">
        <v>127</v>
      </c>
      <c r="D3" s="572" t="s">
        <v>128</v>
      </c>
      <c r="E3" s="540" t="s">
        <v>129</v>
      </c>
      <c r="F3" s="62" t="s">
        <v>130</v>
      </c>
      <c r="G3" s="405">
        <f>K3/$K$62</f>
        <v>8.6658962451661103E-2</v>
      </c>
      <c r="H3" s="191">
        <v>20930</v>
      </c>
      <c r="I3" s="16">
        <v>167489</v>
      </c>
      <c r="J3" s="16">
        <v>1</v>
      </c>
      <c r="K3" s="16">
        <f>J3*H3</f>
        <v>20930</v>
      </c>
      <c r="L3" s="416">
        <f>ROUND(H3*M3/1000,0)</f>
        <v>0</v>
      </c>
      <c r="M3" s="417">
        <v>0</v>
      </c>
      <c r="N3" s="124"/>
      <c r="P3" s="580"/>
      <c r="Q3" s="576"/>
      <c r="R3" s="576"/>
      <c r="S3" s="576"/>
      <c r="T3" s="576"/>
      <c r="U3" s="576"/>
      <c r="V3" s="576"/>
      <c r="W3" s="576"/>
      <c r="X3" s="576"/>
      <c r="Y3" s="576"/>
      <c r="Z3" s="576"/>
      <c r="AA3" s="581"/>
    </row>
    <row r="4" spans="1:27" ht="17.7" customHeight="1" x14ac:dyDescent="0.25">
      <c r="A4" s="547" t="s">
        <v>67</v>
      </c>
      <c r="B4" s="572" t="s">
        <v>131</v>
      </c>
      <c r="C4" s="589" t="s">
        <v>132</v>
      </c>
      <c r="D4" s="572" t="s">
        <v>128</v>
      </c>
      <c r="E4" s="750" t="s">
        <v>133</v>
      </c>
      <c r="F4" s="62" t="s">
        <v>130</v>
      </c>
      <c r="G4" s="405">
        <f t="shared" ref="G4:G7" si="0">K4/$K$62</f>
        <v>2.999733315634423E-2</v>
      </c>
      <c r="H4" s="191">
        <v>7245</v>
      </c>
      <c r="I4" s="16">
        <v>57977</v>
      </c>
      <c r="J4" s="16">
        <v>1</v>
      </c>
      <c r="K4" s="16">
        <f>J4*H4</f>
        <v>7245</v>
      </c>
      <c r="L4" s="416">
        <f t="shared" ref="L4:L61" si="1">ROUND(H4*M4/1000,0)</f>
        <v>36</v>
      </c>
      <c r="M4" s="123">
        <v>5</v>
      </c>
      <c r="N4" s="159"/>
      <c r="P4" s="580"/>
      <c r="Q4" s="576"/>
      <c r="R4" s="576"/>
      <c r="S4" s="576"/>
      <c r="T4" s="576"/>
      <c r="U4" s="576"/>
      <c r="V4" s="576"/>
      <c r="W4" s="576"/>
      <c r="X4" s="576"/>
      <c r="Y4" s="576"/>
      <c r="Z4" s="576"/>
      <c r="AA4" s="581"/>
    </row>
    <row r="5" spans="1:27" ht="17.7" customHeight="1" x14ac:dyDescent="0.25">
      <c r="A5" s="547" t="s">
        <v>67</v>
      </c>
      <c r="B5" s="572" t="s">
        <v>134</v>
      </c>
      <c r="C5" s="589" t="s">
        <v>135</v>
      </c>
      <c r="D5" s="572" t="s">
        <v>128</v>
      </c>
      <c r="E5" s="572" t="s">
        <v>133</v>
      </c>
      <c r="F5" s="62" t="s">
        <v>130</v>
      </c>
      <c r="G5" s="405">
        <f t="shared" si="0"/>
        <v>2.4999847839614418E-2</v>
      </c>
      <c r="H5" s="191">
        <v>6038</v>
      </c>
      <c r="I5" s="16">
        <v>48318</v>
      </c>
      <c r="J5" s="16">
        <v>1</v>
      </c>
      <c r="K5" s="16">
        <f t="shared" ref="K5:K7" si="2">J5*H5</f>
        <v>6038</v>
      </c>
      <c r="L5" s="416">
        <f t="shared" si="1"/>
        <v>0</v>
      </c>
      <c r="M5" s="587">
        <v>0</v>
      </c>
      <c r="N5" s="145" t="s">
        <v>136</v>
      </c>
      <c r="P5" s="580"/>
      <c r="Q5" s="576"/>
      <c r="R5" s="576"/>
      <c r="S5" s="576"/>
      <c r="T5" s="576"/>
      <c r="U5" s="576"/>
      <c r="V5" s="576"/>
      <c r="W5" s="576"/>
      <c r="X5" s="576"/>
      <c r="Y5" s="576"/>
      <c r="Z5" s="576"/>
      <c r="AA5" s="581"/>
    </row>
    <row r="6" spans="1:27" ht="17.25" customHeight="1" x14ac:dyDescent="0.25">
      <c r="A6" s="547" t="s">
        <v>67</v>
      </c>
      <c r="B6" s="572" t="s">
        <v>137</v>
      </c>
      <c r="C6" s="589" t="s">
        <v>138</v>
      </c>
      <c r="D6" s="572" t="s">
        <v>139</v>
      </c>
      <c r="E6" s="572" t="s">
        <v>140</v>
      </c>
      <c r="F6" s="62" t="s">
        <v>130</v>
      </c>
      <c r="G6" s="405">
        <f t="shared" si="0"/>
        <v>1.3332148069486325E-2</v>
      </c>
      <c r="H6" s="191">
        <v>3220</v>
      </c>
      <c r="I6" s="16">
        <v>25768</v>
      </c>
      <c r="J6" s="16">
        <v>1</v>
      </c>
      <c r="K6" s="16">
        <f t="shared" si="2"/>
        <v>3220</v>
      </c>
      <c r="L6" s="416">
        <f t="shared" si="1"/>
        <v>16</v>
      </c>
      <c r="M6" s="123">
        <v>5</v>
      </c>
      <c r="N6" s="160"/>
      <c r="P6" s="580"/>
      <c r="Q6" s="576"/>
      <c r="R6" s="576"/>
      <c r="S6" s="576"/>
      <c r="T6" s="576"/>
      <c r="U6" s="576"/>
      <c r="V6" s="576"/>
      <c r="W6" s="576"/>
      <c r="X6" s="576"/>
      <c r="Y6" s="576"/>
      <c r="Z6" s="576"/>
      <c r="AA6" s="581"/>
    </row>
    <row r="7" spans="1:27" ht="17.7" customHeight="1" x14ac:dyDescent="0.25">
      <c r="A7" s="547" t="s">
        <v>67</v>
      </c>
      <c r="B7" s="572" t="s">
        <v>141</v>
      </c>
      <c r="C7" s="589" t="s">
        <v>142</v>
      </c>
      <c r="D7" s="572" t="s">
        <v>128</v>
      </c>
      <c r="E7" s="95" t="s">
        <v>133</v>
      </c>
      <c r="F7" s="62" t="s">
        <v>130</v>
      </c>
      <c r="G7" s="405">
        <f t="shared" si="0"/>
        <v>1.1667699770128093E-2</v>
      </c>
      <c r="H7" s="191">
        <v>2818</v>
      </c>
      <c r="I7" s="16">
        <v>22551</v>
      </c>
      <c r="J7" s="16">
        <v>1</v>
      </c>
      <c r="K7" s="16">
        <f t="shared" si="2"/>
        <v>2818</v>
      </c>
      <c r="L7" s="416">
        <f t="shared" si="1"/>
        <v>14</v>
      </c>
      <c r="M7" s="123">
        <v>5</v>
      </c>
      <c r="N7" s="124"/>
      <c r="P7" s="580"/>
      <c r="Q7" s="576"/>
      <c r="R7" s="576"/>
      <c r="S7" s="576"/>
      <c r="T7" s="576"/>
      <c r="U7" s="576"/>
      <c r="V7" s="576"/>
      <c r="W7" s="576"/>
      <c r="X7" s="576"/>
      <c r="Y7" s="576"/>
      <c r="Z7" s="576"/>
      <c r="AA7" s="581"/>
    </row>
    <row r="8" spans="1:27" ht="17.7" customHeight="1" x14ac:dyDescent="0.25">
      <c r="A8" s="547" t="s">
        <v>67</v>
      </c>
      <c r="B8" s="95" t="s">
        <v>143</v>
      </c>
      <c r="C8" s="588" t="s">
        <v>135</v>
      </c>
      <c r="D8" s="572" t="s">
        <v>144</v>
      </c>
      <c r="E8" s="95" t="s">
        <v>145</v>
      </c>
      <c r="F8" s="62" t="s">
        <v>130</v>
      </c>
      <c r="G8" s="405">
        <f t="shared" ref="G8:G61" si="3">K8/$K$62</f>
        <v>2.5362548513802929E-2</v>
      </c>
      <c r="H8" s="191">
        <v>6125.6</v>
      </c>
      <c r="I8" s="16">
        <v>85784.61</v>
      </c>
      <c r="J8" s="16">
        <v>1</v>
      </c>
      <c r="K8" s="16">
        <f t="shared" ref="K8:K61" si="4">J8*H8</f>
        <v>6125.6</v>
      </c>
      <c r="L8" s="416">
        <f t="shared" si="1"/>
        <v>0</v>
      </c>
      <c r="M8" s="123">
        <v>0</v>
      </c>
      <c r="N8" s="537" t="s">
        <v>136</v>
      </c>
      <c r="P8" s="580"/>
      <c r="Q8" s="576"/>
      <c r="R8" s="576"/>
      <c r="S8" s="576"/>
      <c r="T8" s="576"/>
      <c r="U8" s="576"/>
      <c r="V8" s="576"/>
      <c r="W8" s="576"/>
      <c r="X8" s="576"/>
      <c r="Y8" s="576"/>
      <c r="Z8" s="576"/>
      <c r="AA8" s="581"/>
    </row>
    <row r="9" spans="1:27" ht="17.7" customHeight="1" x14ac:dyDescent="0.25">
      <c r="A9" s="547" t="s">
        <v>67</v>
      </c>
      <c r="B9" s="95" t="s">
        <v>146</v>
      </c>
      <c r="C9" s="588" t="s">
        <v>135</v>
      </c>
      <c r="D9" s="572" t="s">
        <v>144</v>
      </c>
      <c r="E9" s="95" t="s">
        <v>145</v>
      </c>
      <c r="F9" s="62" t="s">
        <v>130</v>
      </c>
      <c r="G9" s="405">
        <f t="shared" si="3"/>
        <v>2.5362548513802929E-2</v>
      </c>
      <c r="H9" s="191">
        <v>6125.6</v>
      </c>
      <c r="I9" s="16">
        <v>85784.61</v>
      </c>
      <c r="J9" s="16">
        <v>1</v>
      </c>
      <c r="K9" s="16">
        <f t="shared" si="4"/>
        <v>6125.6</v>
      </c>
      <c r="L9" s="416">
        <f t="shared" si="1"/>
        <v>0</v>
      </c>
      <c r="M9" s="123">
        <v>0</v>
      </c>
      <c r="N9" s="538" t="s">
        <v>136</v>
      </c>
      <c r="P9" s="580"/>
      <c r="Q9" s="576"/>
      <c r="R9" s="576"/>
      <c r="S9" s="576"/>
      <c r="T9" s="576"/>
      <c r="U9" s="576"/>
      <c r="V9" s="576"/>
      <c r="W9" s="576"/>
      <c r="X9" s="576"/>
      <c r="Y9" s="576"/>
      <c r="Z9" s="576"/>
      <c r="AA9" s="581"/>
    </row>
    <row r="10" spans="1:27" ht="17.7" customHeight="1" x14ac:dyDescent="0.25">
      <c r="A10" s="547" t="s">
        <v>67</v>
      </c>
      <c r="B10" s="95" t="s">
        <v>147</v>
      </c>
      <c r="C10" s="588" t="s">
        <v>135</v>
      </c>
      <c r="D10" s="572" t="s">
        <v>144</v>
      </c>
      <c r="E10" s="95" t="s">
        <v>145</v>
      </c>
      <c r="F10" s="62" t="s">
        <v>130</v>
      </c>
      <c r="G10" s="405">
        <f t="shared" si="3"/>
        <v>2.2360455159535084E-2</v>
      </c>
      <c r="H10" s="191">
        <v>5400.53</v>
      </c>
      <c r="I10" s="16">
        <v>75630.509999999995</v>
      </c>
      <c r="J10" s="16">
        <v>1</v>
      </c>
      <c r="K10" s="16">
        <f t="shared" si="4"/>
        <v>5400.53</v>
      </c>
      <c r="L10" s="416">
        <f t="shared" si="1"/>
        <v>0</v>
      </c>
      <c r="M10" s="123">
        <v>0</v>
      </c>
      <c r="N10" s="538" t="s">
        <v>136</v>
      </c>
      <c r="P10" s="580"/>
      <c r="Q10" s="576"/>
      <c r="R10" s="576"/>
      <c r="S10" s="576"/>
      <c r="T10" s="576"/>
      <c r="U10" s="576"/>
      <c r="V10" s="576"/>
      <c r="W10" s="576"/>
      <c r="X10" s="576"/>
      <c r="Y10" s="576"/>
      <c r="Z10" s="576"/>
      <c r="AA10" s="581"/>
    </row>
    <row r="11" spans="1:27" ht="17.7" customHeight="1" x14ac:dyDescent="0.25">
      <c r="A11" s="547" t="s">
        <v>67</v>
      </c>
      <c r="B11" s="95" t="s">
        <v>148</v>
      </c>
      <c r="C11" s="588" t="s">
        <v>135</v>
      </c>
      <c r="D11" s="572" t="s">
        <v>144</v>
      </c>
      <c r="E11" s="95" t="s">
        <v>145</v>
      </c>
      <c r="F11" s="62" t="s">
        <v>130</v>
      </c>
      <c r="G11" s="405">
        <f t="shared" si="3"/>
        <v>2.525903804742493E-2</v>
      </c>
      <c r="H11" s="191">
        <v>6100.6</v>
      </c>
      <c r="I11" s="16">
        <v>85434.47</v>
      </c>
      <c r="J11" s="16">
        <v>1</v>
      </c>
      <c r="K11" s="16">
        <f t="shared" si="4"/>
        <v>6100.6</v>
      </c>
      <c r="L11" s="416">
        <f t="shared" si="1"/>
        <v>0</v>
      </c>
      <c r="M11" s="123">
        <v>0</v>
      </c>
      <c r="N11" s="538" t="s">
        <v>136</v>
      </c>
      <c r="P11" s="580"/>
      <c r="Q11" s="576"/>
      <c r="R11" s="576"/>
      <c r="S11" s="576"/>
      <c r="T11" s="576"/>
      <c r="U11" s="576"/>
      <c r="V11" s="576"/>
      <c r="W11" s="576"/>
      <c r="X11" s="576"/>
      <c r="Y11" s="576"/>
      <c r="Z11" s="576"/>
      <c r="AA11" s="581"/>
    </row>
    <row r="12" spans="1:27" ht="17.7" customHeight="1" x14ac:dyDescent="0.25">
      <c r="A12" s="547" t="s">
        <v>67</v>
      </c>
      <c r="B12" s="95" t="s">
        <v>149</v>
      </c>
      <c r="C12" s="588" t="s">
        <v>135</v>
      </c>
      <c r="D12" s="572" t="s">
        <v>144</v>
      </c>
      <c r="E12" s="95" t="s">
        <v>145</v>
      </c>
      <c r="F12" s="62" t="s">
        <v>130</v>
      </c>
      <c r="G12" s="405">
        <f t="shared" si="3"/>
        <v>2.525903804742493E-2</v>
      </c>
      <c r="H12" s="191">
        <v>6100.6</v>
      </c>
      <c r="I12" s="16">
        <v>85434.47</v>
      </c>
      <c r="J12" s="16">
        <v>1</v>
      </c>
      <c r="K12" s="16">
        <f t="shared" si="4"/>
        <v>6100.6</v>
      </c>
      <c r="L12" s="416">
        <f t="shared" si="1"/>
        <v>0</v>
      </c>
      <c r="M12" s="123">
        <v>0</v>
      </c>
      <c r="N12" s="538" t="s">
        <v>136</v>
      </c>
      <c r="P12" s="580"/>
      <c r="Q12" s="576"/>
      <c r="R12" s="576"/>
      <c r="S12" s="576"/>
      <c r="T12" s="576"/>
      <c r="U12" s="576"/>
      <c r="V12" s="576"/>
      <c r="W12" s="576"/>
      <c r="X12" s="576"/>
      <c r="Y12" s="576"/>
      <c r="Z12" s="576"/>
      <c r="AA12" s="581"/>
    </row>
    <row r="13" spans="1:27" ht="17.7" customHeight="1" x14ac:dyDescent="0.25">
      <c r="A13" s="547" t="s">
        <v>67</v>
      </c>
      <c r="B13" s="95" t="s">
        <v>150</v>
      </c>
      <c r="C13" s="588" t="s">
        <v>135</v>
      </c>
      <c r="D13" s="572" t="s">
        <v>144</v>
      </c>
      <c r="E13" s="95" t="s">
        <v>145</v>
      </c>
      <c r="F13" s="62" t="s">
        <v>130</v>
      </c>
      <c r="G13" s="405">
        <f t="shared" si="3"/>
        <v>2.525903804742493E-2</v>
      </c>
      <c r="H13" s="191">
        <v>6100.6</v>
      </c>
      <c r="I13" s="16">
        <v>85434.47</v>
      </c>
      <c r="J13" s="16">
        <v>1</v>
      </c>
      <c r="K13" s="16">
        <f t="shared" si="4"/>
        <v>6100.6</v>
      </c>
      <c r="L13" s="416">
        <f t="shared" si="1"/>
        <v>0</v>
      </c>
      <c r="M13" s="123">
        <v>0</v>
      </c>
      <c r="N13" s="538" t="s">
        <v>136</v>
      </c>
      <c r="P13" s="580"/>
      <c r="Q13" s="576"/>
      <c r="R13" s="576"/>
      <c r="S13" s="576"/>
      <c r="T13" s="576"/>
      <c r="U13" s="576"/>
      <c r="V13" s="576"/>
      <c r="W13" s="576"/>
      <c r="X13" s="576"/>
      <c r="Y13" s="576"/>
      <c r="Z13" s="576"/>
      <c r="AA13" s="581"/>
    </row>
    <row r="14" spans="1:27" ht="17.7" customHeight="1" x14ac:dyDescent="0.25">
      <c r="A14" s="547" t="s">
        <v>67</v>
      </c>
      <c r="B14" s="95" t="s">
        <v>151</v>
      </c>
      <c r="C14" s="588" t="s">
        <v>135</v>
      </c>
      <c r="D14" s="572" t="s">
        <v>144</v>
      </c>
      <c r="E14" s="95" t="s">
        <v>145</v>
      </c>
      <c r="F14" s="62" t="s">
        <v>130</v>
      </c>
      <c r="G14" s="405">
        <f t="shared" si="3"/>
        <v>2.525903804742493E-2</v>
      </c>
      <c r="H14" s="191">
        <v>6100.6</v>
      </c>
      <c r="I14" s="16">
        <v>85434.47</v>
      </c>
      <c r="J14" s="16">
        <v>1</v>
      </c>
      <c r="K14" s="16">
        <f t="shared" si="4"/>
        <v>6100.6</v>
      </c>
      <c r="L14" s="416">
        <f t="shared" si="1"/>
        <v>0</v>
      </c>
      <c r="M14" s="123">
        <v>0</v>
      </c>
      <c r="N14" s="539" t="s">
        <v>136</v>
      </c>
      <c r="P14" s="580"/>
      <c r="Q14" s="576"/>
      <c r="R14" s="576"/>
      <c r="S14" s="576"/>
      <c r="T14" s="576"/>
      <c r="U14" s="576"/>
      <c r="V14" s="576"/>
      <c r="W14" s="576"/>
      <c r="X14" s="576"/>
      <c r="Y14" s="576"/>
      <c r="Z14" s="576"/>
      <c r="AA14" s="581"/>
    </row>
    <row r="15" spans="1:27" ht="17.7" customHeight="1" x14ac:dyDescent="0.25">
      <c r="A15" s="547" t="s">
        <v>67</v>
      </c>
      <c r="B15" s="62" t="s">
        <v>152</v>
      </c>
      <c r="C15" s="588" t="s">
        <v>153</v>
      </c>
      <c r="D15" s="594" t="s">
        <v>154</v>
      </c>
      <c r="E15" s="95" t="s">
        <v>155</v>
      </c>
      <c r="F15" s="62" t="s">
        <v>130</v>
      </c>
      <c r="G15" s="405">
        <f t="shared" si="3"/>
        <v>3.1056162419018058E-2</v>
      </c>
      <c r="H15" s="191">
        <v>7500.73</v>
      </c>
      <c r="I15" s="16">
        <v>105042.38</v>
      </c>
      <c r="J15" s="16">
        <v>1</v>
      </c>
      <c r="K15" s="16">
        <f t="shared" si="4"/>
        <v>7500.73</v>
      </c>
      <c r="L15" s="416">
        <f t="shared" si="1"/>
        <v>248</v>
      </c>
      <c r="M15" s="123">
        <v>33</v>
      </c>
      <c r="N15" s="125"/>
      <c r="P15" s="580"/>
      <c r="Q15" s="576"/>
      <c r="R15" s="576"/>
      <c r="S15" s="576"/>
      <c r="T15" s="576"/>
      <c r="U15" s="576"/>
      <c r="V15" s="576"/>
      <c r="W15" s="576"/>
      <c r="X15" s="576"/>
      <c r="Y15" s="576"/>
      <c r="Z15" s="576"/>
      <c r="AA15" s="581"/>
    </row>
    <row r="16" spans="1:27" ht="17.7" customHeight="1" x14ac:dyDescent="0.25">
      <c r="A16" s="547" t="s">
        <v>67</v>
      </c>
      <c r="B16" s="62" t="s">
        <v>156</v>
      </c>
      <c r="C16" s="588" t="s">
        <v>157</v>
      </c>
      <c r="D16" s="95" t="s">
        <v>158</v>
      </c>
      <c r="E16" s="62" t="s">
        <v>159</v>
      </c>
      <c r="F16" s="62" t="s">
        <v>130</v>
      </c>
      <c r="G16" s="405">
        <f t="shared" si="3"/>
        <v>4.9689992363825854E-3</v>
      </c>
      <c r="H16" s="191">
        <v>300.02999999999997</v>
      </c>
      <c r="I16" s="16">
        <v>4201.7</v>
      </c>
      <c r="J16" s="16">
        <v>4</v>
      </c>
      <c r="K16" s="16">
        <f>J16*H16</f>
        <v>1200.1199999999999</v>
      </c>
      <c r="L16" s="416">
        <f t="shared" si="1"/>
        <v>2</v>
      </c>
      <c r="M16" s="123">
        <v>5</v>
      </c>
      <c r="N16" s="604" t="s">
        <v>160</v>
      </c>
      <c r="P16" s="580"/>
      <c r="Q16" s="576"/>
      <c r="R16" s="576"/>
      <c r="S16" s="576"/>
      <c r="T16" s="576"/>
      <c r="U16" s="576"/>
      <c r="V16" s="576"/>
      <c r="W16" s="576"/>
      <c r="X16" s="576"/>
      <c r="Y16" s="576"/>
      <c r="Z16" s="576"/>
      <c r="AA16" s="581"/>
    </row>
    <row r="17" spans="1:27" ht="17.7" customHeight="1" x14ac:dyDescent="0.25">
      <c r="A17" s="547" t="s">
        <v>67</v>
      </c>
      <c r="B17" s="62" t="s">
        <v>161</v>
      </c>
      <c r="C17" s="588" t="s">
        <v>157</v>
      </c>
      <c r="D17" s="95" t="s">
        <v>158</v>
      </c>
      <c r="E17" s="62" t="s">
        <v>159</v>
      </c>
      <c r="F17" s="62" t="s">
        <v>130</v>
      </c>
      <c r="G17" s="405">
        <f t="shared" si="3"/>
        <v>4.9689992363825854E-3</v>
      </c>
      <c r="H17" s="191">
        <v>300.02999999999997</v>
      </c>
      <c r="I17" s="16">
        <v>4201.7</v>
      </c>
      <c r="J17" s="16">
        <v>4</v>
      </c>
      <c r="K17" s="16">
        <f t="shared" si="4"/>
        <v>1200.1199999999999</v>
      </c>
      <c r="L17" s="416">
        <f t="shared" si="1"/>
        <v>2</v>
      </c>
      <c r="M17" s="123">
        <v>5</v>
      </c>
      <c r="N17" s="606"/>
      <c r="P17" s="580"/>
      <c r="Q17" s="576"/>
      <c r="R17" s="576"/>
      <c r="S17" s="576"/>
      <c r="T17" s="576"/>
      <c r="U17" s="576"/>
      <c r="V17" s="576"/>
      <c r="W17" s="576"/>
      <c r="X17" s="576"/>
      <c r="Y17" s="576"/>
      <c r="Z17" s="576"/>
      <c r="AA17" s="581"/>
    </row>
    <row r="18" spans="1:27" ht="17.7" customHeight="1" x14ac:dyDescent="0.25">
      <c r="A18" s="547" t="s">
        <v>67</v>
      </c>
      <c r="B18" s="62" t="s">
        <v>162</v>
      </c>
      <c r="C18" s="588" t="s">
        <v>163</v>
      </c>
      <c r="D18" s="572" t="s">
        <v>144</v>
      </c>
      <c r="E18" s="95" t="s">
        <v>159</v>
      </c>
      <c r="F18" s="62" t="s">
        <v>130</v>
      </c>
      <c r="G18" s="405">
        <f t="shared" si="3"/>
        <v>5.5072950657347339E-2</v>
      </c>
      <c r="H18" s="191">
        <v>13301.3</v>
      </c>
      <c r="I18" s="16">
        <v>186275.15</v>
      </c>
      <c r="J18" s="16">
        <v>1</v>
      </c>
      <c r="K18" s="16">
        <f t="shared" si="4"/>
        <v>13301.3</v>
      </c>
      <c r="L18" s="416">
        <f t="shared" si="1"/>
        <v>20</v>
      </c>
      <c r="M18" s="123">
        <v>1.5</v>
      </c>
      <c r="N18" s="123" t="s">
        <v>164</v>
      </c>
      <c r="P18" s="580"/>
      <c r="Q18" s="576"/>
      <c r="R18" s="576"/>
      <c r="S18" s="576"/>
      <c r="T18" s="576"/>
      <c r="U18" s="576"/>
      <c r="V18" s="576"/>
      <c r="W18" s="576"/>
      <c r="X18" s="576"/>
      <c r="Y18" s="576"/>
      <c r="Z18" s="576"/>
      <c r="AA18" s="581"/>
    </row>
    <row r="19" spans="1:27" ht="17.7" customHeight="1" x14ac:dyDescent="0.25">
      <c r="A19" s="547" t="s">
        <v>67</v>
      </c>
      <c r="B19" s="62" t="s">
        <v>165</v>
      </c>
      <c r="C19" s="588" t="s">
        <v>157</v>
      </c>
      <c r="D19" s="95" t="s">
        <v>158</v>
      </c>
      <c r="E19" s="62" t="s">
        <v>159</v>
      </c>
      <c r="F19" s="62" t="s">
        <v>130</v>
      </c>
      <c r="G19" s="405">
        <f t="shared" si="3"/>
        <v>1.2422498090956463E-3</v>
      </c>
      <c r="H19" s="191">
        <v>300.02999999999997</v>
      </c>
      <c r="I19" s="16">
        <v>4201.7</v>
      </c>
      <c r="J19" s="16">
        <v>1</v>
      </c>
      <c r="K19" s="16">
        <f t="shared" si="4"/>
        <v>300.02999999999997</v>
      </c>
      <c r="L19" s="416">
        <f t="shared" si="1"/>
        <v>2</v>
      </c>
      <c r="M19" s="123">
        <v>5</v>
      </c>
      <c r="N19" s="606"/>
      <c r="P19" s="580"/>
      <c r="Q19" s="576"/>
      <c r="R19" s="576"/>
      <c r="S19" s="576"/>
      <c r="T19" s="576"/>
      <c r="U19" s="576"/>
      <c r="V19" s="576"/>
      <c r="W19" s="576"/>
      <c r="X19" s="576"/>
      <c r="Y19" s="576"/>
      <c r="Z19" s="576"/>
      <c r="AA19" s="581"/>
    </row>
    <row r="20" spans="1:27" ht="17.7" customHeight="1" x14ac:dyDescent="0.25">
      <c r="A20" s="547" t="s">
        <v>67</v>
      </c>
      <c r="B20" s="62" t="s">
        <v>166</v>
      </c>
      <c r="C20" s="588" t="s">
        <v>157</v>
      </c>
      <c r="D20" s="95" t="s">
        <v>158</v>
      </c>
      <c r="E20" s="62" t="s">
        <v>159</v>
      </c>
      <c r="F20" s="62" t="s">
        <v>130</v>
      </c>
      <c r="G20" s="405">
        <f t="shared" si="3"/>
        <v>1.2422498090956463E-3</v>
      </c>
      <c r="H20" s="191">
        <v>300.02999999999997</v>
      </c>
      <c r="I20" s="16">
        <v>4201.7</v>
      </c>
      <c r="J20" s="16">
        <v>1</v>
      </c>
      <c r="K20" s="16">
        <f t="shared" si="4"/>
        <v>300.02999999999997</v>
      </c>
      <c r="L20" s="416">
        <f>ROUND(H20*M20/1000,0)</f>
        <v>2</v>
      </c>
      <c r="M20" s="123">
        <v>5</v>
      </c>
      <c r="N20" s="606"/>
      <c r="P20" s="580"/>
      <c r="Q20" s="576"/>
      <c r="R20" s="576"/>
      <c r="S20" s="576"/>
      <c r="T20" s="576"/>
      <c r="U20" s="576"/>
      <c r="V20" s="576"/>
      <c r="W20" s="576"/>
      <c r="X20" s="576"/>
      <c r="Y20" s="576"/>
      <c r="Z20" s="576"/>
      <c r="AA20" s="581"/>
    </row>
    <row r="21" spans="1:27" ht="17.7" customHeight="1" x14ac:dyDescent="0.25">
      <c r="A21" s="547" t="s">
        <v>67</v>
      </c>
      <c r="B21" s="62" t="s">
        <v>167</v>
      </c>
      <c r="C21" s="588" t="s">
        <v>157</v>
      </c>
      <c r="D21" s="95" t="s">
        <v>158</v>
      </c>
      <c r="E21" s="62" t="s">
        <v>159</v>
      </c>
      <c r="F21" s="62" t="s">
        <v>130</v>
      </c>
      <c r="G21" s="405">
        <f t="shared" si="3"/>
        <v>4.9689992363825854E-3</v>
      </c>
      <c r="H21" s="191">
        <v>300.02999999999997</v>
      </c>
      <c r="I21" s="16">
        <v>4201.7</v>
      </c>
      <c r="J21" s="16">
        <v>4</v>
      </c>
      <c r="K21" s="16">
        <f t="shared" si="4"/>
        <v>1200.1199999999999</v>
      </c>
      <c r="L21" s="416">
        <f t="shared" si="1"/>
        <v>2</v>
      </c>
      <c r="M21" s="123">
        <v>5</v>
      </c>
      <c r="N21" s="606"/>
      <c r="P21" s="580"/>
      <c r="Q21" s="576"/>
      <c r="R21" s="576"/>
      <c r="S21" s="576"/>
      <c r="T21" s="576"/>
      <c r="U21" s="576"/>
      <c r="V21" s="576"/>
      <c r="W21" s="576"/>
      <c r="X21" s="576"/>
      <c r="Y21" s="576"/>
      <c r="Z21" s="576"/>
      <c r="AA21" s="581"/>
    </row>
    <row r="22" spans="1:27" ht="54" customHeight="1" x14ac:dyDescent="0.25">
      <c r="A22" s="547" t="s">
        <v>67</v>
      </c>
      <c r="B22" s="62" t="s">
        <v>168</v>
      </c>
      <c r="C22" s="588" t="s">
        <v>169</v>
      </c>
      <c r="D22" s="95" t="s">
        <v>170</v>
      </c>
      <c r="E22" s="95" t="s">
        <v>159</v>
      </c>
      <c r="F22" s="62" t="s">
        <v>130</v>
      </c>
      <c r="G22" s="405">
        <f t="shared" si="3"/>
        <v>2.7543555444573927E-2</v>
      </c>
      <c r="H22" s="191">
        <v>6652.36</v>
      </c>
      <c r="I22" s="16">
        <v>93161.52</v>
      </c>
      <c r="J22" s="16">
        <v>1</v>
      </c>
      <c r="K22" s="16">
        <f t="shared" si="4"/>
        <v>6652.36</v>
      </c>
      <c r="L22" s="416">
        <f t="shared" si="1"/>
        <v>33</v>
      </c>
      <c r="M22" s="123">
        <v>5</v>
      </c>
      <c r="N22" s="604" t="s">
        <v>171</v>
      </c>
      <c r="P22" s="580"/>
      <c r="Q22" s="576"/>
      <c r="R22" s="576"/>
      <c r="S22" s="576"/>
      <c r="T22" s="576"/>
      <c r="U22" s="576"/>
      <c r="V22" s="576"/>
      <c r="W22" s="576"/>
      <c r="X22" s="576"/>
      <c r="Y22" s="576"/>
      <c r="Z22" s="576"/>
      <c r="AA22" s="581"/>
    </row>
    <row r="23" spans="1:27" ht="17.7" customHeight="1" x14ac:dyDescent="0.25">
      <c r="A23" s="547" t="s">
        <v>67</v>
      </c>
      <c r="B23" s="62" t="s">
        <v>172</v>
      </c>
      <c r="C23" s="588" t="s">
        <v>163</v>
      </c>
      <c r="D23" s="572" t="s">
        <v>144</v>
      </c>
      <c r="E23" s="95" t="s">
        <v>159</v>
      </c>
      <c r="F23" s="62" t="s">
        <v>130</v>
      </c>
      <c r="G23" s="405">
        <f t="shared" si="3"/>
        <v>2.9807950407059042E-2</v>
      </c>
      <c r="H23" s="191">
        <v>7199.26</v>
      </c>
      <c r="I23" s="16">
        <v>100820.51</v>
      </c>
      <c r="J23" s="16">
        <v>1</v>
      </c>
      <c r="K23" s="16">
        <f t="shared" si="4"/>
        <v>7199.26</v>
      </c>
      <c r="L23" s="416">
        <f t="shared" si="1"/>
        <v>11</v>
      </c>
      <c r="M23" s="123">
        <v>1.5</v>
      </c>
      <c r="N23" s="123" t="s">
        <v>164</v>
      </c>
      <c r="P23" s="580"/>
      <c r="Q23" s="576"/>
      <c r="R23" s="576"/>
      <c r="S23" s="576"/>
      <c r="T23" s="576"/>
      <c r="U23" s="576"/>
      <c r="V23" s="576"/>
      <c r="W23" s="576"/>
      <c r="X23" s="576"/>
      <c r="Y23" s="576"/>
      <c r="Z23" s="576"/>
      <c r="AA23" s="581"/>
    </row>
    <row r="24" spans="1:27" ht="17.7" customHeight="1" x14ac:dyDescent="0.25">
      <c r="A24" s="547" t="s">
        <v>67</v>
      </c>
      <c r="B24" s="62" t="s">
        <v>173</v>
      </c>
      <c r="C24" s="588" t="s">
        <v>169</v>
      </c>
      <c r="D24" s="95" t="s">
        <v>170</v>
      </c>
      <c r="E24" s="95" t="s">
        <v>159</v>
      </c>
      <c r="F24" s="62" t="s">
        <v>130</v>
      </c>
      <c r="G24" s="405">
        <f t="shared" si="3"/>
        <v>4.6583850288754863E-3</v>
      </c>
      <c r="H24" s="191">
        <v>225.02</v>
      </c>
      <c r="I24" s="16">
        <v>3151.27</v>
      </c>
      <c r="J24" s="16">
        <v>5</v>
      </c>
      <c r="K24" s="16">
        <f t="shared" si="4"/>
        <v>1125.1000000000001</v>
      </c>
      <c r="L24" s="416">
        <f t="shared" si="1"/>
        <v>1</v>
      </c>
      <c r="M24" s="123">
        <v>5</v>
      </c>
      <c r="N24" s="606"/>
      <c r="P24" s="580"/>
      <c r="Q24" s="576"/>
      <c r="R24" s="576"/>
      <c r="S24" s="576"/>
      <c r="T24" s="576"/>
      <c r="U24" s="576"/>
      <c r="V24" s="576"/>
      <c r="W24" s="576"/>
      <c r="X24" s="576"/>
      <c r="Y24" s="576"/>
      <c r="Z24" s="576"/>
      <c r="AA24" s="581"/>
    </row>
    <row r="25" spans="1:27" ht="17.7" customHeight="1" x14ac:dyDescent="0.25">
      <c r="A25" s="547" t="s">
        <v>67</v>
      </c>
      <c r="B25" s="62" t="s">
        <v>174</v>
      </c>
      <c r="C25" s="588" t="s">
        <v>169</v>
      </c>
      <c r="D25" s="95" t="s">
        <v>170</v>
      </c>
      <c r="E25" s="95" t="s">
        <v>159</v>
      </c>
      <c r="F25" s="62" t="s">
        <v>130</v>
      </c>
      <c r="G25" s="405">
        <f t="shared" si="3"/>
        <v>1.2422498090956463E-3</v>
      </c>
      <c r="H25" s="191">
        <v>300.02999999999997</v>
      </c>
      <c r="I25" s="16">
        <v>4201.7</v>
      </c>
      <c r="J25" s="16">
        <v>1</v>
      </c>
      <c r="K25" s="16">
        <f t="shared" si="4"/>
        <v>300.02999999999997</v>
      </c>
      <c r="L25" s="416">
        <f>ROUND(H25*M25/1000,0)</f>
        <v>2</v>
      </c>
      <c r="M25" s="123">
        <v>5</v>
      </c>
      <c r="N25" s="606"/>
      <c r="P25" s="580"/>
      <c r="Q25" s="576"/>
      <c r="R25" s="576"/>
      <c r="S25" s="576"/>
      <c r="T25" s="576"/>
      <c r="U25" s="576"/>
      <c r="V25" s="576"/>
      <c r="W25" s="576"/>
      <c r="X25" s="576"/>
      <c r="Y25" s="576"/>
      <c r="Z25" s="576"/>
      <c r="AA25" s="581"/>
    </row>
    <row r="26" spans="1:27" ht="17.7" customHeight="1" x14ac:dyDescent="0.25">
      <c r="A26" s="547" t="s">
        <v>67</v>
      </c>
      <c r="B26" s="62" t="s">
        <v>175</v>
      </c>
      <c r="C26" s="588" t="s">
        <v>169</v>
      </c>
      <c r="D26" s="95" t="s">
        <v>170</v>
      </c>
      <c r="E26" s="95" t="s">
        <v>159</v>
      </c>
      <c r="F26" s="62" t="s">
        <v>130</v>
      </c>
      <c r="G26" s="405">
        <f t="shared" si="3"/>
        <v>5.5900620346505834E-3</v>
      </c>
      <c r="H26" s="191">
        <v>225.02</v>
      </c>
      <c r="I26" s="16">
        <v>3151.27</v>
      </c>
      <c r="J26" s="16">
        <v>6</v>
      </c>
      <c r="K26" s="16">
        <f t="shared" si="4"/>
        <v>1350.1200000000001</v>
      </c>
      <c r="L26" s="416">
        <f t="shared" si="1"/>
        <v>1</v>
      </c>
      <c r="M26" s="123">
        <v>5</v>
      </c>
      <c r="N26" s="606"/>
      <c r="P26" s="580"/>
      <c r="Q26" s="576"/>
      <c r="R26" s="576"/>
      <c r="S26" s="576"/>
      <c r="T26" s="576"/>
      <c r="U26" s="576"/>
      <c r="V26" s="576"/>
      <c r="W26" s="576"/>
      <c r="X26" s="576"/>
      <c r="Y26" s="576"/>
      <c r="Z26" s="576"/>
      <c r="AA26" s="581"/>
    </row>
    <row r="27" spans="1:27" ht="17.7" customHeight="1" x14ac:dyDescent="0.25">
      <c r="A27" s="547" t="s">
        <v>67</v>
      </c>
      <c r="B27" s="62" t="s">
        <v>176</v>
      </c>
      <c r="C27" s="655" t="s">
        <v>177</v>
      </c>
      <c r="D27" s="95" t="s">
        <v>178</v>
      </c>
      <c r="E27" s="95" t="s">
        <v>179</v>
      </c>
      <c r="F27" s="62" t="s">
        <v>130</v>
      </c>
      <c r="G27" s="405">
        <f t="shared" si="3"/>
        <v>4.1408244161481783E-2</v>
      </c>
      <c r="H27" s="191">
        <v>10000.98</v>
      </c>
      <c r="I27" s="16">
        <v>140056.5</v>
      </c>
      <c r="J27" s="16">
        <v>1</v>
      </c>
      <c r="K27" s="16">
        <f t="shared" si="4"/>
        <v>10000.98</v>
      </c>
      <c r="L27" s="416">
        <f t="shared" si="1"/>
        <v>30</v>
      </c>
      <c r="M27" s="123">
        <v>3</v>
      </c>
      <c r="N27" s="606"/>
      <c r="P27" s="580"/>
      <c r="Q27" s="576"/>
      <c r="R27" s="576"/>
      <c r="S27" s="576"/>
      <c r="T27" s="576"/>
      <c r="U27" s="576"/>
      <c r="V27" s="576"/>
      <c r="W27" s="576"/>
      <c r="X27" s="576"/>
      <c r="Y27" s="576"/>
      <c r="Z27" s="576"/>
      <c r="AA27" s="581"/>
    </row>
    <row r="28" spans="1:27" ht="17.7" customHeight="1" x14ac:dyDescent="0.25">
      <c r="A28" s="547" t="s">
        <v>67</v>
      </c>
      <c r="B28" s="62" t="s">
        <v>180</v>
      </c>
      <c r="C28" s="656" t="s">
        <v>181</v>
      </c>
      <c r="D28" s="95" t="s">
        <v>182</v>
      </c>
      <c r="E28" s="95" t="s">
        <v>145</v>
      </c>
      <c r="F28" s="62" t="s">
        <v>130</v>
      </c>
      <c r="G28" s="405">
        <f t="shared" si="3"/>
        <v>1.1801352484315367E-2</v>
      </c>
      <c r="H28" s="191">
        <v>2850.28</v>
      </c>
      <c r="I28" s="16">
        <v>39916.1</v>
      </c>
      <c r="J28" s="16">
        <v>1</v>
      </c>
      <c r="K28" s="16">
        <f t="shared" si="4"/>
        <v>2850.28</v>
      </c>
      <c r="L28" s="416">
        <f t="shared" si="1"/>
        <v>14</v>
      </c>
      <c r="M28" s="123">
        <v>5</v>
      </c>
      <c r="N28" s="604" t="s">
        <v>183</v>
      </c>
      <c r="P28" s="580"/>
      <c r="Q28" s="576"/>
      <c r="R28" s="576"/>
      <c r="S28" s="576"/>
      <c r="T28" s="576"/>
      <c r="U28" s="576"/>
      <c r="V28" s="576"/>
      <c r="W28" s="576"/>
      <c r="X28" s="576"/>
      <c r="Y28" s="576"/>
      <c r="Z28" s="576"/>
      <c r="AA28" s="581"/>
    </row>
    <row r="29" spans="1:27" ht="17.7" customHeight="1" x14ac:dyDescent="0.25">
      <c r="A29" s="547" t="s">
        <v>67</v>
      </c>
      <c r="B29" s="62" t="s">
        <v>184</v>
      </c>
      <c r="C29" s="588" t="s">
        <v>181</v>
      </c>
      <c r="D29" s="95" t="s">
        <v>182</v>
      </c>
      <c r="E29" s="95" t="s">
        <v>145</v>
      </c>
      <c r="F29" s="62" t="s">
        <v>130</v>
      </c>
      <c r="G29" s="405">
        <f t="shared" si="3"/>
        <v>1.1801352484315367E-2</v>
      </c>
      <c r="H29" s="191">
        <v>2850.28</v>
      </c>
      <c r="I29" s="16">
        <v>39916.1</v>
      </c>
      <c r="J29" s="16">
        <v>1</v>
      </c>
      <c r="K29" s="16">
        <f t="shared" si="4"/>
        <v>2850.28</v>
      </c>
      <c r="L29" s="416">
        <f t="shared" si="1"/>
        <v>14</v>
      </c>
      <c r="M29" s="123">
        <v>5</v>
      </c>
      <c r="N29" s="606"/>
      <c r="P29" s="580"/>
      <c r="Q29" s="576"/>
      <c r="R29" s="576"/>
      <c r="S29" s="576"/>
      <c r="T29" s="576"/>
      <c r="U29" s="576"/>
      <c r="V29" s="576"/>
      <c r="W29" s="576"/>
      <c r="X29" s="576"/>
      <c r="Y29" s="576"/>
      <c r="Z29" s="576"/>
      <c r="AA29" s="581"/>
    </row>
    <row r="30" spans="1:27" ht="65.25" customHeight="1" x14ac:dyDescent="0.25">
      <c r="A30" s="547" t="s">
        <v>67</v>
      </c>
      <c r="B30" s="62" t="s">
        <v>185</v>
      </c>
      <c r="C30" s="588" t="s">
        <v>186</v>
      </c>
      <c r="D30" s="95" t="s">
        <v>187</v>
      </c>
      <c r="E30" s="95" t="s">
        <v>145</v>
      </c>
      <c r="F30" s="62" t="s">
        <v>130</v>
      </c>
      <c r="G30" s="405">
        <f t="shared" si="3"/>
        <v>6.5734445885908183E-2</v>
      </c>
      <c r="H30" s="191">
        <v>15876.28</v>
      </c>
      <c r="I30" s="16">
        <v>222335.92</v>
      </c>
      <c r="J30" s="16">
        <v>1</v>
      </c>
      <c r="K30" s="16">
        <f t="shared" si="4"/>
        <v>15876.28</v>
      </c>
      <c r="L30" s="416">
        <f t="shared" si="1"/>
        <v>79</v>
      </c>
      <c r="M30" s="461">
        <v>5</v>
      </c>
      <c r="N30" s="605" t="s">
        <v>188</v>
      </c>
      <c r="O30" s="582"/>
      <c r="P30" s="580"/>
      <c r="Q30" s="576"/>
      <c r="R30" s="576"/>
      <c r="S30" s="576"/>
      <c r="T30" s="576"/>
      <c r="U30" s="576"/>
      <c r="V30" s="576"/>
      <c r="W30" s="576"/>
      <c r="X30" s="576"/>
      <c r="Y30" s="576"/>
      <c r="Z30" s="576"/>
      <c r="AA30" s="581"/>
    </row>
    <row r="31" spans="1:27" ht="17.7" customHeight="1" x14ac:dyDescent="0.25">
      <c r="A31" s="547" t="s">
        <v>67</v>
      </c>
      <c r="B31" s="62" t="s">
        <v>189</v>
      </c>
      <c r="C31" s="588" t="s">
        <v>163</v>
      </c>
      <c r="D31" s="572" t="s">
        <v>144</v>
      </c>
      <c r="E31" s="95" t="s">
        <v>159</v>
      </c>
      <c r="F31" s="62" t="s">
        <v>130</v>
      </c>
      <c r="G31" s="405">
        <f t="shared" si="3"/>
        <v>4.0373015285142137E-2</v>
      </c>
      <c r="H31" s="191">
        <v>9750.9500000000007</v>
      </c>
      <c r="I31" s="16">
        <v>136555.09</v>
      </c>
      <c r="J31" s="16">
        <v>1</v>
      </c>
      <c r="K31" s="16">
        <f t="shared" si="4"/>
        <v>9750.9500000000007</v>
      </c>
      <c r="L31" s="416">
        <f>ROUND(H31*M31/1000,0)</f>
        <v>15</v>
      </c>
      <c r="M31" s="123">
        <v>1.5</v>
      </c>
      <c r="N31" s="123" t="s">
        <v>164</v>
      </c>
      <c r="P31" s="580"/>
      <c r="Q31" s="576"/>
      <c r="R31" s="576"/>
      <c r="S31" s="576"/>
      <c r="T31" s="576"/>
      <c r="U31" s="576"/>
      <c r="V31" s="576"/>
      <c r="W31" s="576"/>
      <c r="X31" s="576"/>
      <c r="Y31" s="576"/>
      <c r="Z31" s="576"/>
      <c r="AA31" s="581"/>
    </row>
    <row r="32" spans="1:27" ht="17.7" customHeight="1" x14ac:dyDescent="0.25">
      <c r="A32" s="547" t="s">
        <v>67</v>
      </c>
      <c r="B32" s="62" t="s">
        <v>190</v>
      </c>
      <c r="C32" s="588" t="s">
        <v>163</v>
      </c>
      <c r="D32" s="572" t="s">
        <v>144</v>
      </c>
      <c r="E32" s="95" t="s">
        <v>159</v>
      </c>
      <c r="F32" s="62" t="s">
        <v>130</v>
      </c>
      <c r="G32" s="405">
        <f t="shared" si="3"/>
        <v>4.0373015285142137E-2</v>
      </c>
      <c r="H32" s="191">
        <v>9750.9500000000007</v>
      </c>
      <c r="I32" s="16">
        <v>136555.09</v>
      </c>
      <c r="J32" s="16">
        <v>1</v>
      </c>
      <c r="K32" s="16">
        <f>J32*H32</f>
        <v>9750.9500000000007</v>
      </c>
      <c r="L32" s="416">
        <f t="shared" si="1"/>
        <v>15</v>
      </c>
      <c r="M32" s="123">
        <v>1.5</v>
      </c>
      <c r="N32" s="123" t="s">
        <v>164</v>
      </c>
      <c r="P32" s="580"/>
      <c r="Q32" s="576"/>
      <c r="R32" s="576"/>
      <c r="S32" s="576"/>
      <c r="T32" s="576"/>
      <c r="U32" s="576"/>
      <c r="V32" s="576"/>
      <c r="W32" s="576"/>
      <c r="X32" s="576"/>
      <c r="Y32" s="576"/>
      <c r="Z32" s="576"/>
      <c r="AA32" s="581"/>
    </row>
    <row r="33" spans="1:27" ht="17.7" customHeight="1" x14ac:dyDescent="0.25">
      <c r="A33" s="547" t="s">
        <v>67</v>
      </c>
      <c r="B33" s="62" t="s">
        <v>191</v>
      </c>
      <c r="C33" s="588" t="s">
        <v>163</v>
      </c>
      <c r="D33" s="572" t="s">
        <v>144</v>
      </c>
      <c r="E33" s="95" t="s">
        <v>159</v>
      </c>
      <c r="F33" s="62" t="s">
        <v>130</v>
      </c>
      <c r="G33" s="405">
        <f t="shared" si="3"/>
        <v>4.637720199367782E-2</v>
      </c>
      <c r="H33" s="191">
        <v>11201.09</v>
      </c>
      <c r="I33" s="16">
        <v>156863.28</v>
      </c>
      <c r="J33" s="16">
        <v>1</v>
      </c>
      <c r="K33" s="16">
        <f t="shared" si="4"/>
        <v>11201.09</v>
      </c>
      <c r="L33" s="416">
        <f t="shared" si="1"/>
        <v>17</v>
      </c>
      <c r="M33" s="123">
        <v>1.5</v>
      </c>
      <c r="N33" s="123" t="s">
        <v>164</v>
      </c>
      <c r="P33" s="580"/>
      <c r="Q33" s="576"/>
      <c r="R33" s="576"/>
      <c r="S33" s="576"/>
      <c r="T33" s="576"/>
      <c r="U33" s="576"/>
      <c r="V33" s="576"/>
      <c r="W33" s="576"/>
      <c r="X33" s="576"/>
      <c r="Y33" s="576"/>
      <c r="Z33" s="576"/>
      <c r="AA33" s="581"/>
    </row>
    <row r="34" spans="1:27" ht="17.7" customHeight="1" x14ac:dyDescent="0.25">
      <c r="A34" s="547" t="s">
        <v>67</v>
      </c>
      <c r="B34" s="95" t="s">
        <v>192</v>
      </c>
      <c r="C34" s="588" t="s">
        <v>193</v>
      </c>
      <c r="D34" s="95" t="s">
        <v>187</v>
      </c>
      <c r="E34" s="95" t="s">
        <v>194</v>
      </c>
      <c r="F34" s="62" t="s">
        <v>130</v>
      </c>
      <c r="G34" s="405">
        <f t="shared" si="3"/>
        <v>3.1064319043768648E-3</v>
      </c>
      <c r="H34" s="191">
        <v>750.27</v>
      </c>
      <c r="I34" s="16">
        <v>10507.01</v>
      </c>
      <c r="J34" s="16">
        <v>1</v>
      </c>
      <c r="K34" s="16">
        <f t="shared" si="4"/>
        <v>750.27</v>
      </c>
      <c r="L34" s="416">
        <f t="shared" si="1"/>
        <v>4</v>
      </c>
      <c r="M34" s="123">
        <v>5</v>
      </c>
      <c r="N34" s="606"/>
      <c r="P34" s="580"/>
      <c r="Q34" s="576"/>
      <c r="R34" s="576"/>
      <c r="S34" s="576"/>
      <c r="T34" s="576"/>
      <c r="U34" s="576"/>
      <c r="V34" s="576"/>
      <c r="W34" s="576"/>
      <c r="X34" s="576"/>
      <c r="Y34" s="576"/>
      <c r="Z34" s="576"/>
      <c r="AA34" s="581"/>
    </row>
    <row r="35" spans="1:27" ht="17.7" customHeight="1" x14ac:dyDescent="0.25">
      <c r="A35" s="547" t="s">
        <v>67</v>
      </c>
      <c r="B35" s="95" t="s">
        <v>195</v>
      </c>
      <c r="C35" s="588" t="s">
        <v>196</v>
      </c>
      <c r="D35" s="95" t="s">
        <v>187</v>
      </c>
      <c r="E35" s="95" t="s">
        <v>194</v>
      </c>
      <c r="F35" s="62" t="s">
        <v>130</v>
      </c>
      <c r="G35" s="405">
        <f t="shared" si="3"/>
        <v>3.1055210122727384E-3</v>
      </c>
      <c r="H35" s="191">
        <v>150.01</v>
      </c>
      <c r="I35" s="16">
        <v>2100.85</v>
      </c>
      <c r="J35" s="16">
        <v>5</v>
      </c>
      <c r="K35" s="16">
        <f t="shared" si="4"/>
        <v>750.05</v>
      </c>
      <c r="L35" s="416">
        <f t="shared" si="1"/>
        <v>1</v>
      </c>
      <c r="M35" s="123">
        <v>5</v>
      </c>
      <c r="N35" s="606"/>
      <c r="P35" s="580"/>
      <c r="Q35" s="576"/>
      <c r="R35" s="576"/>
      <c r="S35" s="576"/>
      <c r="T35" s="576"/>
      <c r="U35" s="576"/>
      <c r="V35" s="576"/>
      <c r="W35" s="576"/>
      <c r="X35" s="576"/>
      <c r="Y35" s="576"/>
      <c r="Z35" s="576"/>
      <c r="AA35" s="581"/>
    </row>
    <row r="36" spans="1:27" ht="17.7" customHeight="1" x14ac:dyDescent="0.25">
      <c r="A36" s="547" t="s">
        <v>67</v>
      </c>
      <c r="B36" s="95" t="s">
        <v>197</v>
      </c>
      <c r="C36" s="588" t="s">
        <v>193</v>
      </c>
      <c r="D36" s="95" t="s">
        <v>187</v>
      </c>
      <c r="E36" s="95" t="s">
        <v>194</v>
      </c>
      <c r="F36" s="62" t="s">
        <v>130</v>
      </c>
      <c r="G36" s="405">
        <f t="shared" si="3"/>
        <v>1.5528019103229205E-2</v>
      </c>
      <c r="H36" s="191">
        <v>750.07</v>
      </c>
      <c r="I36" s="16">
        <v>10502.39</v>
      </c>
      <c r="J36" s="16">
        <v>5</v>
      </c>
      <c r="K36" s="16">
        <f t="shared" si="4"/>
        <v>3750.3500000000004</v>
      </c>
      <c r="L36" s="416">
        <f t="shared" si="1"/>
        <v>4</v>
      </c>
      <c r="M36" s="123">
        <v>5</v>
      </c>
      <c r="N36" s="606"/>
      <c r="P36" s="580"/>
      <c r="Q36" s="576"/>
      <c r="R36" s="576"/>
      <c r="S36" s="576"/>
      <c r="T36" s="576"/>
      <c r="U36" s="576"/>
      <c r="V36" s="576"/>
      <c r="W36" s="576"/>
      <c r="X36" s="576"/>
      <c r="Y36" s="576"/>
      <c r="Z36" s="576"/>
      <c r="AA36" s="581"/>
    </row>
    <row r="37" spans="1:27" ht="17.7" customHeight="1" x14ac:dyDescent="0.25">
      <c r="A37" s="547" t="s">
        <v>67</v>
      </c>
      <c r="B37" s="95" t="s">
        <v>198</v>
      </c>
      <c r="C37" s="588" t="s">
        <v>193</v>
      </c>
      <c r="D37" s="95" t="s">
        <v>187</v>
      </c>
      <c r="E37" s="95" t="s">
        <v>194</v>
      </c>
      <c r="F37" s="62" t="s">
        <v>130</v>
      </c>
      <c r="G37" s="405">
        <f t="shared" si="3"/>
        <v>3.105603820645841E-3</v>
      </c>
      <c r="H37" s="191">
        <v>750.07</v>
      </c>
      <c r="I37" s="16">
        <v>10504.24</v>
      </c>
      <c r="J37" s="16">
        <v>1</v>
      </c>
      <c r="K37" s="16">
        <f t="shared" si="4"/>
        <v>750.07</v>
      </c>
      <c r="L37" s="416">
        <f t="shared" si="1"/>
        <v>4</v>
      </c>
      <c r="M37" s="123">
        <v>5</v>
      </c>
      <c r="N37" s="606"/>
      <c r="P37" s="580"/>
      <c r="Q37" s="576"/>
      <c r="R37" s="576"/>
      <c r="S37" s="576"/>
      <c r="T37" s="576"/>
      <c r="U37" s="576"/>
      <c r="V37" s="576"/>
      <c r="W37" s="576"/>
      <c r="X37" s="576"/>
      <c r="Y37" s="576"/>
      <c r="Z37" s="576"/>
      <c r="AA37" s="581"/>
    </row>
    <row r="38" spans="1:27" ht="17.7" customHeight="1" x14ac:dyDescent="0.25">
      <c r="A38" s="547" t="s">
        <v>67</v>
      </c>
      <c r="B38" s="95" t="s">
        <v>199</v>
      </c>
      <c r="C38" s="588" t="s">
        <v>196</v>
      </c>
      <c r="D38" s="95" t="s">
        <v>187</v>
      </c>
      <c r="E38" s="95" t="s">
        <v>194</v>
      </c>
      <c r="F38" s="62" t="s">
        <v>130</v>
      </c>
      <c r="G38" s="405">
        <f t="shared" si="3"/>
        <v>3.7266252147272858E-3</v>
      </c>
      <c r="H38" s="191">
        <v>150.01</v>
      </c>
      <c r="I38" s="16">
        <v>2100.85</v>
      </c>
      <c r="J38" s="16">
        <v>6</v>
      </c>
      <c r="K38" s="16">
        <f t="shared" si="4"/>
        <v>900.06</v>
      </c>
      <c r="L38" s="416">
        <f t="shared" si="1"/>
        <v>1</v>
      </c>
      <c r="M38" s="123">
        <v>5</v>
      </c>
      <c r="N38" s="606"/>
      <c r="P38" s="580"/>
      <c r="Q38" s="576"/>
      <c r="R38" s="576"/>
      <c r="S38" s="576"/>
      <c r="T38" s="576"/>
      <c r="U38" s="576"/>
      <c r="V38" s="576"/>
      <c r="W38" s="576"/>
      <c r="X38" s="576"/>
      <c r="Y38" s="576"/>
      <c r="Z38" s="576"/>
      <c r="AA38" s="581"/>
    </row>
    <row r="39" spans="1:27" ht="17.7" customHeight="1" x14ac:dyDescent="0.25">
      <c r="A39" s="547" t="s">
        <v>67</v>
      </c>
      <c r="B39" s="95" t="s">
        <v>200</v>
      </c>
      <c r="C39" s="588" t="s">
        <v>201</v>
      </c>
      <c r="D39" s="95" t="s">
        <v>202</v>
      </c>
      <c r="E39" s="62" t="s">
        <v>203</v>
      </c>
      <c r="F39" s="62" t="s">
        <v>130</v>
      </c>
      <c r="G39" s="405">
        <f t="shared" si="3"/>
        <v>2.4844996181912927E-3</v>
      </c>
      <c r="H39" s="191">
        <v>600.05999999999995</v>
      </c>
      <c r="I39" s="16">
        <v>8403.39</v>
      </c>
      <c r="J39" s="16">
        <v>1</v>
      </c>
      <c r="K39" s="16">
        <f t="shared" si="4"/>
        <v>600.05999999999995</v>
      </c>
      <c r="L39" s="416">
        <f t="shared" si="1"/>
        <v>3</v>
      </c>
      <c r="M39" s="123">
        <v>5</v>
      </c>
      <c r="N39" s="606"/>
      <c r="P39" s="580"/>
      <c r="Q39" s="576"/>
      <c r="R39" s="576"/>
      <c r="S39" s="576"/>
      <c r="T39" s="576"/>
      <c r="U39" s="576"/>
      <c r="V39" s="576"/>
      <c r="W39" s="576"/>
      <c r="X39" s="576"/>
      <c r="Y39" s="576"/>
      <c r="Z39" s="576"/>
      <c r="AA39" s="581"/>
    </row>
    <row r="40" spans="1:27" ht="17.7" customHeight="1" x14ac:dyDescent="0.25">
      <c r="A40" s="547" t="s">
        <v>67</v>
      </c>
      <c r="B40" s="95" t="s">
        <v>204</v>
      </c>
      <c r="C40" s="588" t="s">
        <v>201</v>
      </c>
      <c r="D40" s="95" t="s">
        <v>202</v>
      </c>
      <c r="E40" s="62" t="s">
        <v>203</v>
      </c>
      <c r="F40" s="62" t="s">
        <v>130</v>
      </c>
      <c r="G40" s="405">
        <f t="shared" si="3"/>
        <v>1.2422498090956465E-2</v>
      </c>
      <c r="H40" s="191">
        <v>600.05999999999995</v>
      </c>
      <c r="I40" s="16">
        <v>8403.39</v>
      </c>
      <c r="J40" s="16">
        <v>5</v>
      </c>
      <c r="K40" s="16">
        <f t="shared" si="4"/>
        <v>3000.2999999999997</v>
      </c>
      <c r="L40" s="416">
        <f t="shared" si="1"/>
        <v>3</v>
      </c>
      <c r="M40" s="123">
        <v>5</v>
      </c>
      <c r="N40" s="606"/>
      <c r="P40" s="580"/>
      <c r="Q40" s="576"/>
      <c r="R40" s="576"/>
      <c r="S40" s="576"/>
      <c r="T40" s="576"/>
      <c r="U40" s="576"/>
      <c r="V40" s="576"/>
      <c r="W40" s="576"/>
      <c r="X40" s="576"/>
      <c r="Y40" s="576"/>
      <c r="Z40" s="576"/>
      <c r="AA40" s="581"/>
    </row>
    <row r="41" spans="1:27" ht="17.7" customHeight="1" x14ac:dyDescent="0.25">
      <c r="A41" s="547" t="s">
        <v>67</v>
      </c>
      <c r="B41" s="95" t="s">
        <v>205</v>
      </c>
      <c r="C41" s="588" t="s">
        <v>201</v>
      </c>
      <c r="D41" s="95" t="s">
        <v>202</v>
      </c>
      <c r="E41" s="62" t="s">
        <v>203</v>
      </c>
      <c r="F41" s="62" t="s">
        <v>130</v>
      </c>
      <c r="G41" s="405">
        <f t="shared" si="3"/>
        <v>2.4844996181912927E-3</v>
      </c>
      <c r="H41" s="191">
        <v>600.05999999999995</v>
      </c>
      <c r="I41" s="16">
        <v>8403.39</v>
      </c>
      <c r="J41" s="16">
        <v>1</v>
      </c>
      <c r="K41" s="16">
        <f t="shared" si="4"/>
        <v>600.05999999999995</v>
      </c>
      <c r="L41" s="416">
        <f t="shared" si="1"/>
        <v>3</v>
      </c>
      <c r="M41" s="123">
        <v>5</v>
      </c>
      <c r="N41" s="606"/>
      <c r="P41" s="580"/>
      <c r="Q41" s="576"/>
      <c r="R41" s="576"/>
      <c r="S41" s="576"/>
      <c r="T41" s="576"/>
      <c r="U41" s="576"/>
      <c r="V41" s="576"/>
      <c r="W41" s="576"/>
      <c r="X41" s="576"/>
      <c r="Y41" s="576"/>
      <c r="Z41" s="576"/>
      <c r="AA41" s="581"/>
    </row>
    <row r="42" spans="1:27" ht="17.7" customHeight="1" x14ac:dyDescent="0.25">
      <c r="A42" s="547" t="s">
        <v>67</v>
      </c>
      <c r="B42" s="95" t="s">
        <v>206</v>
      </c>
      <c r="C42" s="588" t="s">
        <v>201</v>
      </c>
      <c r="D42" s="95" t="s">
        <v>202</v>
      </c>
      <c r="E42" s="62" t="s">
        <v>203</v>
      </c>
      <c r="F42" s="62" t="s">
        <v>130</v>
      </c>
      <c r="G42" s="405">
        <f t="shared" si="3"/>
        <v>9.9379570685786209E-3</v>
      </c>
      <c r="H42" s="191">
        <v>2400.23</v>
      </c>
      <c r="I42" s="16">
        <v>33613.56</v>
      </c>
      <c r="J42" s="16">
        <v>1</v>
      </c>
      <c r="K42" s="16">
        <f t="shared" si="4"/>
        <v>2400.23</v>
      </c>
      <c r="L42" s="416">
        <f t="shared" si="1"/>
        <v>12</v>
      </c>
      <c r="M42" s="123">
        <v>5</v>
      </c>
      <c r="N42" s="606"/>
      <c r="P42" s="580"/>
      <c r="Q42" s="576"/>
      <c r="R42" s="576"/>
      <c r="S42" s="576"/>
      <c r="T42" s="576"/>
      <c r="U42" s="576"/>
      <c r="V42" s="576"/>
      <c r="W42" s="576"/>
      <c r="X42" s="576"/>
      <c r="Y42" s="576"/>
      <c r="Z42" s="576"/>
      <c r="AA42" s="581"/>
    </row>
    <row r="43" spans="1:27" ht="17.7" customHeight="1" x14ac:dyDescent="0.25">
      <c r="A43" s="547" t="s">
        <v>67</v>
      </c>
      <c r="B43" s="95" t="s">
        <v>207</v>
      </c>
      <c r="C43" s="588" t="s">
        <v>163</v>
      </c>
      <c r="D43" s="572" t="s">
        <v>144</v>
      </c>
      <c r="E43" s="95" t="s">
        <v>159</v>
      </c>
      <c r="F43" s="62" t="s">
        <v>130</v>
      </c>
      <c r="G43" s="405">
        <f t="shared" si="3"/>
        <v>4.5134952184582168E-2</v>
      </c>
      <c r="H43" s="191">
        <v>10901.06</v>
      </c>
      <c r="I43" s="16">
        <v>152661.59</v>
      </c>
      <c r="J43" s="16">
        <v>1</v>
      </c>
      <c r="K43" s="16">
        <f t="shared" si="4"/>
        <v>10901.06</v>
      </c>
      <c r="L43" s="416">
        <f t="shared" si="1"/>
        <v>16</v>
      </c>
      <c r="M43" s="123">
        <v>1.5</v>
      </c>
      <c r="N43" s="123" t="s">
        <v>164</v>
      </c>
      <c r="P43" s="580"/>
      <c r="Q43" s="576"/>
      <c r="R43" s="576"/>
      <c r="S43" s="576"/>
      <c r="T43" s="576"/>
      <c r="U43" s="576"/>
      <c r="V43" s="576"/>
      <c r="W43" s="576"/>
      <c r="X43" s="576"/>
      <c r="Y43" s="576"/>
      <c r="Z43" s="576"/>
      <c r="AA43" s="581"/>
    </row>
    <row r="44" spans="1:27" ht="17.7" customHeight="1" x14ac:dyDescent="0.25">
      <c r="A44" s="547" t="s">
        <v>67</v>
      </c>
      <c r="B44" s="95" t="s">
        <v>208</v>
      </c>
      <c r="C44" s="588" t="s">
        <v>209</v>
      </c>
      <c r="D44" s="95" t="s">
        <v>210</v>
      </c>
      <c r="E44" s="95" t="s">
        <v>211</v>
      </c>
      <c r="F44" s="62" t="s">
        <v>130</v>
      </c>
      <c r="G44" s="405">
        <f t="shared" si="3"/>
        <v>9.3167700577509727E-3</v>
      </c>
      <c r="H44" s="191">
        <v>225.02</v>
      </c>
      <c r="I44" s="16">
        <v>3151.27</v>
      </c>
      <c r="J44" s="16">
        <v>10</v>
      </c>
      <c r="K44" s="16">
        <f t="shared" si="4"/>
        <v>2250.2000000000003</v>
      </c>
      <c r="L44" s="416">
        <f>ROUND(H44*M44/1000,0)</f>
        <v>2</v>
      </c>
      <c r="M44" s="461">
        <v>10</v>
      </c>
      <c r="N44" s="810" t="s">
        <v>212</v>
      </c>
      <c r="P44" s="580"/>
      <c r="Q44" s="576"/>
      <c r="R44" s="576"/>
      <c r="S44" s="576"/>
      <c r="T44" s="576"/>
      <c r="U44" s="576"/>
      <c r="V44" s="576"/>
      <c r="W44" s="576"/>
      <c r="X44" s="576"/>
      <c r="Y44" s="576"/>
      <c r="Z44" s="576"/>
      <c r="AA44" s="581"/>
    </row>
    <row r="45" spans="1:27" ht="17.7" customHeight="1" x14ac:dyDescent="0.25">
      <c r="A45" s="547" t="s">
        <v>67</v>
      </c>
      <c r="B45" s="95" t="s">
        <v>213</v>
      </c>
      <c r="C45" s="588" t="s">
        <v>209</v>
      </c>
      <c r="D45" s="95" t="s">
        <v>210</v>
      </c>
      <c r="E45" s="95" t="s">
        <v>211</v>
      </c>
      <c r="F45" s="62" t="s">
        <v>130</v>
      </c>
      <c r="G45" s="405">
        <f t="shared" si="3"/>
        <v>9.3167700577509727E-3</v>
      </c>
      <c r="H45" s="191">
        <v>225.02</v>
      </c>
      <c r="I45" s="16">
        <v>3151.27</v>
      </c>
      <c r="J45" s="16">
        <v>10</v>
      </c>
      <c r="K45" s="16">
        <f t="shared" si="4"/>
        <v>2250.2000000000003</v>
      </c>
      <c r="L45" s="416">
        <f>ROUND(H45*M45/1000,0)</f>
        <v>2</v>
      </c>
      <c r="M45" s="461">
        <v>10</v>
      </c>
      <c r="N45" s="811"/>
      <c r="P45" s="580"/>
      <c r="Q45" s="576"/>
      <c r="R45" s="576"/>
      <c r="S45" s="576"/>
      <c r="T45" s="576"/>
      <c r="U45" s="576"/>
      <c r="V45" s="576"/>
      <c r="W45" s="576"/>
      <c r="X45" s="576"/>
      <c r="Y45" s="576"/>
      <c r="Z45" s="576"/>
      <c r="AA45" s="581"/>
    </row>
    <row r="46" spans="1:27" ht="17.7" customHeight="1" x14ac:dyDescent="0.25">
      <c r="A46" s="547" t="s">
        <v>67</v>
      </c>
      <c r="B46" s="95" t="s">
        <v>214</v>
      </c>
      <c r="C46" s="588" t="s">
        <v>209</v>
      </c>
      <c r="D46" s="95" t="s">
        <v>210</v>
      </c>
      <c r="E46" s="95" t="s">
        <v>211</v>
      </c>
      <c r="F46" s="62" t="s">
        <v>130</v>
      </c>
      <c r="G46" s="405">
        <f t="shared" si="3"/>
        <v>1.552822612416196E-3</v>
      </c>
      <c r="H46" s="191">
        <v>375.04</v>
      </c>
      <c r="I46" s="16">
        <v>5252.12</v>
      </c>
      <c r="J46" s="16">
        <v>1</v>
      </c>
      <c r="K46" s="16">
        <f t="shared" si="4"/>
        <v>375.04</v>
      </c>
      <c r="L46" s="416">
        <v>2</v>
      </c>
      <c r="M46" s="461">
        <v>10</v>
      </c>
      <c r="N46" s="811"/>
      <c r="P46" s="580"/>
      <c r="Q46" s="576"/>
      <c r="R46" s="576"/>
      <c r="S46" s="576"/>
      <c r="T46" s="576"/>
      <c r="U46" s="576"/>
      <c r="V46" s="576"/>
      <c r="W46" s="576"/>
      <c r="X46" s="576"/>
      <c r="Y46" s="576"/>
      <c r="Z46" s="576"/>
      <c r="AA46" s="581"/>
    </row>
    <row r="47" spans="1:27" ht="17.7" customHeight="1" x14ac:dyDescent="0.25">
      <c r="A47" s="547" t="s">
        <v>67</v>
      </c>
      <c r="B47" s="95" t="s">
        <v>215</v>
      </c>
      <c r="C47" s="588" t="s">
        <v>209</v>
      </c>
      <c r="D47" s="95" t="s">
        <v>210</v>
      </c>
      <c r="E47" s="95" t="s">
        <v>211</v>
      </c>
      <c r="F47" s="62" t="s">
        <v>130</v>
      </c>
      <c r="G47" s="405">
        <f t="shared" si="3"/>
        <v>1.552822612416196E-3</v>
      </c>
      <c r="H47" s="191">
        <v>375.04</v>
      </c>
      <c r="I47" s="16">
        <v>5252.12</v>
      </c>
      <c r="J47" s="16">
        <v>1</v>
      </c>
      <c r="K47" s="16">
        <f t="shared" si="4"/>
        <v>375.04</v>
      </c>
      <c r="L47" s="416">
        <v>2</v>
      </c>
      <c r="M47" s="461">
        <v>10</v>
      </c>
      <c r="N47" s="811"/>
      <c r="P47" s="580"/>
      <c r="Q47" s="576"/>
      <c r="R47" s="576"/>
      <c r="S47" s="576"/>
      <c r="T47" s="576"/>
      <c r="U47" s="576"/>
      <c r="V47" s="576"/>
      <c r="W47" s="576"/>
      <c r="X47" s="576"/>
      <c r="Y47" s="576"/>
      <c r="Z47" s="576"/>
      <c r="AA47" s="581"/>
    </row>
    <row r="48" spans="1:27" ht="17.7" customHeight="1" x14ac:dyDescent="0.25">
      <c r="A48" s="547" t="s">
        <v>67</v>
      </c>
      <c r="B48" s="95" t="s">
        <v>216</v>
      </c>
      <c r="C48" s="588" t="s">
        <v>209</v>
      </c>
      <c r="D48" s="95" t="s">
        <v>210</v>
      </c>
      <c r="E48" s="95" t="s">
        <v>211</v>
      </c>
      <c r="F48" s="62" t="s">
        <v>130</v>
      </c>
      <c r="G48" s="405">
        <f t="shared" si="3"/>
        <v>9.0070667423479966E-3</v>
      </c>
      <c r="H48" s="191">
        <v>217.54</v>
      </c>
      <c r="I48" s="16">
        <v>3046.5</v>
      </c>
      <c r="J48" s="16">
        <v>10</v>
      </c>
      <c r="K48" s="16">
        <f t="shared" si="4"/>
        <v>2175.4</v>
      </c>
      <c r="L48" s="416">
        <f t="shared" si="1"/>
        <v>2</v>
      </c>
      <c r="M48" s="461">
        <v>10</v>
      </c>
      <c r="N48" s="811"/>
      <c r="P48" s="580"/>
      <c r="Q48" s="576"/>
      <c r="R48" s="576"/>
      <c r="S48" s="576"/>
      <c r="T48" s="576"/>
      <c r="U48" s="576"/>
      <c r="V48" s="576"/>
      <c r="W48" s="576"/>
      <c r="X48" s="576"/>
      <c r="Y48" s="576"/>
      <c r="Z48" s="576"/>
      <c r="AA48" s="581"/>
    </row>
    <row r="49" spans="1:27" ht="17.7" customHeight="1" x14ac:dyDescent="0.25">
      <c r="A49" s="547" t="s">
        <v>67</v>
      </c>
      <c r="B49" s="95" t="s">
        <v>217</v>
      </c>
      <c r="C49" s="588" t="s">
        <v>209</v>
      </c>
      <c r="D49" s="95" t="s">
        <v>210</v>
      </c>
      <c r="E49" s="95" t="s">
        <v>211</v>
      </c>
      <c r="F49" s="62" t="s">
        <v>130</v>
      </c>
      <c r="G49" s="405">
        <f t="shared" si="3"/>
        <v>9.0070667423479966E-3</v>
      </c>
      <c r="H49" s="191">
        <v>217.54</v>
      </c>
      <c r="I49" s="16">
        <v>3046.5</v>
      </c>
      <c r="J49" s="16">
        <v>10</v>
      </c>
      <c r="K49" s="16">
        <f t="shared" si="4"/>
        <v>2175.4</v>
      </c>
      <c r="L49" s="416">
        <f t="shared" si="1"/>
        <v>2</v>
      </c>
      <c r="M49" s="461">
        <v>10</v>
      </c>
      <c r="N49" s="811"/>
      <c r="P49" s="580"/>
      <c r="Q49" s="576"/>
      <c r="R49" s="576"/>
      <c r="S49" s="576"/>
      <c r="T49" s="576"/>
      <c r="U49" s="576"/>
      <c r="V49" s="576"/>
      <c r="W49" s="576"/>
      <c r="X49" s="576"/>
      <c r="Y49" s="576"/>
      <c r="Z49" s="576"/>
      <c r="AA49" s="581"/>
    </row>
    <row r="50" spans="1:27" ht="17.7" customHeight="1" x14ac:dyDescent="0.25">
      <c r="A50" s="547" t="s">
        <v>67</v>
      </c>
      <c r="B50" s="95" t="s">
        <v>218</v>
      </c>
      <c r="C50" s="588" t="s">
        <v>209</v>
      </c>
      <c r="D50" s="95" t="s">
        <v>210</v>
      </c>
      <c r="E50" s="95" t="s">
        <v>211</v>
      </c>
      <c r="F50" s="62" t="s">
        <v>130</v>
      </c>
      <c r="G50" s="405">
        <f t="shared" si="3"/>
        <v>1.552822612416196E-3</v>
      </c>
      <c r="H50" s="191">
        <v>375.04</v>
      </c>
      <c r="I50" s="16">
        <v>5252.12</v>
      </c>
      <c r="J50" s="16">
        <v>1</v>
      </c>
      <c r="K50" s="16">
        <f t="shared" si="4"/>
        <v>375.04</v>
      </c>
      <c r="L50" s="416">
        <v>2</v>
      </c>
      <c r="M50" s="461">
        <v>10</v>
      </c>
      <c r="N50" s="811"/>
      <c r="P50" s="580"/>
      <c r="Q50" s="576"/>
      <c r="R50" s="576"/>
      <c r="S50" s="576"/>
      <c r="T50" s="576"/>
      <c r="U50" s="576"/>
      <c r="V50" s="576"/>
      <c r="W50" s="576"/>
      <c r="X50" s="576"/>
      <c r="Y50" s="576"/>
      <c r="Z50" s="576"/>
      <c r="AA50" s="581"/>
    </row>
    <row r="51" spans="1:27" ht="17.7" customHeight="1" x14ac:dyDescent="0.25">
      <c r="A51" s="547" t="s">
        <v>67</v>
      </c>
      <c r="B51" s="95" t="s">
        <v>219</v>
      </c>
      <c r="C51" s="588" t="s">
        <v>209</v>
      </c>
      <c r="D51" s="95" t="s">
        <v>210</v>
      </c>
      <c r="E51" s="95" t="s">
        <v>211</v>
      </c>
      <c r="F51" s="62" t="s">
        <v>130</v>
      </c>
      <c r="G51" s="405">
        <f t="shared" si="3"/>
        <v>1.552822612416196E-3</v>
      </c>
      <c r="H51" s="191">
        <v>375.04</v>
      </c>
      <c r="I51" s="16">
        <v>5252.12</v>
      </c>
      <c r="J51" s="16">
        <v>1</v>
      </c>
      <c r="K51" s="16">
        <f t="shared" si="4"/>
        <v>375.04</v>
      </c>
      <c r="L51" s="416">
        <v>2</v>
      </c>
      <c r="M51" s="461">
        <v>10</v>
      </c>
      <c r="N51" s="811"/>
      <c r="P51" s="580"/>
      <c r="Q51" s="576"/>
      <c r="R51" s="576"/>
      <c r="S51" s="576"/>
      <c r="T51" s="576"/>
      <c r="U51" s="576"/>
      <c r="V51" s="576"/>
      <c r="W51" s="576"/>
      <c r="X51" s="576"/>
      <c r="Y51" s="576"/>
      <c r="Z51" s="576"/>
      <c r="AA51" s="581"/>
    </row>
    <row r="52" spans="1:27" ht="16.5" customHeight="1" x14ac:dyDescent="0.25">
      <c r="A52" s="547" t="s">
        <v>67</v>
      </c>
      <c r="B52" s="95" t="s">
        <v>220</v>
      </c>
      <c r="C52" s="588" t="s">
        <v>209</v>
      </c>
      <c r="D52" s="95" t="s">
        <v>210</v>
      </c>
      <c r="E52" s="95" t="s">
        <v>211</v>
      </c>
      <c r="F52" s="62" t="s">
        <v>130</v>
      </c>
      <c r="G52" s="405">
        <f t="shared" si="3"/>
        <v>9.3167700577509727E-3</v>
      </c>
      <c r="H52" s="191">
        <v>225.02</v>
      </c>
      <c r="I52" s="16">
        <v>3151.27</v>
      </c>
      <c r="J52" s="16">
        <v>10</v>
      </c>
      <c r="K52" s="16">
        <f t="shared" si="4"/>
        <v>2250.2000000000003</v>
      </c>
      <c r="L52" s="416">
        <f t="shared" si="1"/>
        <v>2</v>
      </c>
      <c r="M52" s="461">
        <v>10</v>
      </c>
      <c r="N52" s="811"/>
      <c r="P52" s="580"/>
      <c r="Q52" s="576"/>
      <c r="R52" s="576"/>
      <c r="S52" s="576"/>
      <c r="T52" s="576"/>
      <c r="U52" s="576"/>
      <c r="V52" s="576"/>
      <c r="W52" s="576"/>
      <c r="X52" s="576"/>
      <c r="Y52" s="576"/>
      <c r="Z52" s="576"/>
      <c r="AA52" s="581"/>
    </row>
    <row r="53" spans="1:27" ht="16.5" customHeight="1" x14ac:dyDescent="0.25">
      <c r="A53" s="547" t="s">
        <v>67</v>
      </c>
      <c r="B53" s="95" t="s">
        <v>221</v>
      </c>
      <c r="C53" s="588" t="s">
        <v>209</v>
      </c>
      <c r="D53" s="95" t="s">
        <v>210</v>
      </c>
      <c r="E53" s="95" t="s">
        <v>211</v>
      </c>
      <c r="F53" s="62" t="s">
        <v>130</v>
      </c>
      <c r="G53" s="405">
        <f t="shared" si="3"/>
        <v>9.3167700577509727E-3</v>
      </c>
      <c r="H53" s="191">
        <v>225.02</v>
      </c>
      <c r="I53" s="16">
        <v>3151.27</v>
      </c>
      <c r="J53" s="16">
        <v>10</v>
      </c>
      <c r="K53" s="16">
        <f t="shared" si="4"/>
        <v>2250.2000000000003</v>
      </c>
      <c r="L53" s="416">
        <f t="shared" si="1"/>
        <v>2</v>
      </c>
      <c r="M53" s="461">
        <v>10</v>
      </c>
      <c r="N53" s="811"/>
      <c r="P53" s="580"/>
      <c r="Q53" s="576"/>
      <c r="R53" s="576"/>
      <c r="S53" s="576"/>
      <c r="T53" s="576"/>
      <c r="U53" s="576"/>
      <c r="V53" s="576"/>
      <c r="W53" s="576"/>
      <c r="X53" s="576"/>
      <c r="Y53" s="576"/>
      <c r="Z53" s="576"/>
      <c r="AA53" s="581"/>
    </row>
    <row r="54" spans="1:27" ht="19.2" customHeight="1" x14ac:dyDescent="0.25">
      <c r="A54" s="547" t="s">
        <v>67</v>
      </c>
      <c r="B54" s="95" t="s">
        <v>222</v>
      </c>
      <c r="C54" s="588" t="s">
        <v>209</v>
      </c>
      <c r="D54" s="95" t="s">
        <v>210</v>
      </c>
      <c r="E54" s="95" t="s">
        <v>211</v>
      </c>
      <c r="F54" s="62" t="s">
        <v>130</v>
      </c>
      <c r="G54" s="405">
        <f t="shared" si="3"/>
        <v>1.2422498090956463E-3</v>
      </c>
      <c r="H54" s="191">
        <v>300.02999999999997</v>
      </c>
      <c r="I54" s="16">
        <v>4201.7</v>
      </c>
      <c r="J54" s="16">
        <v>1</v>
      </c>
      <c r="K54" s="16">
        <f t="shared" si="4"/>
        <v>300.02999999999997</v>
      </c>
      <c r="L54" s="416">
        <v>2</v>
      </c>
      <c r="M54" s="461">
        <v>10</v>
      </c>
      <c r="N54" s="811"/>
      <c r="P54" s="580"/>
      <c r="Q54" s="576"/>
      <c r="R54" s="576"/>
      <c r="S54" s="576"/>
      <c r="T54" s="576"/>
      <c r="U54" s="576"/>
      <c r="V54" s="576"/>
      <c r="W54" s="576"/>
      <c r="X54" s="576"/>
      <c r="Y54" s="576"/>
      <c r="Z54" s="576"/>
      <c r="AA54" s="581"/>
    </row>
    <row r="55" spans="1:27" ht="17.7" customHeight="1" x14ac:dyDescent="0.25">
      <c r="A55" s="547" t="s">
        <v>67</v>
      </c>
      <c r="B55" s="95" t="s">
        <v>223</v>
      </c>
      <c r="C55" s="588" t="s">
        <v>209</v>
      </c>
      <c r="D55" s="95" t="s">
        <v>210</v>
      </c>
      <c r="E55" s="95" t="s">
        <v>211</v>
      </c>
      <c r="F55" s="62" t="s">
        <v>130</v>
      </c>
      <c r="G55" s="405">
        <f t="shared" si="3"/>
        <v>1.2422498090956463E-3</v>
      </c>
      <c r="H55" s="191">
        <v>300.02999999999997</v>
      </c>
      <c r="I55" s="16">
        <v>4201.7</v>
      </c>
      <c r="J55" s="16">
        <v>1</v>
      </c>
      <c r="K55" s="16">
        <f t="shared" si="4"/>
        <v>300.02999999999997</v>
      </c>
      <c r="L55" s="416">
        <v>2</v>
      </c>
      <c r="M55" s="461">
        <v>10</v>
      </c>
      <c r="N55" s="811"/>
      <c r="P55" s="580"/>
      <c r="Q55" s="576"/>
      <c r="R55" s="576"/>
      <c r="S55" s="576"/>
      <c r="T55" s="576"/>
      <c r="U55" s="576"/>
      <c r="V55" s="576"/>
      <c r="W55" s="576"/>
      <c r="X55" s="576"/>
      <c r="Y55" s="576"/>
      <c r="Z55" s="576"/>
      <c r="AA55" s="581"/>
    </row>
    <row r="56" spans="1:27" ht="17.7" customHeight="1" x14ac:dyDescent="0.25">
      <c r="A56" s="547" t="s">
        <v>67</v>
      </c>
      <c r="B56" s="95" t="s">
        <v>224</v>
      </c>
      <c r="C56" s="588" t="s">
        <v>209</v>
      </c>
      <c r="D56" s="95" t="s">
        <v>210</v>
      </c>
      <c r="E56" s="95" t="s">
        <v>211</v>
      </c>
      <c r="F56" s="62" t="s">
        <v>130</v>
      </c>
      <c r="G56" s="405">
        <f t="shared" si="3"/>
        <v>9.0070667423479966E-3</v>
      </c>
      <c r="H56" s="191">
        <v>217.54</v>
      </c>
      <c r="I56" s="16">
        <v>3046.5</v>
      </c>
      <c r="J56" s="16">
        <v>10</v>
      </c>
      <c r="K56" s="16">
        <f t="shared" si="4"/>
        <v>2175.4</v>
      </c>
      <c r="L56" s="416">
        <f t="shared" si="1"/>
        <v>2</v>
      </c>
      <c r="M56" s="461">
        <v>10</v>
      </c>
      <c r="N56" s="811"/>
      <c r="P56" s="580"/>
      <c r="Q56" s="576"/>
      <c r="R56" s="576"/>
      <c r="S56" s="576"/>
      <c r="T56" s="576"/>
      <c r="U56" s="576"/>
      <c r="V56" s="576"/>
      <c r="W56" s="576"/>
      <c r="X56" s="576"/>
      <c r="Y56" s="576"/>
      <c r="Z56" s="576"/>
      <c r="AA56" s="581"/>
    </row>
    <row r="57" spans="1:27" ht="17.7" customHeight="1" x14ac:dyDescent="0.25">
      <c r="A57" s="547" t="s">
        <v>67</v>
      </c>
      <c r="B57" s="95" t="s">
        <v>225</v>
      </c>
      <c r="C57" s="588" t="s">
        <v>209</v>
      </c>
      <c r="D57" s="95" t="s">
        <v>210</v>
      </c>
      <c r="E57" s="95" t="s">
        <v>211</v>
      </c>
      <c r="F57" s="62" t="s">
        <v>130</v>
      </c>
      <c r="G57" s="405">
        <f t="shared" si="3"/>
        <v>9.0070667423479966E-3</v>
      </c>
      <c r="H57" s="191">
        <v>217.54</v>
      </c>
      <c r="I57" s="16">
        <v>3046.5</v>
      </c>
      <c r="J57" s="16">
        <v>10</v>
      </c>
      <c r="K57" s="16">
        <f t="shared" si="4"/>
        <v>2175.4</v>
      </c>
      <c r="L57" s="416">
        <f t="shared" si="1"/>
        <v>2</v>
      </c>
      <c r="M57" s="461">
        <v>10</v>
      </c>
      <c r="N57" s="811"/>
      <c r="P57" s="580"/>
      <c r="Q57" s="576"/>
      <c r="R57" s="576"/>
      <c r="S57" s="576"/>
      <c r="T57" s="576"/>
      <c r="U57" s="576"/>
      <c r="V57" s="576"/>
      <c r="W57" s="576"/>
      <c r="X57" s="576"/>
      <c r="Y57" s="576"/>
      <c r="Z57" s="576"/>
      <c r="AA57" s="581"/>
    </row>
    <row r="58" spans="1:27" ht="17.7" customHeight="1" x14ac:dyDescent="0.25">
      <c r="A58" s="547" t="s">
        <v>67</v>
      </c>
      <c r="B58" s="95" t="s">
        <v>226</v>
      </c>
      <c r="C58" s="588" t="s">
        <v>209</v>
      </c>
      <c r="D58" s="95" t="s">
        <v>210</v>
      </c>
      <c r="E58" s="95" t="s">
        <v>211</v>
      </c>
      <c r="F58" s="62" t="s">
        <v>130</v>
      </c>
      <c r="G58" s="405">
        <f t="shared" si="3"/>
        <v>1.2422498090956463E-3</v>
      </c>
      <c r="H58" s="191">
        <v>300.02999999999997</v>
      </c>
      <c r="I58" s="16">
        <v>4201.7</v>
      </c>
      <c r="J58" s="16">
        <v>1</v>
      </c>
      <c r="K58" s="16">
        <f t="shared" si="4"/>
        <v>300.02999999999997</v>
      </c>
      <c r="L58" s="416">
        <v>2</v>
      </c>
      <c r="M58" s="461">
        <v>10</v>
      </c>
      <c r="N58" s="811"/>
      <c r="P58" s="580"/>
      <c r="Q58" s="576"/>
      <c r="R58" s="576"/>
      <c r="S58" s="576"/>
      <c r="T58" s="576"/>
      <c r="U58" s="576"/>
      <c r="V58" s="576"/>
      <c r="W58" s="576"/>
      <c r="X58" s="576"/>
      <c r="Y58" s="576"/>
      <c r="Z58" s="576"/>
      <c r="AA58" s="581"/>
    </row>
    <row r="59" spans="1:27" ht="17.7" customHeight="1" x14ac:dyDescent="0.25">
      <c r="A59" s="547" t="s">
        <v>67</v>
      </c>
      <c r="B59" s="95" t="s">
        <v>227</v>
      </c>
      <c r="C59" s="588" t="s">
        <v>209</v>
      </c>
      <c r="D59" s="95" t="s">
        <v>210</v>
      </c>
      <c r="E59" s="95" t="s">
        <v>211</v>
      </c>
      <c r="F59" s="62" t="s">
        <v>130</v>
      </c>
      <c r="G59" s="405">
        <f t="shared" si="3"/>
        <v>1.2422498090956463E-3</v>
      </c>
      <c r="H59" s="191">
        <v>300.02999999999997</v>
      </c>
      <c r="I59" s="16">
        <v>4201.7</v>
      </c>
      <c r="J59" s="16">
        <v>1</v>
      </c>
      <c r="K59" s="16">
        <f t="shared" si="4"/>
        <v>300.02999999999997</v>
      </c>
      <c r="L59" s="416">
        <v>2</v>
      </c>
      <c r="M59" s="461">
        <v>10</v>
      </c>
      <c r="N59" s="812"/>
      <c r="P59" s="580"/>
      <c r="Q59" s="576"/>
      <c r="R59" s="576"/>
      <c r="S59" s="576"/>
      <c r="T59" s="576"/>
      <c r="U59" s="576"/>
      <c r="V59" s="576"/>
      <c r="W59" s="576"/>
      <c r="X59" s="576"/>
      <c r="Y59" s="576"/>
      <c r="Z59" s="576"/>
      <c r="AA59" s="581"/>
    </row>
    <row r="60" spans="1:27" ht="17.7" customHeight="1" x14ac:dyDescent="0.25">
      <c r="A60" s="547" t="s">
        <v>67</v>
      </c>
      <c r="B60" s="95" t="s">
        <v>228</v>
      </c>
      <c r="C60" s="588" t="s">
        <v>229</v>
      </c>
      <c r="D60" s="572" t="s">
        <v>144</v>
      </c>
      <c r="E60" s="95" t="s">
        <v>145</v>
      </c>
      <c r="F60" s="62" t="s">
        <v>130</v>
      </c>
      <c r="G60" s="405">
        <f t="shared" si="3"/>
        <v>2.1739309552893989E-2</v>
      </c>
      <c r="H60" s="191">
        <v>5250.51</v>
      </c>
      <c r="I60" s="16">
        <v>73529.66</v>
      </c>
      <c r="J60" s="16">
        <v>1</v>
      </c>
      <c r="K60" s="16">
        <f t="shared" si="4"/>
        <v>5250.51</v>
      </c>
      <c r="L60" s="416">
        <f t="shared" si="1"/>
        <v>26</v>
      </c>
      <c r="M60" s="123">
        <v>5</v>
      </c>
      <c r="N60" s="125"/>
      <c r="P60" s="580"/>
      <c r="Q60" s="576"/>
      <c r="R60" s="576"/>
      <c r="S60" s="576"/>
      <c r="T60" s="576"/>
      <c r="U60" s="576"/>
      <c r="V60" s="576"/>
      <c r="W60" s="576"/>
      <c r="X60" s="576"/>
      <c r="Y60" s="576"/>
      <c r="Z60" s="576"/>
      <c r="AA60" s="581"/>
    </row>
    <row r="61" spans="1:27" ht="17.7" customHeight="1" x14ac:dyDescent="0.25">
      <c r="A61" s="547" t="s">
        <v>67</v>
      </c>
      <c r="B61" s="95" t="s">
        <v>230</v>
      </c>
      <c r="C61" s="588" t="s">
        <v>231</v>
      </c>
      <c r="D61" s="95" t="s">
        <v>232</v>
      </c>
      <c r="E61" s="62" t="s">
        <v>145</v>
      </c>
      <c r="F61" s="62" t="s">
        <v>130</v>
      </c>
      <c r="G61" s="405">
        <f t="shared" si="3"/>
        <v>2.1739309552893989E-2</v>
      </c>
      <c r="H61" s="191">
        <v>5250.51</v>
      </c>
      <c r="I61" s="16">
        <v>73529.66</v>
      </c>
      <c r="J61" s="16">
        <v>1</v>
      </c>
      <c r="K61" s="16">
        <f t="shared" si="4"/>
        <v>5250.51</v>
      </c>
      <c r="L61" s="416">
        <f t="shared" si="1"/>
        <v>26</v>
      </c>
      <c r="M61" s="123">
        <v>5</v>
      </c>
      <c r="N61" s="125"/>
      <c r="P61" s="580"/>
      <c r="Q61" s="576"/>
      <c r="R61" s="576"/>
      <c r="S61" s="576"/>
      <c r="T61" s="576"/>
      <c r="U61" s="576"/>
      <c r="V61" s="576"/>
      <c r="W61" s="576"/>
      <c r="X61" s="576"/>
      <c r="Y61" s="576"/>
      <c r="Z61" s="576"/>
      <c r="AA61" s="581"/>
    </row>
    <row r="62" spans="1:27" ht="39.6" customHeight="1" x14ac:dyDescent="0.25">
      <c r="A62" s="602" t="s">
        <v>233</v>
      </c>
      <c r="B62" s="95" t="s">
        <v>234</v>
      </c>
      <c r="C62" s="588" t="s">
        <v>235</v>
      </c>
      <c r="D62" s="62" t="s">
        <v>236</v>
      </c>
      <c r="E62" s="62"/>
      <c r="F62" s="18" t="s">
        <v>237</v>
      </c>
      <c r="G62" s="95"/>
      <c r="H62" s="17"/>
      <c r="I62" s="16"/>
      <c r="J62" s="16"/>
      <c r="K62" s="16">
        <f>SUM(K3:K61)</f>
        <v>241521.47000000006</v>
      </c>
      <c r="L62" s="121">
        <f>SUM(L3:L61)</f>
        <v>711</v>
      </c>
      <c r="M62" s="123"/>
      <c r="N62" s="124"/>
      <c r="P62" s="580"/>
      <c r="Q62" s="576"/>
      <c r="R62" s="576"/>
      <c r="S62" s="576"/>
      <c r="T62" s="576"/>
      <c r="U62" s="576"/>
      <c r="V62" s="576"/>
      <c r="W62" s="576"/>
      <c r="X62" s="576"/>
      <c r="Y62" s="576"/>
      <c r="Z62" s="576"/>
      <c r="AA62" s="581"/>
    </row>
    <row r="63" spans="1:27" ht="14.4" customHeight="1" x14ac:dyDescent="0.25">
      <c r="G63" s="6"/>
      <c r="H63" s="678"/>
      <c r="I63" s="6"/>
      <c r="J63" s="6"/>
      <c r="K63" s="6"/>
      <c r="L63" s="753"/>
      <c r="P63" s="580"/>
      <c r="Q63" s="576"/>
      <c r="R63" s="576"/>
      <c r="S63" s="576"/>
      <c r="T63" s="576"/>
      <c r="U63" s="576"/>
      <c r="V63" s="576"/>
      <c r="W63" s="576"/>
      <c r="X63" s="576"/>
      <c r="Y63" s="576"/>
      <c r="Z63" s="576"/>
      <c r="AA63" s="581"/>
    </row>
    <row r="64" spans="1:27" ht="14.4" customHeight="1" x14ac:dyDescent="0.25">
      <c r="A64" s="35"/>
      <c r="B64" s="35"/>
      <c r="C64" s="35"/>
      <c r="D64" s="35"/>
      <c r="E64" s="257"/>
      <c r="F64" s="35"/>
      <c r="G64" s="126"/>
      <c r="H64" s="679"/>
      <c r="I64" s="6"/>
      <c r="J64" s="6"/>
      <c r="K64" s="6"/>
      <c r="L64" s="6"/>
      <c r="P64" s="580"/>
      <c r="Q64" s="576"/>
      <c r="R64" s="576"/>
      <c r="S64" s="576"/>
      <c r="T64" s="576"/>
      <c r="U64" s="576"/>
      <c r="V64" s="576"/>
      <c r="W64" s="576"/>
      <c r="X64" s="576"/>
      <c r="Y64" s="576"/>
      <c r="Z64" s="576"/>
      <c r="AA64" s="581"/>
    </row>
    <row r="65" spans="1:27" ht="14.4" customHeight="1" x14ac:dyDescent="0.25">
      <c r="A65" s="12" t="s">
        <v>238</v>
      </c>
      <c r="B65" s="595">
        <v>0.55000000000000004</v>
      </c>
      <c r="D65" s="35"/>
      <c r="E65" s="257"/>
      <c r="F65" s="35"/>
      <c r="G65" s="599"/>
      <c r="I65" s="6"/>
      <c r="J65" s="600"/>
      <c r="K65" s="6"/>
      <c r="L65" s="6"/>
      <c r="P65" s="580"/>
      <c r="Q65" s="576"/>
      <c r="R65" s="576"/>
      <c r="S65" s="576"/>
      <c r="T65" s="576"/>
      <c r="U65" s="576"/>
      <c r="V65" s="576"/>
      <c r="W65" s="576"/>
      <c r="X65" s="576"/>
      <c r="Y65" s="576"/>
      <c r="Z65" s="576"/>
      <c r="AA65" s="581"/>
    </row>
    <row r="66" spans="1:27" ht="14.4" customHeight="1" x14ac:dyDescent="0.25">
      <c r="A66" s="590" t="s">
        <v>239</v>
      </c>
      <c r="B66" s="35"/>
      <c r="C66" s="35"/>
      <c r="D66" s="35"/>
      <c r="E66" s="257"/>
      <c r="F66" s="35"/>
      <c r="G66" s="126"/>
      <c r="I66" s="6"/>
      <c r="J66" s="6"/>
      <c r="K66" s="6"/>
      <c r="L66" s="6"/>
      <c r="P66" s="580"/>
      <c r="Q66" s="576"/>
      <c r="R66" s="576"/>
      <c r="S66" s="576"/>
      <c r="T66" s="576"/>
      <c r="U66" s="576"/>
      <c r="V66" s="576"/>
      <c r="W66" s="576"/>
      <c r="X66" s="576"/>
      <c r="Y66" s="576"/>
      <c r="Z66" s="576"/>
      <c r="AA66" s="581"/>
    </row>
    <row r="67" spans="1:27" ht="14.7" customHeight="1" x14ac:dyDescent="0.25">
      <c r="A67" s="591" t="s">
        <v>240</v>
      </c>
      <c r="B67" s="596"/>
      <c r="C67" s="596"/>
      <c r="D67" s="596"/>
      <c r="E67" s="597"/>
      <c r="G67" s="6"/>
      <c r="H67" s="6"/>
      <c r="I67" s="6"/>
      <c r="J67" s="6"/>
      <c r="K67" s="6"/>
      <c r="L67" s="6"/>
      <c r="P67" s="580"/>
      <c r="Q67" s="576"/>
      <c r="R67" s="576"/>
      <c r="S67" s="576"/>
      <c r="T67" s="576"/>
      <c r="U67" s="576"/>
      <c r="V67" s="576"/>
      <c r="W67" s="576"/>
      <c r="X67" s="576"/>
      <c r="Y67" s="576"/>
      <c r="Z67" s="576"/>
      <c r="AA67" s="581"/>
    </row>
    <row r="68" spans="1:27" ht="14.4" customHeight="1" x14ac:dyDescent="0.25">
      <c r="A68" s="592"/>
      <c r="B68" s="592"/>
      <c r="C68" s="592"/>
      <c r="D68" s="592"/>
      <c r="E68" s="598"/>
      <c r="G68" s="6"/>
      <c r="H68" s="6"/>
      <c r="I68" s="6"/>
      <c r="J68" s="6"/>
      <c r="K68" s="6"/>
      <c r="L68" s="6"/>
      <c r="P68" s="584"/>
      <c r="Q68" s="585"/>
      <c r="R68" s="585"/>
      <c r="S68" s="585"/>
      <c r="T68" s="585"/>
      <c r="U68" s="585"/>
      <c r="V68" s="585"/>
      <c r="W68" s="585"/>
      <c r="X68" s="585"/>
      <c r="Y68" s="585"/>
      <c r="Z68" s="585"/>
      <c r="AA68" s="586"/>
    </row>
    <row r="69" spans="1:27" s="103" customFormat="1" ht="13.2" x14ac:dyDescent="0.3">
      <c r="A69" s="103" t="s">
        <v>241</v>
      </c>
      <c r="P69" s="583"/>
      <c r="Q69" s="583"/>
      <c r="R69" s="583"/>
      <c r="S69" s="583"/>
      <c r="T69" s="583"/>
      <c r="U69" s="583"/>
      <c r="V69" s="583"/>
      <c r="W69" s="583"/>
      <c r="X69" s="583"/>
      <c r="Y69" s="583"/>
      <c r="Z69" s="583"/>
      <c r="AA69" s="583"/>
    </row>
    <row r="70" spans="1:27" ht="13.2" x14ac:dyDescent="0.25">
      <c r="A70" s="6"/>
      <c r="B70" s="6"/>
      <c r="C70" s="6"/>
      <c r="D70" s="6"/>
      <c r="E70" s="6"/>
      <c r="G70" s="6"/>
      <c r="H70" s="6"/>
      <c r="I70" s="6"/>
      <c r="J70" s="6"/>
      <c r="K70" s="6"/>
      <c r="L70" s="6"/>
    </row>
    <row r="71" spans="1:27" ht="13.2" x14ac:dyDescent="0.25">
      <c r="G71" s="6"/>
      <c r="H71" s="6"/>
      <c r="I71" s="6"/>
      <c r="J71" s="6"/>
      <c r="K71" s="6"/>
      <c r="L71" s="6"/>
    </row>
    <row r="72" spans="1:27" ht="13.2" x14ac:dyDescent="0.25">
      <c r="G72" s="6"/>
      <c r="H72" s="6"/>
      <c r="I72" s="6"/>
      <c r="J72" s="6"/>
      <c r="K72" s="6"/>
      <c r="L72" s="6"/>
    </row>
    <row r="73" spans="1:27" ht="13.2" x14ac:dyDescent="0.25">
      <c r="G73" s="6"/>
      <c r="H73" s="6"/>
      <c r="I73" s="6"/>
      <c r="J73" s="6"/>
      <c r="K73" s="6"/>
      <c r="L73" s="6"/>
    </row>
    <row r="74" spans="1:27" ht="13.2" x14ac:dyDescent="0.25">
      <c r="G74" s="6"/>
      <c r="H74" s="6"/>
      <c r="I74" s="6"/>
      <c r="J74" s="6"/>
      <c r="K74" s="6"/>
      <c r="L74" s="6"/>
    </row>
    <row r="75" spans="1:27" ht="13.2" x14ac:dyDescent="0.25">
      <c r="G75" s="6"/>
      <c r="H75" s="6"/>
      <c r="I75" s="6"/>
      <c r="J75" s="6"/>
      <c r="K75" s="6"/>
      <c r="L75" s="6"/>
    </row>
    <row r="76" spans="1:27" s="22" customFormat="1" ht="13.2" hidden="1" x14ac:dyDescent="0.25">
      <c r="A76" s="103" t="s">
        <v>241</v>
      </c>
      <c r="B76" s="103"/>
      <c r="C76" s="103"/>
      <c r="D76" s="103"/>
      <c r="E76" s="49"/>
      <c r="F76" s="103"/>
      <c r="G76" s="601"/>
      <c r="H76" s="49"/>
      <c r="I76" s="103"/>
      <c r="J76" s="103"/>
      <c r="K76" s="103"/>
      <c r="L76" s="103"/>
    </row>
    <row r="77" spans="1:27" ht="13.2" x14ac:dyDescent="0.25">
      <c r="A77" s="593"/>
      <c r="B77" s="593"/>
      <c r="C77" s="593"/>
      <c r="D77" s="593"/>
      <c r="E77" s="373"/>
      <c r="F77" s="593"/>
    </row>
  </sheetData>
  <mergeCells count="2">
    <mergeCell ref="N44:N59"/>
    <mergeCell ref="A1:N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2D5293A-11E7-4F93-8F47-4749D7E180A1}">
          <x14:formula1>
            <xm:f>Data!$A$2:$A$200</xm:f>
          </x14:formula1>
          <xm:sqref>C3:C61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46"/>
  <sheetViews>
    <sheetView zoomScale="55" zoomScaleNormal="55" workbookViewId="0">
      <selection sqref="A1:X1"/>
    </sheetView>
  </sheetViews>
  <sheetFormatPr defaultColWidth="9.33203125" defaultRowHeight="13.8" x14ac:dyDescent="0.25"/>
  <cols>
    <col min="1" max="1" width="15.44140625" style="52" customWidth="1"/>
    <col min="2" max="2" width="13.5546875" style="53" customWidth="1"/>
    <col min="3" max="3" width="22.88671875" style="52" customWidth="1"/>
    <col min="4" max="4" width="41.44140625" style="52" bestFit="1" customWidth="1"/>
    <col min="5" max="5" width="15.6640625" style="52" customWidth="1"/>
    <col min="6" max="6" width="10.6640625" style="52" customWidth="1"/>
    <col min="7" max="7" width="20.5546875" style="54" customWidth="1"/>
    <col min="8" max="8" width="54.6640625" style="52" customWidth="1"/>
    <col min="9" max="9" width="6.88671875" style="52" customWidth="1"/>
    <col min="10" max="12" width="7" style="52" customWidth="1"/>
    <col min="13" max="13" width="7.88671875" style="52" customWidth="1"/>
    <col min="14" max="14" width="8.6640625" style="52" customWidth="1"/>
    <col min="15" max="15" width="7" style="52" customWidth="1"/>
    <col min="16" max="16" width="7.109375" style="52" customWidth="1"/>
    <col min="17" max="17" width="7.5546875" style="52" customWidth="1"/>
    <col min="18" max="21" width="7" style="52" customWidth="1"/>
    <col min="22" max="22" width="7.6640625" style="52" customWidth="1"/>
    <col min="23" max="24" width="7" style="52" customWidth="1"/>
    <col min="25" max="26" width="9.33203125" style="52"/>
    <col min="27" max="30" width="7.6640625" style="52" customWidth="1"/>
    <col min="31" max="31" width="9.6640625" style="52" customWidth="1"/>
    <col min="32" max="32" width="7.5546875" style="52" customWidth="1"/>
    <col min="33" max="33" width="11.44140625" style="52" customWidth="1"/>
    <col min="34" max="42" width="7.6640625" style="52" customWidth="1"/>
    <col min="43" max="46" width="10.44140625" style="52" customWidth="1"/>
    <col min="47" max="47" width="9.88671875" style="52" customWidth="1"/>
    <col min="48" max="48" width="10.44140625" style="52" customWidth="1"/>
    <col min="49" max="49" width="21.6640625" style="52" customWidth="1"/>
    <col min="50" max="50" width="10.44140625" style="52" customWidth="1"/>
    <col min="51" max="53" width="7.44140625" style="52" customWidth="1"/>
    <col min="54" max="54" width="7.6640625" style="52" customWidth="1"/>
    <col min="55" max="55" width="7.44140625" style="52" customWidth="1"/>
    <col min="56" max="56" width="13.6640625" style="52" customWidth="1"/>
    <col min="57" max="60" width="7.44140625" style="52" customWidth="1"/>
    <col min="61" max="62" width="9.6640625" style="52" bestFit="1" customWidth="1"/>
    <col min="63" max="16384" width="9.33203125" style="52"/>
  </cols>
  <sheetData>
    <row r="1" spans="1:62" ht="31.95" customHeight="1" x14ac:dyDescent="0.25">
      <c r="A1" s="818" t="str">
        <f>"Envelope - "&amp;Prototype!A2</f>
        <v>Envelope - Hospital</v>
      </c>
      <c r="B1" s="818"/>
      <c r="C1" s="818"/>
      <c r="D1" s="818"/>
      <c r="E1" s="818"/>
      <c r="F1" s="818"/>
      <c r="G1" s="818"/>
      <c r="H1" s="818"/>
      <c r="I1" s="818"/>
      <c r="J1" s="818"/>
      <c r="K1" s="818"/>
      <c r="L1" s="818"/>
      <c r="M1" s="818"/>
      <c r="N1" s="818"/>
      <c r="O1" s="818"/>
      <c r="P1" s="818"/>
      <c r="Q1" s="818"/>
      <c r="R1" s="818"/>
      <c r="S1" s="818"/>
      <c r="T1" s="818"/>
      <c r="U1" s="818"/>
      <c r="V1" s="818"/>
      <c r="W1" s="818"/>
      <c r="X1" s="818"/>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spans="1:62" ht="31.95" customHeight="1" x14ac:dyDescent="0.25">
      <c r="A2" s="608" t="s">
        <v>242</v>
      </c>
      <c r="B2" s="608" t="s">
        <v>10</v>
      </c>
      <c r="C2" s="608" t="s">
        <v>243</v>
      </c>
      <c r="D2" s="608" t="s">
        <v>244</v>
      </c>
      <c r="E2" s="770" t="s">
        <v>245</v>
      </c>
      <c r="F2" s="608" t="s">
        <v>246</v>
      </c>
      <c r="G2" s="770" t="s">
        <v>247</v>
      </c>
      <c r="H2" s="608" t="s">
        <v>66</v>
      </c>
      <c r="I2" s="608" t="s">
        <v>248</v>
      </c>
      <c r="J2" s="608" t="s">
        <v>249</v>
      </c>
      <c r="K2" s="608" t="s">
        <v>250</v>
      </c>
      <c r="L2" s="608" t="s">
        <v>251</v>
      </c>
      <c r="M2" s="608" t="s">
        <v>252</v>
      </c>
      <c r="N2" s="608" t="s">
        <v>253</v>
      </c>
      <c r="O2" s="608" t="s">
        <v>254</v>
      </c>
      <c r="P2" s="608" t="s">
        <v>255</v>
      </c>
      <c r="Q2" s="608" t="s">
        <v>256</v>
      </c>
      <c r="R2" s="608" t="s">
        <v>257</v>
      </c>
      <c r="S2" s="608" t="s">
        <v>258</v>
      </c>
      <c r="T2" s="608" t="s">
        <v>259</v>
      </c>
      <c r="U2" s="608" t="s">
        <v>260</v>
      </c>
      <c r="V2" s="608" t="s">
        <v>261</v>
      </c>
      <c r="W2" s="608" t="s">
        <v>262</v>
      </c>
      <c r="X2" s="608" t="s">
        <v>263</v>
      </c>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row>
    <row r="3" spans="1:62" ht="53.25" customHeight="1" x14ac:dyDescent="0.25">
      <c r="A3" s="814" t="s">
        <v>264</v>
      </c>
      <c r="B3" s="815" t="s">
        <v>67</v>
      </c>
      <c r="C3" s="820" t="s">
        <v>265</v>
      </c>
      <c r="D3" s="819" t="s">
        <v>266</v>
      </c>
      <c r="E3" s="814" t="s">
        <v>267</v>
      </c>
      <c r="F3" s="755" t="s">
        <v>268</v>
      </c>
      <c r="G3" s="755" t="s">
        <v>269</v>
      </c>
      <c r="H3" s="663" t="s">
        <v>270</v>
      </c>
      <c r="I3" s="664">
        <f t="shared" ref="I3:X3" si="0">I43*$I$45+I44*(1-$I$45)</f>
        <v>0.21190700000000001</v>
      </c>
      <c r="J3" s="664">
        <f t="shared" si="0"/>
        <v>0.20769500000000002</v>
      </c>
      <c r="K3" s="664">
        <f t="shared" si="0"/>
        <v>0.210035</v>
      </c>
      <c r="L3" s="664">
        <f t="shared" si="0"/>
        <v>0.20769500000000002</v>
      </c>
      <c r="M3" s="664">
        <f t="shared" si="0"/>
        <v>0.20769500000000002</v>
      </c>
      <c r="N3" s="664">
        <f t="shared" si="0"/>
        <v>0.21190700000000001</v>
      </c>
      <c r="O3" s="664">
        <f t="shared" si="0"/>
        <v>0.21190700000000001</v>
      </c>
      <c r="P3" s="664">
        <f t="shared" si="0"/>
        <v>0.20769500000000002</v>
      </c>
      <c r="Q3" s="664">
        <f t="shared" si="0"/>
        <v>0.20769500000000002</v>
      </c>
      <c r="R3" s="664">
        <f t="shared" si="0"/>
        <v>0.20769500000000002</v>
      </c>
      <c r="S3" s="664">
        <f t="shared" si="0"/>
        <v>0.20769500000000002</v>
      </c>
      <c r="T3" s="664">
        <f t="shared" si="0"/>
        <v>0.20769500000000002</v>
      </c>
      <c r="U3" s="664">
        <f t="shared" si="0"/>
        <v>0.20769500000000002</v>
      </c>
      <c r="V3" s="664">
        <f t="shared" si="0"/>
        <v>0.20769500000000002</v>
      </c>
      <c r="W3" s="664">
        <f t="shared" si="0"/>
        <v>0.20769500000000002</v>
      </c>
      <c r="X3" s="664">
        <f t="shared" si="0"/>
        <v>0.20769500000000002</v>
      </c>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row>
    <row r="4" spans="1:62" ht="77.25" customHeight="1" x14ac:dyDescent="0.25">
      <c r="A4" s="814"/>
      <c r="B4" s="815"/>
      <c r="C4" s="820"/>
      <c r="D4" s="814"/>
      <c r="E4" s="814"/>
      <c r="F4" s="609" t="s">
        <v>271</v>
      </c>
      <c r="G4" s="609">
        <v>1986</v>
      </c>
      <c r="H4" s="665" t="s">
        <v>272</v>
      </c>
      <c r="I4" s="664">
        <f t="shared" ref="I4:X4" si="1">1/7.4</f>
        <v>0.13513513513513511</v>
      </c>
      <c r="J4" s="664">
        <f t="shared" si="1"/>
        <v>0.13513513513513511</v>
      </c>
      <c r="K4" s="664">
        <f t="shared" si="1"/>
        <v>0.13513513513513511</v>
      </c>
      <c r="L4" s="664">
        <f t="shared" si="1"/>
        <v>0.13513513513513511</v>
      </c>
      <c r="M4" s="664">
        <f t="shared" si="1"/>
        <v>0.13513513513513511</v>
      </c>
      <c r="N4" s="664">
        <f t="shared" si="1"/>
        <v>0.13513513513513511</v>
      </c>
      <c r="O4" s="664">
        <f t="shared" si="1"/>
        <v>0.13513513513513511</v>
      </c>
      <c r="P4" s="664">
        <f t="shared" si="1"/>
        <v>0.13513513513513511</v>
      </c>
      <c r="Q4" s="664">
        <f t="shared" si="1"/>
        <v>0.13513513513513511</v>
      </c>
      <c r="R4" s="664">
        <f t="shared" si="1"/>
        <v>0.13513513513513511</v>
      </c>
      <c r="S4" s="664">
        <f t="shared" si="1"/>
        <v>0.13513513513513511</v>
      </c>
      <c r="T4" s="664">
        <f t="shared" si="1"/>
        <v>0.13513513513513511</v>
      </c>
      <c r="U4" s="664">
        <f t="shared" si="1"/>
        <v>0.13513513513513511</v>
      </c>
      <c r="V4" s="664">
        <f t="shared" si="1"/>
        <v>0.13513513513513511</v>
      </c>
      <c r="W4" s="664">
        <f t="shared" si="1"/>
        <v>0.13513513513513511</v>
      </c>
      <c r="X4" s="664">
        <f t="shared" si="1"/>
        <v>0.13513513513513511</v>
      </c>
      <c r="Y4" s="535" t="s">
        <v>273</v>
      </c>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row>
    <row r="5" spans="1:62" ht="21" customHeight="1" x14ac:dyDescent="0.25">
      <c r="A5" s="814"/>
      <c r="B5" s="815"/>
      <c r="C5" s="820"/>
      <c r="D5" s="814"/>
      <c r="E5" s="814"/>
      <c r="F5" s="610" t="s">
        <v>274</v>
      </c>
      <c r="G5" s="610">
        <v>2001</v>
      </c>
      <c r="H5" s="610" t="s">
        <v>275</v>
      </c>
      <c r="I5" s="610">
        <v>0.182</v>
      </c>
      <c r="J5" s="610">
        <v>0.182</v>
      </c>
      <c r="K5" s="610">
        <v>0.189</v>
      </c>
      <c r="L5" s="610">
        <v>0.189</v>
      </c>
      <c r="M5" s="610">
        <v>0.189</v>
      </c>
      <c r="N5" s="610">
        <v>0.189</v>
      </c>
      <c r="O5" s="610">
        <v>0.189</v>
      </c>
      <c r="P5" s="610">
        <v>0.189</v>
      </c>
      <c r="Q5" s="610">
        <v>0.189</v>
      </c>
      <c r="R5" s="610">
        <v>0.182</v>
      </c>
      <c r="S5" s="610">
        <v>0.182</v>
      </c>
      <c r="T5" s="610">
        <v>0.182</v>
      </c>
      <c r="U5" s="610">
        <v>0.182</v>
      </c>
      <c r="V5" s="610">
        <v>0.182</v>
      </c>
      <c r="W5" s="611">
        <v>0.182</v>
      </c>
      <c r="X5" s="611">
        <v>0.182</v>
      </c>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row>
    <row r="6" spans="1:62" ht="21" customHeight="1" x14ac:dyDescent="0.25">
      <c r="A6" s="814"/>
      <c r="B6" s="815"/>
      <c r="C6" s="820"/>
      <c r="D6" s="814"/>
      <c r="E6" s="814"/>
      <c r="F6" s="612" t="s">
        <v>276</v>
      </c>
      <c r="G6" s="612">
        <v>2013</v>
      </c>
      <c r="H6" s="612" t="s">
        <v>277</v>
      </c>
      <c r="I6" s="612">
        <v>9.8000000000000004E-2</v>
      </c>
      <c r="J6" s="612">
        <v>6.2E-2</v>
      </c>
      <c r="K6" s="612">
        <v>8.2000000000000003E-2</v>
      </c>
      <c r="L6" s="612">
        <v>6.2E-2</v>
      </c>
      <c r="M6" s="612">
        <v>6.2E-2</v>
      </c>
      <c r="N6" s="612">
        <v>9.8000000000000004E-2</v>
      </c>
      <c r="O6" s="612">
        <v>9.8000000000000004E-2</v>
      </c>
      <c r="P6" s="612">
        <v>6.2E-2</v>
      </c>
      <c r="Q6" s="612">
        <v>6.2E-2</v>
      </c>
      <c r="R6" s="612">
        <v>6.2E-2</v>
      </c>
      <c r="S6" s="612">
        <v>6.2E-2</v>
      </c>
      <c r="T6" s="612">
        <v>6.2E-2</v>
      </c>
      <c r="U6" s="612">
        <v>6.2E-2</v>
      </c>
      <c r="V6" s="612">
        <v>6.2E-2</v>
      </c>
      <c r="W6" s="613">
        <v>6.2E-2</v>
      </c>
      <c r="X6" s="613">
        <v>6.2E-2</v>
      </c>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row>
    <row r="7" spans="1:62" ht="21" customHeight="1" x14ac:dyDescent="0.25">
      <c r="A7" s="814"/>
      <c r="B7" s="815"/>
      <c r="C7" s="820"/>
      <c r="D7" s="814"/>
      <c r="E7" s="814"/>
      <c r="F7" s="614" t="s">
        <v>278</v>
      </c>
      <c r="G7" s="614"/>
      <c r="H7" s="614" t="s">
        <v>279</v>
      </c>
      <c r="I7" s="623" cm="1">
        <f t="array" ref="I7:X7">_xlfn.BYCOL(TRANSPOSE(Weights!$C$4:$F$19)*I3:X6,_xlfn.LAMBDA(_xlpm.c,SUM(_xlpm.c)))</f>
        <v>0.16187763297297297</v>
      </c>
      <c r="J7" s="623">
        <v>0.16310367702702702</v>
      </c>
      <c r="K7" s="623">
        <v>0.16339285270270271</v>
      </c>
      <c r="L7" s="623">
        <v>0.16031756432724323</v>
      </c>
      <c r="M7" s="623">
        <v>0.15637833292544592</v>
      </c>
      <c r="N7" s="623">
        <v>0.18572547780498108</v>
      </c>
      <c r="O7" s="623">
        <v>0.16626504168818376</v>
      </c>
      <c r="P7" s="623">
        <v>0.18598768566490542</v>
      </c>
      <c r="Q7" s="623">
        <v>0.18241737586835133</v>
      </c>
      <c r="R7" s="623">
        <v>0.15166685825490542</v>
      </c>
      <c r="S7" s="623">
        <v>0.15240736020824325</v>
      </c>
      <c r="T7" s="623">
        <v>0.15385143657752703</v>
      </c>
      <c r="U7" s="623">
        <v>0.14821957994781082</v>
      </c>
      <c r="V7" s="623">
        <v>0.1639808567140946</v>
      </c>
      <c r="W7" s="623">
        <v>0.1422948195517027</v>
      </c>
      <c r="X7" s="623">
        <v>0.14964585557040541</v>
      </c>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2" ht="21" customHeight="1" x14ac:dyDescent="0.25">
      <c r="A8" s="814"/>
      <c r="B8" s="815"/>
      <c r="C8" s="820"/>
      <c r="D8" s="814"/>
      <c r="E8" s="814"/>
      <c r="F8" s="615" t="s">
        <v>280</v>
      </c>
      <c r="G8" s="616">
        <v>2025</v>
      </c>
      <c r="H8" s="616" t="s">
        <v>277</v>
      </c>
      <c r="I8" s="616">
        <v>0.06</v>
      </c>
      <c r="J8" s="616">
        <v>5.5E-2</v>
      </c>
      <c r="K8" s="616">
        <v>7.0999999999999994E-2</v>
      </c>
      <c r="L8" s="616">
        <v>5.5E-2</v>
      </c>
      <c r="M8" s="616">
        <v>5.5E-2</v>
      </c>
      <c r="N8" s="616">
        <v>0.06</v>
      </c>
      <c r="O8" s="616">
        <v>0.06</v>
      </c>
      <c r="P8" s="616">
        <v>5.5E-2</v>
      </c>
      <c r="Q8" s="616">
        <v>5.5E-2</v>
      </c>
      <c r="R8" s="616">
        <v>5.5E-2</v>
      </c>
      <c r="S8" s="616">
        <v>5.5E-2</v>
      </c>
      <c r="T8" s="616">
        <v>5.5E-2</v>
      </c>
      <c r="U8" s="616">
        <v>5.5E-2</v>
      </c>
      <c r="V8" s="616">
        <v>5.5E-2</v>
      </c>
      <c r="W8" s="617">
        <v>5.5E-2</v>
      </c>
      <c r="X8" s="617">
        <v>5.5E-2</v>
      </c>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row>
    <row r="9" spans="1:62" ht="21" customHeight="1" x14ac:dyDescent="0.25">
      <c r="A9" s="814" t="s">
        <v>281</v>
      </c>
      <c r="B9" s="815" t="s">
        <v>282</v>
      </c>
      <c r="C9" s="815" t="s">
        <v>283</v>
      </c>
      <c r="D9" s="816" t="s">
        <v>284</v>
      </c>
      <c r="E9" s="814" t="s">
        <v>267</v>
      </c>
      <c r="F9" s="755" t="s">
        <v>268</v>
      </c>
      <c r="G9" s="755" t="s">
        <v>269</v>
      </c>
      <c r="H9" s="815" t="s">
        <v>285</v>
      </c>
      <c r="I9" s="755">
        <v>5.7000000000000002E-2</v>
      </c>
      <c r="J9" s="755">
        <v>5.7000000000000002E-2</v>
      </c>
      <c r="K9" s="755">
        <v>5.7000000000000002E-2</v>
      </c>
      <c r="L9" s="755">
        <v>5.7000000000000002E-2</v>
      </c>
      <c r="M9" s="755">
        <v>5.7000000000000002E-2</v>
      </c>
      <c r="N9" s="755">
        <v>7.8E-2</v>
      </c>
      <c r="O9" s="755">
        <v>7.8E-2</v>
      </c>
      <c r="P9" s="755">
        <v>7.8E-2</v>
      </c>
      <c r="Q9" s="755">
        <v>7.8E-2</v>
      </c>
      <c r="R9" s="755">
        <v>7.8E-2</v>
      </c>
      <c r="S9" s="755">
        <v>5.7000000000000002E-2</v>
      </c>
      <c r="T9" s="755">
        <v>5.7000000000000002E-2</v>
      </c>
      <c r="U9" s="755">
        <v>5.7000000000000002E-2</v>
      </c>
      <c r="V9" s="755">
        <v>5.7000000000000002E-2</v>
      </c>
      <c r="W9" s="755">
        <v>5.7000000000000002E-2</v>
      </c>
      <c r="X9" s="755">
        <v>5.7000000000000002E-2</v>
      </c>
      <c r="Y9" s="107"/>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row>
    <row r="10" spans="1:62" ht="21" customHeight="1" x14ac:dyDescent="0.25">
      <c r="A10" s="814"/>
      <c r="B10" s="815"/>
      <c r="C10" s="815"/>
      <c r="D10" s="817"/>
      <c r="E10" s="814"/>
      <c r="F10" s="755" t="s">
        <v>271</v>
      </c>
      <c r="G10" s="755">
        <v>1992</v>
      </c>
      <c r="H10" s="815"/>
      <c r="I10" s="755">
        <v>5.7000000000000002E-2</v>
      </c>
      <c r="J10" s="755">
        <v>5.7000000000000002E-2</v>
      </c>
      <c r="K10" s="755">
        <v>5.7000000000000002E-2</v>
      </c>
      <c r="L10" s="755">
        <v>5.7000000000000002E-2</v>
      </c>
      <c r="M10" s="755">
        <v>5.7000000000000002E-2</v>
      </c>
      <c r="N10" s="755">
        <v>7.8E-2</v>
      </c>
      <c r="O10" s="755">
        <v>7.8E-2</v>
      </c>
      <c r="P10" s="755">
        <v>7.8E-2</v>
      </c>
      <c r="Q10" s="755">
        <v>7.8E-2</v>
      </c>
      <c r="R10" s="755">
        <v>7.8E-2</v>
      </c>
      <c r="S10" s="755">
        <v>5.7000000000000002E-2</v>
      </c>
      <c r="T10" s="755">
        <v>5.7000000000000002E-2</v>
      </c>
      <c r="U10" s="755">
        <v>5.7000000000000002E-2</v>
      </c>
      <c r="V10" s="755">
        <v>5.7000000000000002E-2</v>
      </c>
      <c r="W10" s="755">
        <v>5.7000000000000002E-2</v>
      </c>
      <c r="X10" s="755">
        <v>5.7000000000000002E-2</v>
      </c>
      <c r="Y10" s="107"/>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row>
    <row r="11" spans="1:62" ht="21" customHeight="1" x14ac:dyDescent="0.25">
      <c r="A11" s="814"/>
      <c r="B11" s="815"/>
      <c r="C11" s="815"/>
      <c r="D11" s="817"/>
      <c r="E11" s="814"/>
      <c r="F11" s="610" t="s">
        <v>274</v>
      </c>
      <c r="G11" s="610">
        <v>2001</v>
      </c>
      <c r="H11" s="610" t="s">
        <v>275</v>
      </c>
      <c r="I11" s="610">
        <v>5.7000000000000002E-2</v>
      </c>
      <c r="J11" s="610">
        <v>5.7000000000000002E-2</v>
      </c>
      <c r="K11" s="610">
        <v>5.7000000000000002E-2</v>
      </c>
      <c r="L11" s="610">
        <v>5.7000000000000002E-2</v>
      </c>
      <c r="M11" s="610">
        <v>5.7000000000000002E-2</v>
      </c>
      <c r="N11" s="610">
        <v>7.8E-2</v>
      </c>
      <c r="O11" s="610">
        <v>7.8E-2</v>
      </c>
      <c r="P11" s="610">
        <v>7.8E-2</v>
      </c>
      <c r="Q11" s="610">
        <v>7.8E-2</v>
      </c>
      <c r="R11" s="610">
        <v>5.7000000000000002E-2</v>
      </c>
      <c r="S11" s="610">
        <v>5.7000000000000002E-2</v>
      </c>
      <c r="T11" s="610">
        <v>5.7000000000000002E-2</v>
      </c>
      <c r="U11" s="610">
        <v>5.7000000000000002E-2</v>
      </c>
      <c r="V11" s="610">
        <v>5.7000000000000002E-2</v>
      </c>
      <c r="W11" s="610">
        <v>5.7000000000000002E-2</v>
      </c>
      <c r="X11" s="610">
        <v>5.7000000000000002E-2</v>
      </c>
      <c r="Y11" s="107"/>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row>
    <row r="12" spans="1:62" ht="21" customHeight="1" x14ac:dyDescent="0.25">
      <c r="A12" s="814"/>
      <c r="B12" s="815"/>
      <c r="C12" s="815"/>
      <c r="D12" s="817"/>
      <c r="E12" s="814"/>
      <c r="F12" s="612" t="s">
        <v>276</v>
      </c>
      <c r="G12" s="612">
        <v>2013</v>
      </c>
      <c r="H12" s="612" t="s">
        <v>277</v>
      </c>
      <c r="I12" s="612">
        <v>4.9000000000000002E-2</v>
      </c>
      <c r="J12" s="612">
        <v>3.9E-2</v>
      </c>
      <c r="K12" s="612">
        <v>3.9E-2</v>
      </c>
      <c r="L12" s="612">
        <v>3.9E-2</v>
      </c>
      <c r="M12" s="612">
        <v>4.9000000000000002E-2</v>
      </c>
      <c r="N12" s="612">
        <v>7.4999999999999997E-2</v>
      </c>
      <c r="O12" s="612">
        <v>6.7000000000000004E-2</v>
      </c>
      <c r="P12" s="612">
        <v>6.7000000000000004E-2</v>
      </c>
      <c r="Q12" s="612">
        <v>3.9E-2</v>
      </c>
      <c r="R12" s="612">
        <v>3.9E-2</v>
      </c>
      <c r="S12" s="612">
        <v>3.9E-2</v>
      </c>
      <c r="T12" s="612">
        <v>3.9E-2</v>
      </c>
      <c r="U12" s="612">
        <v>3.9E-2</v>
      </c>
      <c r="V12" s="612">
        <v>3.9E-2</v>
      </c>
      <c r="W12" s="612">
        <v>3.9E-2</v>
      </c>
      <c r="X12" s="612">
        <v>3.9E-2</v>
      </c>
      <c r="Y12" s="107"/>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row>
    <row r="13" spans="1:62" ht="21" customHeight="1" x14ac:dyDescent="0.25">
      <c r="A13" s="814"/>
      <c r="B13" s="815"/>
      <c r="C13" s="815"/>
      <c r="D13" s="817"/>
      <c r="E13" s="814"/>
      <c r="F13" s="614" t="s">
        <v>278</v>
      </c>
      <c r="G13" s="614"/>
      <c r="H13" s="614" t="s">
        <v>279</v>
      </c>
      <c r="I13" s="623" cm="1">
        <f t="array" ref="I13:X13">_xlfn.BYCOL(TRANSPOSE(Weights!$C$4:$F$19)*I9:X12,_xlfn.LAMBDA(_xlpm.c,SUM(_xlpm.c)))</f>
        <v>5.476000000000001E-2</v>
      </c>
      <c r="J13" s="623">
        <v>5.3760000000000002E-2</v>
      </c>
      <c r="K13" s="623">
        <v>5.5200000000000006E-2</v>
      </c>
      <c r="L13" s="623">
        <v>5.5120290599999996E-2</v>
      </c>
      <c r="M13" s="623">
        <v>5.6560454400000008E-2</v>
      </c>
      <c r="N13" s="623">
        <v>7.790731079999999E-2</v>
      </c>
      <c r="O13" s="623">
        <v>7.7078645499999987E-2</v>
      </c>
      <c r="P13" s="623">
        <v>7.7806986400000014E-2</v>
      </c>
      <c r="Q13" s="623">
        <v>7.5502822200000014E-2</v>
      </c>
      <c r="R13" s="623">
        <v>6.9452266200000001E-2</v>
      </c>
      <c r="S13" s="623">
        <v>5.2931787600000002E-2</v>
      </c>
      <c r="T13" s="623">
        <v>5.3371862699999995E-2</v>
      </c>
      <c r="U13" s="623">
        <v>5.1703814700000003E-2</v>
      </c>
      <c r="V13" s="623">
        <v>5.4599710499999995E-2</v>
      </c>
      <c r="W13" s="623">
        <v>5.2859553599999998E-2</v>
      </c>
      <c r="X13" s="623">
        <v>5.2586239800000004E-2</v>
      </c>
      <c r="Y13" s="107"/>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row>
    <row r="14" spans="1:62" ht="21" customHeight="1" x14ac:dyDescent="0.25">
      <c r="A14" s="814"/>
      <c r="B14" s="815"/>
      <c r="C14" s="815"/>
      <c r="D14" s="817"/>
      <c r="E14" s="814"/>
      <c r="F14" s="615" t="s">
        <v>280</v>
      </c>
      <c r="G14" s="616">
        <v>2025</v>
      </c>
      <c r="H14" s="616" t="s">
        <v>277</v>
      </c>
      <c r="I14" s="616">
        <v>3.7999999999999999E-2</v>
      </c>
      <c r="J14" s="616">
        <v>3.7999999999999999E-2</v>
      </c>
      <c r="K14" s="616">
        <v>3.7999999999999999E-2</v>
      </c>
      <c r="L14" s="616">
        <v>3.7999999999999999E-2</v>
      </c>
      <c r="M14" s="616">
        <v>3.7999999999999999E-2</v>
      </c>
      <c r="N14" s="616">
        <v>3.7999999999999999E-2</v>
      </c>
      <c r="O14" s="616">
        <v>3.7999999999999999E-2</v>
      </c>
      <c r="P14" s="616">
        <v>3.7999999999999999E-2</v>
      </c>
      <c r="Q14" s="616">
        <v>3.7999999999999999E-2</v>
      </c>
      <c r="R14" s="616">
        <v>3.7999999999999999E-2</v>
      </c>
      <c r="S14" s="616">
        <v>3.7999999999999999E-2</v>
      </c>
      <c r="T14" s="616">
        <v>3.7999999999999999E-2</v>
      </c>
      <c r="U14" s="616">
        <v>3.7999999999999999E-2</v>
      </c>
      <c r="V14" s="616">
        <v>3.7999999999999999E-2</v>
      </c>
      <c r="W14" s="616">
        <v>3.7999999999999999E-2</v>
      </c>
      <c r="X14" s="616">
        <v>3.7999999999999999E-2</v>
      </c>
      <c r="Y14" s="107"/>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row>
    <row r="15" spans="1:62" ht="18.600000000000001" customHeight="1" x14ac:dyDescent="0.25">
      <c r="A15" s="814" t="s">
        <v>286</v>
      </c>
      <c r="B15" s="815" t="s">
        <v>67</v>
      </c>
      <c r="C15" s="814" t="s">
        <v>287</v>
      </c>
      <c r="D15" s="815" t="s">
        <v>288</v>
      </c>
      <c r="E15" s="814" t="s">
        <v>267</v>
      </c>
      <c r="F15" s="755" t="s">
        <v>268</v>
      </c>
      <c r="G15" s="755" t="s">
        <v>269</v>
      </c>
      <c r="H15" s="815" t="s">
        <v>289</v>
      </c>
      <c r="I15" s="618">
        <f t="shared" ref="I15:X16" si="2">0.338*1.12+0.67*0.36</f>
        <v>0.61976000000000009</v>
      </c>
      <c r="J15" s="618">
        <f t="shared" si="2"/>
        <v>0.61976000000000009</v>
      </c>
      <c r="K15" s="618">
        <f t="shared" si="2"/>
        <v>0.61976000000000009</v>
      </c>
      <c r="L15" s="618">
        <f t="shared" si="2"/>
        <v>0.61976000000000009</v>
      </c>
      <c r="M15" s="618">
        <f t="shared" si="2"/>
        <v>0.61976000000000009</v>
      </c>
      <c r="N15" s="618">
        <f t="shared" si="2"/>
        <v>0.61976000000000009</v>
      </c>
      <c r="O15" s="618">
        <f t="shared" si="2"/>
        <v>0.61976000000000009</v>
      </c>
      <c r="P15" s="618">
        <f t="shared" si="2"/>
        <v>0.61976000000000009</v>
      </c>
      <c r="Q15" s="618">
        <f t="shared" si="2"/>
        <v>0.61976000000000009</v>
      </c>
      <c r="R15" s="618">
        <f t="shared" si="2"/>
        <v>0.61976000000000009</v>
      </c>
      <c r="S15" s="618">
        <f t="shared" si="2"/>
        <v>0.61976000000000009</v>
      </c>
      <c r="T15" s="618">
        <f t="shared" si="2"/>
        <v>0.61976000000000009</v>
      </c>
      <c r="U15" s="618">
        <f t="shared" si="2"/>
        <v>0.61976000000000009</v>
      </c>
      <c r="V15" s="618">
        <f t="shared" si="2"/>
        <v>0.61976000000000009</v>
      </c>
      <c r="W15" s="618">
        <f t="shared" si="2"/>
        <v>0.61976000000000009</v>
      </c>
      <c r="X15" s="618">
        <f t="shared" si="2"/>
        <v>0.61976000000000009</v>
      </c>
      <c r="Y15" s="107"/>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row>
    <row r="16" spans="1:62" ht="18.600000000000001" customHeight="1" x14ac:dyDescent="0.25">
      <c r="A16" s="814"/>
      <c r="B16" s="815"/>
      <c r="C16" s="814"/>
      <c r="D16" s="815"/>
      <c r="E16" s="814"/>
      <c r="F16" s="755" t="s">
        <v>271</v>
      </c>
      <c r="G16" s="755" t="s">
        <v>269</v>
      </c>
      <c r="H16" s="815"/>
      <c r="I16" s="618">
        <f t="shared" si="2"/>
        <v>0.61976000000000009</v>
      </c>
      <c r="J16" s="618">
        <f t="shared" si="2"/>
        <v>0.61976000000000009</v>
      </c>
      <c r="K16" s="618">
        <f t="shared" si="2"/>
        <v>0.61976000000000009</v>
      </c>
      <c r="L16" s="618">
        <f t="shared" si="2"/>
        <v>0.61976000000000009</v>
      </c>
      <c r="M16" s="618">
        <f t="shared" si="2"/>
        <v>0.61976000000000009</v>
      </c>
      <c r="N16" s="618">
        <f t="shared" si="2"/>
        <v>0.61976000000000009</v>
      </c>
      <c r="O16" s="618">
        <f t="shared" si="2"/>
        <v>0.61976000000000009</v>
      </c>
      <c r="P16" s="618">
        <f t="shared" si="2"/>
        <v>0.61976000000000009</v>
      </c>
      <c r="Q16" s="618">
        <f t="shared" si="2"/>
        <v>0.61976000000000009</v>
      </c>
      <c r="R16" s="618">
        <f t="shared" si="2"/>
        <v>0.61976000000000009</v>
      </c>
      <c r="S16" s="618">
        <f t="shared" si="2"/>
        <v>0.61976000000000009</v>
      </c>
      <c r="T16" s="618">
        <f t="shared" si="2"/>
        <v>0.61976000000000009</v>
      </c>
      <c r="U16" s="618">
        <f t="shared" si="2"/>
        <v>0.61976000000000009</v>
      </c>
      <c r="V16" s="618">
        <f t="shared" si="2"/>
        <v>0.61976000000000009</v>
      </c>
      <c r="W16" s="618">
        <f t="shared" si="2"/>
        <v>0.61976000000000009</v>
      </c>
      <c r="X16" s="618">
        <f t="shared" si="2"/>
        <v>0.61976000000000009</v>
      </c>
      <c r="Y16" s="107"/>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row>
    <row r="17" spans="1:62" ht="18.600000000000001" customHeight="1" x14ac:dyDescent="0.25">
      <c r="A17" s="814"/>
      <c r="B17" s="815"/>
      <c r="C17" s="814"/>
      <c r="D17" s="814" t="s">
        <v>290</v>
      </c>
      <c r="E17" s="814"/>
      <c r="F17" s="610" t="s">
        <v>274</v>
      </c>
      <c r="G17" s="610">
        <v>2001</v>
      </c>
      <c r="H17" s="610" t="s">
        <v>275</v>
      </c>
      <c r="I17" s="610">
        <v>0.49</v>
      </c>
      <c r="J17" s="610">
        <v>0.49</v>
      </c>
      <c r="K17" s="610">
        <v>0.81</v>
      </c>
      <c r="L17" s="610">
        <v>0.81</v>
      </c>
      <c r="M17" s="610">
        <v>0.81</v>
      </c>
      <c r="N17" s="610">
        <v>0.81</v>
      </c>
      <c r="O17" s="610">
        <v>0.81</v>
      </c>
      <c r="P17" s="610">
        <v>0.81</v>
      </c>
      <c r="Q17" s="610">
        <v>0.81</v>
      </c>
      <c r="R17" s="610">
        <v>0.49</v>
      </c>
      <c r="S17" s="610">
        <v>0.49</v>
      </c>
      <c r="T17" s="610">
        <v>0.49</v>
      </c>
      <c r="U17" s="610">
        <v>0.49</v>
      </c>
      <c r="V17" s="610">
        <v>0.49</v>
      </c>
      <c r="W17" s="610">
        <v>0.49</v>
      </c>
      <c r="X17" s="610">
        <v>0.49</v>
      </c>
      <c r="Y17" s="107"/>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row>
    <row r="18" spans="1:62" ht="18.600000000000001" customHeight="1" x14ac:dyDescent="0.25">
      <c r="A18" s="814"/>
      <c r="B18" s="815"/>
      <c r="C18" s="814"/>
      <c r="D18" s="814"/>
      <c r="E18" s="814"/>
      <c r="F18" s="612" t="s">
        <v>276</v>
      </c>
      <c r="G18" s="612">
        <v>2013</v>
      </c>
      <c r="H18" s="612" t="s">
        <v>277</v>
      </c>
      <c r="I18" s="612">
        <v>0.36</v>
      </c>
      <c r="J18" s="612">
        <v>0.36</v>
      </c>
      <c r="K18" s="612">
        <v>0.36</v>
      </c>
      <c r="L18" s="612">
        <v>0.36</v>
      </c>
      <c r="M18" s="612">
        <v>0.36</v>
      </c>
      <c r="N18" s="612">
        <v>0.36</v>
      </c>
      <c r="O18" s="612">
        <v>0.36</v>
      </c>
      <c r="P18" s="612">
        <v>0.36</v>
      </c>
      <c r="Q18" s="612">
        <v>0.36</v>
      </c>
      <c r="R18" s="612">
        <v>0.36</v>
      </c>
      <c r="S18" s="612">
        <v>0.36</v>
      </c>
      <c r="T18" s="612">
        <v>0.36</v>
      </c>
      <c r="U18" s="612">
        <v>0.36</v>
      </c>
      <c r="V18" s="612">
        <v>0.36</v>
      </c>
      <c r="W18" s="612">
        <v>0.36</v>
      </c>
      <c r="X18" s="612">
        <v>0.36</v>
      </c>
      <c r="Y18" s="107"/>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row>
    <row r="19" spans="1:62" ht="18.600000000000001" customHeight="1" x14ac:dyDescent="0.25">
      <c r="A19" s="814"/>
      <c r="B19" s="815"/>
      <c r="C19" s="814"/>
      <c r="D19" s="814"/>
      <c r="E19" s="814"/>
      <c r="F19" s="614" t="s">
        <v>278</v>
      </c>
      <c r="G19" s="614"/>
      <c r="H19" s="614" t="s">
        <v>279</v>
      </c>
      <c r="I19" s="624" cm="1">
        <f t="array" ref="I19:X19">_xlfn.BYCOL(TRANSPOSE(Weights!$C$4:$F$19)*I15:X18,_xlfn.LAMBDA(_xlpm.c,SUM(_xlpm.c)))</f>
        <v>0.5249680000000001</v>
      </c>
      <c r="J19" s="624">
        <v>0.55353920000000001</v>
      </c>
      <c r="K19" s="624">
        <v>0.63563680000000011</v>
      </c>
      <c r="L19" s="624">
        <v>0.63197128468000008</v>
      </c>
      <c r="M19" s="624">
        <v>0.66912125587200022</v>
      </c>
      <c r="N19" s="624">
        <v>0.64101457464800005</v>
      </c>
      <c r="O19" s="624">
        <v>0.62463206602400012</v>
      </c>
      <c r="P19" s="624">
        <v>0.64535945999200017</v>
      </c>
      <c r="Q19" s="624">
        <v>0.6206531089120001</v>
      </c>
      <c r="R19" s="624">
        <v>0.5636358318800001</v>
      </c>
      <c r="S19" s="624">
        <v>0.53681852078400005</v>
      </c>
      <c r="T19" s="624">
        <v>0.54214252121600004</v>
      </c>
      <c r="U19" s="624">
        <v>0.51730203858400003</v>
      </c>
      <c r="V19" s="624">
        <v>0.56791165200000004</v>
      </c>
      <c r="W19" s="624">
        <v>0.55817990753600011</v>
      </c>
      <c r="X19" s="624">
        <v>0.53914259941600007</v>
      </c>
      <c r="Y19" s="107"/>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row>
    <row r="20" spans="1:62" ht="18.600000000000001" customHeight="1" x14ac:dyDescent="0.25">
      <c r="A20" s="814"/>
      <c r="B20" s="815"/>
      <c r="C20" s="814"/>
      <c r="D20" s="814"/>
      <c r="E20" s="814"/>
      <c r="F20" s="615" t="s">
        <v>280</v>
      </c>
      <c r="G20" s="616">
        <v>2025</v>
      </c>
      <c r="H20" s="616" t="s">
        <v>277</v>
      </c>
      <c r="I20" s="616">
        <v>0.36</v>
      </c>
      <c r="J20" s="616">
        <v>0.36</v>
      </c>
      <c r="K20" s="616">
        <v>0.36</v>
      </c>
      <c r="L20" s="616">
        <v>0.36</v>
      </c>
      <c r="M20" s="616">
        <v>0.36</v>
      </c>
      <c r="N20" s="616">
        <v>0.36</v>
      </c>
      <c r="O20" s="616">
        <v>0.36</v>
      </c>
      <c r="P20" s="616">
        <v>0.36</v>
      </c>
      <c r="Q20" s="616">
        <v>0.34</v>
      </c>
      <c r="R20" s="616">
        <v>0.36</v>
      </c>
      <c r="S20" s="616">
        <v>0.34</v>
      </c>
      <c r="T20" s="616">
        <v>0.34</v>
      </c>
      <c r="U20" s="616">
        <v>0.34</v>
      </c>
      <c r="V20" s="616">
        <v>0.34</v>
      </c>
      <c r="W20" s="616">
        <v>0.34</v>
      </c>
      <c r="X20" s="616">
        <v>0.36</v>
      </c>
      <c r="Y20" s="107"/>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row>
    <row r="21" spans="1:62" ht="18.600000000000001" customHeight="1" x14ac:dyDescent="0.25">
      <c r="A21" s="814"/>
      <c r="B21" s="815" t="s">
        <v>67</v>
      </c>
      <c r="C21" s="814" t="s">
        <v>287</v>
      </c>
      <c r="D21" s="815" t="s">
        <v>288</v>
      </c>
      <c r="E21" s="814" t="s">
        <v>291</v>
      </c>
      <c r="F21" s="755" t="s">
        <v>268</v>
      </c>
      <c r="G21" s="755" t="s">
        <v>269</v>
      </c>
      <c r="H21" s="815" t="s">
        <v>292</v>
      </c>
      <c r="I21" s="618">
        <f t="shared" ref="I21:X21" si="3">0.79*0.33+0.67*I24</f>
        <v>0.42820000000000003</v>
      </c>
      <c r="J21" s="618">
        <f t="shared" si="3"/>
        <v>0.42820000000000003</v>
      </c>
      <c r="K21" s="618">
        <f t="shared" si="3"/>
        <v>0.42820000000000003</v>
      </c>
      <c r="L21" s="618">
        <f t="shared" si="3"/>
        <v>0.42820000000000003</v>
      </c>
      <c r="M21" s="618">
        <f t="shared" si="3"/>
        <v>0.42820000000000003</v>
      </c>
      <c r="N21" s="618">
        <f t="shared" si="3"/>
        <v>0.42820000000000003</v>
      </c>
      <c r="O21" s="618">
        <f t="shared" si="3"/>
        <v>0.42820000000000003</v>
      </c>
      <c r="P21" s="618">
        <f t="shared" si="3"/>
        <v>0.42820000000000003</v>
      </c>
      <c r="Q21" s="618">
        <f t="shared" si="3"/>
        <v>0.42820000000000003</v>
      </c>
      <c r="R21" s="618">
        <f t="shared" si="3"/>
        <v>0.42820000000000003</v>
      </c>
      <c r="S21" s="618">
        <f t="shared" si="3"/>
        <v>0.42820000000000003</v>
      </c>
      <c r="T21" s="618">
        <f t="shared" si="3"/>
        <v>0.42820000000000003</v>
      </c>
      <c r="U21" s="618">
        <f t="shared" si="3"/>
        <v>0.42820000000000003</v>
      </c>
      <c r="V21" s="618">
        <f t="shared" si="3"/>
        <v>0.42820000000000003</v>
      </c>
      <c r="W21" s="618">
        <f t="shared" si="3"/>
        <v>0.42820000000000003</v>
      </c>
      <c r="X21" s="618">
        <f t="shared" si="3"/>
        <v>0.42820000000000003</v>
      </c>
      <c r="Y21" s="107"/>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row>
    <row r="22" spans="1:62" ht="18.600000000000001" customHeight="1" x14ac:dyDescent="0.25">
      <c r="A22" s="814"/>
      <c r="B22" s="815"/>
      <c r="C22" s="814"/>
      <c r="D22" s="815"/>
      <c r="E22" s="814"/>
      <c r="F22" s="755" t="s">
        <v>271</v>
      </c>
      <c r="G22" s="619" t="s">
        <v>269</v>
      </c>
      <c r="H22" s="815"/>
      <c r="I22" s="620">
        <f t="shared" ref="I22:X22" si="4">0.79*0.33+0.67*I24</f>
        <v>0.42820000000000003</v>
      </c>
      <c r="J22" s="620">
        <f t="shared" si="4"/>
        <v>0.42820000000000003</v>
      </c>
      <c r="K22" s="620">
        <f t="shared" si="4"/>
        <v>0.42820000000000003</v>
      </c>
      <c r="L22" s="620">
        <f t="shared" si="4"/>
        <v>0.42820000000000003</v>
      </c>
      <c r="M22" s="620">
        <f t="shared" si="4"/>
        <v>0.42820000000000003</v>
      </c>
      <c r="N22" s="620">
        <f t="shared" si="4"/>
        <v>0.42820000000000003</v>
      </c>
      <c r="O22" s="620">
        <f t="shared" si="4"/>
        <v>0.42820000000000003</v>
      </c>
      <c r="P22" s="620">
        <f t="shared" si="4"/>
        <v>0.42820000000000003</v>
      </c>
      <c r="Q22" s="620">
        <f t="shared" si="4"/>
        <v>0.42820000000000003</v>
      </c>
      <c r="R22" s="620">
        <f t="shared" si="4"/>
        <v>0.42820000000000003</v>
      </c>
      <c r="S22" s="620">
        <f t="shared" si="4"/>
        <v>0.42820000000000003</v>
      </c>
      <c r="T22" s="620">
        <f t="shared" si="4"/>
        <v>0.42820000000000003</v>
      </c>
      <c r="U22" s="620">
        <f t="shared" si="4"/>
        <v>0.42820000000000003</v>
      </c>
      <c r="V22" s="620">
        <f t="shared" si="4"/>
        <v>0.42820000000000003</v>
      </c>
      <c r="W22" s="620">
        <f t="shared" si="4"/>
        <v>0.42820000000000003</v>
      </c>
      <c r="X22" s="620">
        <f t="shared" si="4"/>
        <v>0.42820000000000003</v>
      </c>
      <c r="Y22" s="107"/>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row>
    <row r="23" spans="1:62" ht="18.600000000000001" customHeight="1" x14ac:dyDescent="0.25">
      <c r="A23" s="814"/>
      <c r="B23" s="815"/>
      <c r="C23" s="814"/>
      <c r="D23" s="814" t="s">
        <v>290</v>
      </c>
      <c r="E23" s="814"/>
      <c r="F23" s="610" t="s">
        <v>274</v>
      </c>
      <c r="G23" s="610">
        <v>2001</v>
      </c>
      <c r="H23" s="621" t="s">
        <v>293</v>
      </c>
      <c r="I23" s="610">
        <v>0.43</v>
      </c>
      <c r="J23" s="610">
        <v>0.36</v>
      </c>
      <c r="K23" s="610">
        <v>0.55000000000000004</v>
      </c>
      <c r="L23" s="610">
        <v>0.55000000000000004</v>
      </c>
      <c r="M23" s="610">
        <v>0.55000000000000004</v>
      </c>
      <c r="N23" s="610">
        <v>0.61</v>
      </c>
      <c r="O23" s="610">
        <v>0.61</v>
      </c>
      <c r="P23" s="610">
        <v>0.61</v>
      </c>
      <c r="Q23" s="610">
        <v>0.61</v>
      </c>
      <c r="R23" s="610">
        <v>0.36</v>
      </c>
      <c r="S23" s="610">
        <v>0.36</v>
      </c>
      <c r="T23" s="610">
        <v>0.36</v>
      </c>
      <c r="U23" s="610">
        <v>0.36</v>
      </c>
      <c r="V23" s="610">
        <v>0.36</v>
      </c>
      <c r="W23" s="610">
        <v>0.36</v>
      </c>
      <c r="X23" s="610">
        <v>0.43</v>
      </c>
      <c r="Y23" s="107"/>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row>
    <row r="24" spans="1:62" ht="18.600000000000001" customHeight="1" x14ac:dyDescent="0.25">
      <c r="A24" s="814"/>
      <c r="B24" s="815"/>
      <c r="C24" s="814"/>
      <c r="D24" s="814"/>
      <c r="E24" s="814"/>
      <c r="F24" s="612" t="s">
        <v>276</v>
      </c>
      <c r="G24" s="612">
        <v>2013</v>
      </c>
      <c r="H24" s="612" t="s">
        <v>277</v>
      </c>
      <c r="I24" s="612">
        <v>0.25</v>
      </c>
      <c r="J24" s="612">
        <v>0.25</v>
      </c>
      <c r="K24" s="612">
        <v>0.25</v>
      </c>
      <c r="L24" s="612">
        <v>0.25</v>
      </c>
      <c r="M24" s="612">
        <v>0.25</v>
      </c>
      <c r="N24" s="612">
        <v>0.25</v>
      </c>
      <c r="O24" s="612">
        <v>0.25</v>
      </c>
      <c r="P24" s="612">
        <v>0.25</v>
      </c>
      <c r="Q24" s="612">
        <v>0.25</v>
      </c>
      <c r="R24" s="612">
        <v>0.25</v>
      </c>
      <c r="S24" s="612">
        <v>0.25</v>
      </c>
      <c r="T24" s="612">
        <v>0.25</v>
      </c>
      <c r="U24" s="612">
        <v>0.25</v>
      </c>
      <c r="V24" s="612">
        <v>0.25</v>
      </c>
      <c r="W24" s="612">
        <v>0.25</v>
      </c>
      <c r="X24" s="612">
        <v>0.25</v>
      </c>
      <c r="Y24" s="107"/>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row>
    <row r="25" spans="1:62" ht="18.600000000000001" customHeight="1" x14ac:dyDescent="0.25">
      <c r="A25" s="814"/>
      <c r="B25" s="815"/>
      <c r="C25" s="814"/>
      <c r="D25" s="814"/>
      <c r="E25" s="814"/>
      <c r="F25" s="614" t="s">
        <v>278</v>
      </c>
      <c r="G25" s="614"/>
      <c r="H25" s="622" t="s">
        <v>279</v>
      </c>
      <c r="I25" s="624" cm="1">
        <f t="array" ref="I25:X25">_xlfn.BYCOL(TRANSPOSE(Weights!$C$4:$F$19)*I21:X24,_xlfn.LAMBDA(_xlpm.c,SUM(_xlpm.c)))</f>
        <v>0.37861</v>
      </c>
      <c r="J25" s="624">
        <v>0.38589399999999996</v>
      </c>
      <c r="K25" s="624">
        <v>0.43717600000000001</v>
      </c>
      <c r="L25" s="624">
        <v>0.43477652259999999</v>
      </c>
      <c r="M25" s="624">
        <v>0.45914995504000006</v>
      </c>
      <c r="N25" s="624">
        <v>0.4506753018600001</v>
      </c>
      <c r="O25" s="624">
        <v>0.43872207567999999</v>
      </c>
      <c r="P25" s="624">
        <v>0.45389266844000004</v>
      </c>
      <c r="Q25" s="624">
        <v>0.43353788884000005</v>
      </c>
      <c r="R25" s="624">
        <v>0.39136171060000002</v>
      </c>
      <c r="S25" s="624">
        <v>0.37518836088000002</v>
      </c>
      <c r="T25" s="624">
        <v>0.37900544461999996</v>
      </c>
      <c r="U25" s="624">
        <v>0.36208775937999998</v>
      </c>
      <c r="V25" s="624">
        <v>0.39539206800000004</v>
      </c>
      <c r="W25" s="624">
        <v>0.38624836301999999</v>
      </c>
      <c r="X25" s="624">
        <v>0.38473851112000002</v>
      </c>
      <c r="Y25" s="107"/>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row>
    <row r="26" spans="1:62" ht="18.600000000000001" customHeight="1" x14ac:dyDescent="0.25">
      <c r="A26" s="814"/>
      <c r="B26" s="815"/>
      <c r="C26" s="814"/>
      <c r="D26" s="814"/>
      <c r="E26" s="814"/>
      <c r="F26" s="615" t="s">
        <v>280</v>
      </c>
      <c r="G26" s="616">
        <v>2025</v>
      </c>
      <c r="H26" s="615" t="s">
        <v>277</v>
      </c>
      <c r="I26" s="616">
        <v>0.25</v>
      </c>
      <c r="J26" s="616">
        <v>0.25</v>
      </c>
      <c r="K26" s="616">
        <v>0.25</v>
      </c>
      <c r="L26" s="616">
        <v>0.25</v>
      </c>
      <c r="M26" s="616">
        <v>0.25</v>
      </c>
      <c r="N26" s="616">
        <v>0.25</v>
      </c>
      <c r="O26" s="616">
        <v>0.25</v>
      </c>
      <c r="P26" s="616">
        <v>0.25</v>
      </c>
      <c r="Q26" s="616">
        <v>0.22</v>
      </c>
      <c r="R26" s="616">
        <v>0.25</v>
      </c>
      <c r="S26" s="616">
        <v>0.22</v>
      </c>
      <c r="T26" s="616">
        <v>0.22</v>
      </c>
      <c r="U26" s="616">
        <v>0.22</v>
      </c>
      <c r="V26" s="616">
        <v>0.22</v>
      </c>
      <c r="W26" s="616">
        <v>0.22</v>
      </c>
      <c r="X26" s="616">
        <v>0.25</v>
      </c>
      <c r="Y26" s="107"/>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row>
    <row r="27" spans="1:62" ht="15" customHeight="1" x14ac:dyDescent="0.25">
      <c r="A27" s="3"/>
      <c r="B27" s="108"/>
      <c r="C27" s="3"/>
      <c r="D27" s="3"/>
      <c r="E27" s="3"/>
      <c r="F27" s="3"/>
      <c r="G27" s="756"/>
      <c r="H27" s="3"/>
      <c r="I27" s="3"/>
      <c r="J27" s="3"/>
      <c r="K27" s="3"/>
      <c r="L27" s="3"/>
      <c r="M27" s="3"/>
      <c r="N27" s="3"/>
      <c r="O27" s="3"/>
      <c r="P27" s="3"/>
      <c r="Q27" s="3"/>
      <c r="R27" s="3"/>
      <c r="S27" s="3"/>
      <c r="T27" s="3"/>
      <c r="U27" s="3"/>
      <c r="V27" s="3"/>
      <c r="W27" s="3"/>
      <c r="X27" s="3"/>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row>
    <row r="28" spans="1:62" ht="25.95" customHeight="1" x14ac:dyDescent="0.25">
      <c r="A28" s="3"/>
      <c r="B28" s="108"/>
      <c r="C28" s="3"/>
      <c r="D28" s="3"/>
      <c r="E28" s="77"/>
      <c r="F28" s="77"/>
      <c r="G28" s="77"/>
      <c r="H28" s="77"/>
      <c r="I28" s="77"/>
      <c r="J28" s="77"/>
      <c r="K28" s="77"/>
      <c r="L28" s="77"/>
      <c r="M28" s="192"/>
      <c r="N28" s="192"/>
      <c r="O28" s="192"/>
      <c r="P28" s="192"/>
      <c r="Q28" s="192"/>
      <c r="R28" s="192"/>
      <c r="S28" s="192"/>
      <c r="T28" s="192"/>
      <c r="U28" s="192"/>
      <c r="V28" s="192"/>
      <c r="W28" s="192"/>
      <c r="X28" s="192"/>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row>
    <row r="29" spans="1:62" ht="44.4" customHeight="1" x14ac:dyDescent="0.25">
      <c r="A29" s="1"/>
      <c r="B29" s="166"/>
      <c r="C29" s="801" t="s">
        <v>294</v>
      </c>
      <c r="D29" s="801"/>
      <c r="E29" s="801"/>
      <c r="F29" s="801"/>
      <c r="G29" s="801"/>
      <c r="H29" s="801"/>
      <c r="I29" s="801"/>
      <c r="J29" s="801"/>
      <c r="K29" s="801"/>
      <c r="L29" s="801"/>
      <c r="M29" s="801"/>
      <c r="N29" s="801"/>
      <c r="O29" s="801"/>
      <c r="P29" s="801"/>
      <c r="Q29" s="801"/>
      <c r="R29" s="801"/>
      <c r="S29" s="801"/>
      <c r="T29" s="801"/>
      <c r="U29" s="801"/>
      <c r="V29" s="801"/>
      <c r="W29" s="801"/>
      <c r="X29" s="824"/>
      <c r="Y29" s="77"/>
      <c r="Z29" s="77"/>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row>
    <row r="30" spans="1:62" ht="63" customHeight="1" x14ac:dyDescent="0.25">
      <c r="A30" s="1"/>
      <c r="B30" s="166"/>
      <c r="C30" s="625"/>
      <c r="D30" s="625" t="s">
        <v>113</v>
      </c>
      <c r="E30" s="625" t="s">
        <v>295</v>
      </c>
      <c r="F30" s="771" t="s">
        <v>246</v>
      </c>
      <c r="G30" s="127" t="s">
        <v>296</v>
      </c>
      <c r="H30" s="127" t="s">
        <v>297</v>
      </c>
      <c r="I30" s="835" t="s">
        <v>298</v>
      </c>
      <c r="J30" s="836"/>
      <c r="K30" s="836"/>
      <c r="L30" s="836"/>
      <c r="M30" s="836"/>
      <c r="N30" s="836"/>
      <c r="O30" s="836"/>
      <c r="P30" s="836"/>
      <c r="Q30" s="836"/>
      <c r="R30" s="836"/>
      <c r="S30" s="836"/>
      <c r="T30" s="836"/>
      <c r="U30" s="836"/>
      <c r="V30" s="836"/>
      <c r="W30" s="836"/>
      <c r="X30" s="837"/>
      <c r="Y30" s="126"/>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row>
    <row r="31" spans="1:62" ht="25.2" customHeight="1" x14ac:dyDescent="0.25">
      <c r="A31" s="1"/>
      <c r="B31" s="166"/>
      <c r="C31" s="821" t="s">
        <v>299</v>
      </c>
      <c r="D31" s="821" t="s">
        <v>67</v>
      </c>
      <c r="E31" s="821"/>
      <c r="F31" s="759" t="s">
        <v>268</v>
      </c>
      <c r="G31" s="760">
        <v>1.1000000000000001</v>
      </c>
      <c r="H31" s="128" t="s">
        <v>300</v>
      </c>
      <c r="I31" s="829">
        <v>0.31209999999999999</v>
      </c>
      <c r="J31" s="830"/>
      <c r="K31" s="830"/>
      <c r="L31" s="830"/>
      <c r="M31" s="830"/>
      <c r="N31" s="830"/>
      <c r="O31" s="830"/>
      <c r="P31" s="830"/>
      <c r="Q31" s="830"/>
      <c r="R31" s="830"/>
      <c r="S31" s="830"/>
      <c r="T31" s="830"/>
      <c r="U31" s="830"/>
      <c r="V31" s="830"/>
      <c r="W31" s="830"/>
      <c r="X31" s="831"/>
      <c r="Y31" s="6"/>
      <c r="Z31" s="1"/>
      <c r="AA31" s="828"/>
      <c r="AB31" s="828"/>
      <c r="AC31" s="828"/>
      <c r="AD31" s="828"/>
      <c r="AE31" s="828"/>
      <c r="AF31" s="828"/>
      <c r="AG31" s="828"/>
      <c r="AH31" s="828"/>
      <c r="AI31" s="828"/>
      <c r="AJ31" s="828"/>
      <c r="AK31" s="828"/>
      <c r="AL31" s="828"/>
      <c r="AM31" s="828"/>
      <c r="AN31" s="828"/>
      <c r="AO31" s="828"/>
      <c r="AP31" s="828"/>
      <c r="AQ31" s="828"/>
      <c r="AR31" s="828"/>
      <c r="AS31" s="828"/>
      <c r="AT31" s="828"/>
      <c r="AU31" s="828"/>
      <c r="AV31" s="828"/>
      <c r="AW31" s="828"/>
      <c r="AX31" s="1"/>
      <c r="AY31" s="1"/>
      <c r="AZ31" s="1"/>
      <c r="BA31" s="1"/>
      <c r="BB31" s="1"/>
      <c r="BC31" s="1"/>
      <c r="BD31" s="1"/>
      <c r="BE31" s="1"/>
      <c r="BF31" s="1"/>
      <c r="BG31" s="1"/>
      <c r="BH31" s="1"/>
      <c r="BI31" s="1"/>
      <c r="BJ31" s="1"/>
    </row>
    <row r="32" spans="1:62" ht="25.2" customHeight="1" x14ac:dyDescent="0.25">
      <c r="A32" s="1"/>
      <c r="B32" s="166"/>
      <c r="C32" s="822"/>
      <c r="D32" s="822"/>
      <c r="E32" s="822"/>
      <c r="F32" s="759" t="s">
        <v>271</v>
      </c>
      <c r="G32" s="760">
        <v>1.1000000000000001</v>
      </c>
      <c r="H32" s="128" t="s">
        <v>300</v>
      </c>
      <c r="I32" s="829">
        <v>0.31209999999999999</v>
      </c>
      <c r="J32" s="830"/>
      <c r="K32" s="830"/>
      <c r="L32" s="830"/>
      <c r="M32" s="830"/>
      <c r="N32" s="830"/>
      <c r="O32" s="830"/>
      <c r="P32" s="830"/>
      <c r="Q32" s="830"/>
      <c r="R32" s="830"/>
      <c r="S32" s="830"/>
      <c r="T32" s="830"/>
      <c r="U32" s="830"/>
      <c r="V32" s="830"/>
      <c r="W32" s="830"/>
      <c r="X32" s="831"/>
      <c r="Y32" s="6"/>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row>
    <row r="33" spans="1:62" ht="25.2" customHeight="1" x14ac:dyDescent="0.25">
      <c r="A33" s="1"/>
      <c r="B33" s="166"/>
      <c r="C33" s="822"/>
      <c r="D33" s="822"/>
      <c r="E33" s="822"/>
      <c r="F33" s="759" t="s">
        <v>274</v>
      </c>
      <c r="G33" s="760">
        <v>1.1000000000000001</v>
      </c>
      <c r="H33" s="128" t="s">
        <v>300</v>
      </c>
      <c r="I33" s="829">
        <v>0.31209999999999999</v>
      </c>
      <c r="J33" s="830"/>
      <c r="K33" s="830"/>
      <c r="L33" s="830"/>
      <c r="M33" s="830"/>
      <c r="N33" s="830"/>
      <c r="O33" s="830"/>
      <c r="P33" s="830"/>
      <c r="Q33" s="830"/>
      <c r="R33" s="830"/>
      <c r="S33" s="830"/>
      <c r="T33" s="830"/>
      <c r="U33" s="830"/>
      <c r="V33" s="830"/>
      <c r="W33" s="830"/>
      <c r="X33" s="831"/>
      <c r="Y33" s="78"/>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row>
    <row r="34" spans="1:62" ht="44.25" customHeight="1" x14ac:dyDescent="0.25">
      <c r="A34" s="1"/>
      <c r="B34" s="166"/>
      <c r="C34" s="822"/>
      <c r="D34" s="822"/>
      <c r="E34" s="822"/>
      <c r="F34" s="759" t="s">
        <v>276</v>
      </c>
      <c r="G34" s="760">
        <v>1</v>
      </c>
      <c r="H34" s="129" t="s">
        <v>301</v>
      </c>
      <c r="I34" s="832">
        <v>0.28560000000000002</v>
      </c>
      <c r="J34" s="833"/>
      <c r="K34" s="833"/>
      <c r="L34" s="833"/>
      <c r="M34" s="833"/>
      <c r="N34" s="833"/>
      <c r="O34" s="833"/>
      <c r="P34" s="833"/>
      <c r="Q34" s="833"/>
      <c r="R34" s="833"/>
      <c r="S34" s="833"/>
      <c r="T34" s="833"/>
      <c r="U34" s="833"/>
      <c r="V34" s="833"/>
      <c r="W34" s="833"/>
      <c r="X34" s="834"/>
      <c r="Y34" s="6"/>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row>
    <row r="35" spans="1:62" ht="44.25" customHeight="1" x14ac:dyDescent="0.25">
      <c r="A35" s="1"/>
      <c r="B35" s="166"/>
      <c r="C35" s="822"/>
      <c r="D35" s="822"/>
      <c r="E35" s="822"/>
      <c r="F35" s="761" t="s">
        <v>278</v>
      </c>
      <c r="G35" s="760"/>
      <c r="H35" s="626" t="s">
        <v>302</v>
      </c>
      <c r="I35" s="825">
        <f>I33</f>
        <v>0.31209999999999999</v>
      </c>
      <c r="J35" s="826"/>
      <c r="K35" s="826"/>
      <c r="L35" s="826"/>
      <c r="M35" s="826"/>
      <c r="N35" s="826"/>
      <c r="O35" s="826"/>
      <c r="P35" s="826"/>
      <c r="Q35" s="826"/>
      <c r="R35" s="826"/>
      <c r="S35" s="826"/>
      <c r="T35" s="826"/>
      <c r="U35" s="826"/>
      <c r="V35" s="826"/>
      <c r="W35" s="826"/>
      <c r="X35" s="827"/>
      <c r="Y35" s="6"/>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row>
    <row r="36" spans="1:62" ht="39.75" customHeight="1" x14ac:dyDescent="0.25">
      <c r="A36" s="1"/>
      <c r="B36" s="166"/>
      <c r="C36" s="823"/>
      <c r="D36" s="823"/>
      <c r="E36" s="823"/>
      <c r="F36" s="759" t="s">
        <v>280</v>
      </c>
      <c r="G36" s="760">
        <v>0.6</v>
      </c>
      <c r="H36" s="130" t="s">
        <v>303</v>
      </c>
      <c r="I36" s="829">
        <v>0.17030000000000001</v>
      </c>
      <c r="J36" s="830"/>
      <c r="K36" s="830"/>
      <c r="L36" s="830"/>
      <c r="M36" s="830"/>
      <c r="N36" s="830"/>
      <c r="O36" s="830"/>
      <c r="P36" s="830"/>
      <c r="Q36" s="830"/>
      <c r="R36" s="830"/>
      <c r="S36" s="830"/>
      <c r="T36" s="830"/>
      <c r="U36" s="830"/>
      <c r="V36" s="830"/>
      <c r="W36" s="830"/>
      <c r="X36" s="831"/>
      <c r="Y36" s="6"/>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row>
    <row r="37" spans="1:62" x14ac:dyDescent="0.25">
      <c r="A37" s="1"/>
      <c r="B37" s="166"/>
      <c r="C37" s="1"/>
      <c r="D37" s="1"/>
      <c r="E37" s="3" t="s">
        <v>304</v>
      </c>
      <c r="F37" s="1"/>
      <c r="G37" s="78"/>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row>
    <row r="38" spans="1:62" ht="14.4" x14ac:dyDescent="0.3">
      <c r="A38" s="1"/>
      <c r="B38" s="166"/>
      <c r="C38" s="1"/>
      <c r="D38" s="1"/>
      <c r="E38" s="3" t="s">
        <v>305</v>
      </c>
      <c r="F38" s="1"/>
      <c r="G38" s="414" t="s">
        <v>306</v>
      </c>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row>
    <row r="39" spans="1:62" x14ac:dyDescent="0.25">
      <c r="A39" s="1"/>
      <c r="B39" s="166"/>
      <c r="C39" s="1"/>
      <c r="D39" s="1"/>
      <c r="E39" s="1"/>
      <c r="F39" s="1"/>
      <c r="G39" s="78"/>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row>
    <row r="41" spans="1:62" x14ac:dyDescent="0.25">
      <c r="A41" s="541" t="s">
        <v>307</v>
      </c>
      <c r="B41" s="166"/>
      <c r="C41" s="1"/>
      <c r="D41" s="1"/>
      <c r="E41" s="1"/>
      <c r="F41" s="1"/>
      <c r="G41" s="78"/>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row>
    <row r="42" spans="1:62" s="536" customFormat="1" ht="14.25" customHeight="1" x14ac:dyDescent="0.25">
      <c r="A42" s="846" t="s">
        <v>264</v>
      </c>
      <c r="B42" s="819" t="s">
        <v>67</v>
      </c>
      <c r="C42" s="847" t="s">
        <v>265</v>
      </c>
      <c r="D42" s="819" t="s">
        <v>308</v>
      </c>
      <c r="E42" s="848" t="s">
        <v>267</v>
      </c>
      <c r="F42" s="838" t="s">
        <v>268</v>
      </c>
      <c r="G42" s="841" t="s">
        <v>269</v>
      </c>
      <c r="H42" s="657" t="s">
        <v>309</v>
      </c>
      <c r="I42" s="658">
        <v>0.29199999999999998</v>
      </c>
      <c r="J42" s="658">
        <v>0.29199999999999998</v>
      </c>
      <c r="K42" s="658">
        <v>0.29199999999999998</v>
      </c>
      <c r="L42" s="658">
        <v>0.29199999999999998</v>
      </c>
      <c r="M42" s="658">
        <v>0.29199999999999998</v>
      </c>
      <c r="N42" s="658">
        <v>0.29199999999999998</v>
      </c>
      <c r="O42" s="658">
        <v>0.29199999999999998</v>
      </c>
      <c r="P42" s="658">
        <v>0.29199999999999998</v>
      </c>
      <c r="Q42" s="658">
        <v>0.29199999999999998</v>
      </c>
      <c r="R42" s="658">
        <v>0.29199999999999998</v>
      </c>
      <c r="S42" s="658">
        <v>0.29199999999999998</v>
      </c>
      <c r="T42" s="658">
        <v>0.29199999999999998</v>
      </c>
      <c r="U42" s="658">
        <v>0.29199999999999998</v>
      </c>
      <c r="V42" s="658">
        <v>0.29199999999999998</v>
      </c>
      <c r="W42" s="658">
        <v>0.29199999999999998</v>
      </c>
      <c r="X42" s="658">
        <v>0.29199999999999998</v>
      </c>
    </row>
    <row r="43" spans="1:62" s="536" customFormat="1" ht="14.4" x14ac:dyDescent="0.3">
      <c r="A43" s="846"/>
      <c r="B43" s="819"/>
      <c r="C43" s="847"/>
      <c r="D43" s="846"/>
      <c r="E43" s="848"/>
      <c r="F43" s="839"/>
      <c r="G43" s="842"/>
      <c r="H43" s="661" t="s">
        <v>310</v>
      </c>
      <c r="I43" s="660">
        <v>9.8000000000000004E-2</v>
      </c>
      <c r="J43" s="660">
        <v>6.2E-2</v>
      </c>
      <c r="K43" s="660">
        <v>8.2000000000000003E-2</v>
      </c>
      <c r="L43" s="660">
        <v>6.2E-2</v>
      </c>
      <c r="M43" s="660">
        <v>6.2E-2</v>
      </c>
      <c r="N43" s="660">
        <v>9.8000000000000004E-2</v>
      </c>
      <c r="O43" s="660">
        <v>9.8000000000000004E-2</v>
      </c>
      <c r="P43" s="660">
        <v>6.2E-2</v>
      </c>
      <c r="Q43" s="660">
        <v>6.2E-2</v>
      </c>
      <c r="R43" s="660">
        <v>6.2E-2</v>
      </c>
      <c r="S43" s="660">
        <v>6.2E-2</v>
      </c>
      <c r="T43" s="660">
        <v>6.2E-2</v>
      </c>
      <c r="U43" s="660">
        <v>6.2E-2</v>
      </c>
      <c r="V43" s="660">
        <v>6.2E-2</v>
      </c>
      <c r="W43" s="660">
        <v>6.2E-2</v>
      </c>
      <c r="X43" s="660">
        <v>6.2E-2</v>
      </c>
    </row>
    <row r="44" spans="1:62" s="536" customFormat="1" x14ac:dyDescent="0.25">
      <c r="A44" s="846"/>
      <c r="B44" s="819"/>
      <c r="C44" s="847"/>
      <c r="D44" s="846"/>
      <c r="E44" s="848"/>
      <c r="F44" s="839"/>
      <c r="G44" s="842"/>
      <c r="H44" s="663" t="s">
        <v>311</v>
      </c>
      <c r="I44" s="659">
        <v>0.22700000000000001</v>
      </c>
      <c r="J44" s="659">
        <v>0.22700000000000001</v>
      </c>
      <c r="K44" s="659">
        <v>0.22700000000000001</v>
      </c>
      <c r="L44" s="659">
        <v>0.22700000000000001</v>
      </c>
      <c r="M44" s="659">
        <v>0.22700000000000001</v>
      </c>
      <c r="N44" s="659">
        <v>0.22700000000000001</v>
      </c>
      <c r="O44" s="659">
        <v>0.22700000000000001</v>
      </c>
      <c r="P44" s="659">
        <v>0.22700000000000001</v>
      </c>
      <c r="Q44" s="659">
        <v>0.22700000000000001</v>
      </c>
      <c r="R44" s="659">
        <v>0.22700000000000001</v>
      </c>
      <c r="S44" s="659">
        <v>0.22700000000000001</v>
      </c>
      <c r="T44" s="659">
        <v>0.22700000000000001</v>
      </c>
      <c r="U44" s="659">
        <v>0.22700000000000001</v>
      </c>
      <c r="V44" s="659">
        <v>0.22700000000000001</v>
      </c>
      <c r="W44" s="659">
        <v>0.22700000000000001</v>
      </c>
      <c r="X44" s="659">
        <v>0.22700000000000001</v>
      </c>
    </row>
    <row r="45" spans="1:62" s="536" customFormat="1" ht="44.25" customHeight="1" x14ac:dyDescent="0.25">
      <c r="A45" s="846"/>
      <c r="B45" s="819"/>
      <c r="C45" s="847"/>
      <c r="D45" s="846"/>
      <c r="E45" s="849"/>
      <c r="F45" s="840"/>
      <c r="G45" s="843"/>
      <c r="H45" s="662" t="s">
        <v>312</v>
      </c>
      <c r="I45" s="844">
        <v>0.11700000000000001</v>
      </c>
      <c r="J45" s="845"/>
      <c r="K45" s="845"/>
      <c r="L45" s="845"/>
      <c r="M45" s="845"/>
      <c r="N45" s="845"/>
      <c r="O45" s="845"/>
      <c r="P45" s="845"/>
      <c r="Q45" s="845"/>
      <c r="R45" s="845"/>
      <c r="S45" s="845"/>
      <c r="T45" s="845"/>
      <c r="U45" s="845"/>
      <c r="V45" s="845"/>
      <c r="W45" s="845"/>
      <c r="X45" s="845"/>
    </row>
    <row r="46" spans="1:62" x14ac:dyDescent="0.25">
      <c r="A46" s="1"/>
      <c r="B46" s="166"/>
      <c r="C46" s="1"/>
      <c r="D46" s="1"/>
      <c r="E46" s="1"/>
      <c r="F46" s="1"/>
      <c r="G46" s="536"/>
      <c r="H46" s="536"/>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row>
  </sheetData>
  <mergeCells count="49">
    <mergeCell ref="F42:F45"/>
    <mergeCell ref="G42:G45"/>
    <mergeCell ref="I45:X45"/>
    <mergeCell ref="A42:A45"/>
    <mergeCell ref="B42:B45"/>
    <mergeCell ref="C42:C45"/>
    <mergeCell ref="D42:D45"/>
    <mergeCell ref="E42:E45"/>
    <mergeCell ref="C31:C36"/>
    <mergeCell ref="D31:D36"/>
    <mergeCell ref="C29:X29"/>
    <mergeCell ref="I35:X35"/>
    <mergeCell ref="AT31:AW31"/>
    <mergeCell ref="AF31:AJ31"/>
    <mergeCell ref="AA31:AE31"/>
    <mergeCell ref="AK31:AO31"/>
    <mergeCell ref="E31:E36"/>
    <mergeCell ref="I33:X33"/>
    <mergeCell ref="I34:X34"/>
    <mergeCell ref="I36:X36"/>
    <mergeCell ref="I32:X32"/>
    <mergeCell ref="AP31:AS31"/>
    <mergeCell ref="I30:X30"/>
    <mergeCell ref="I31:X31"/>
    <mergeCell ref="A1:X1"/>
    <mergeCell ref="D21:D22"/>
    <mergeCell ref="C21:C26"/>
    <mergeCell ref="E21:E26"/>
    <mergeCell ref="A15:A26"/>
    <mergeCell ref="B21:B26"/>
    <mergeCell ref="B15:B20"/>
    <mergeCell ref="D3:D8"/>
    <mergeCell ref="B3:B8"/>
    <mergeCell ref="A3:A8"/>
    <mergeCell ref="C3:C8"/>
    <mergeCell ref="C9:C14"/>
    <mergeCell ref="E3:E8"/>
    <mergeCell ref="H9:H10"/>
    <mergeCell ref="H15:H16"/>
    <mergeCell ref="H21:H22"/>
    <mergeCell ref="A9:A14"/>
    <mergeCell ref="D23:D26"/>
    <mergeCell ref="C15:C20"/>
    <mergeCell ref="B9:B14"/>
    <mergeCell ref="E9:E14"/>
    <mergeCell ref="E15:E20"/>
    <mergeCell ref="D9:D14"/>
    <mergeCell ref="D17:D20"/>
    <mergeCell ref="D15:D16"/>
  </mergeCells>
  <phoneticPr fontId="5" type="noConversion"/>
  <hyperlinks>
    <hyperlink ref="G38" r:id="rId1" xr:uid="{4A1521E0-F8A0-4820-95C1-4CD6F43904D6}"/>
    <hyperlink ref="H31" r:id="rId2" xr:uid="{41AD9FFF-609E-4AE3-98F2-52C38EDBAB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L58"/>
  <sheetViews>
    <sheetView zoomScale="70" zoomScaleNormal="70" workbookViewId="0">
      <selection sqref="A1:H1"/>
    </sheetView>
  </sheetViews>
  <sheetFormatPr defaultColWidth="8.6640625" defaultRowHeight="13.2" x14ac:dyDescent="0.25"/>
  <cols>
    <col min="1" max="1" width="26" style="3" customWidth="1"/>
    <col min="2" max="2" width="29.109375" style="3" customWidth="1"/>
    <col min="3" max="3" width="31" style="3" customWidth="1"/>
    <col min="4" max="4" width="50.5546875" style="3" customWidth="1"/>
    <col min="5" max="5" width="32" style="3" customWidth="1"/>
    <col min="6" max="6" width="48.33203125" style="3" bestFit="1" customWidth="1"/>
    <col min="7" max="7" width="37.6640625" style="3" customWidth="1"/>
    <col min="8" max="8" width="41.5546875" style="3" bestFit="1" customWidth="1"/>
    <col min="9" max="9" width="24.33203125" style="3" customWidth="1"/>
    <col min="10" max="11" width="12.6640625" style="3" customWidth="1"/>
    <col min="12" max="19" width="15.33203125" style="3" customWidth="1"/>
    <col min="20" max="20" width="14.6640625" style="3" customWidth="1"/>
    <col min="21" max="21" width="13.5546875" style="3" customWidth="1"/>
    <col min="22" max="22" width="15.6640625" style="3" customWidth="1"/>
    <col min="23" max="29" width="11" style="3" customWidth="1"/>
    <col min="30" max="38" width="6.5546875" style="3" customWidth="1"/>
    <col min="39" max="39" width="8.6640625" style="3" customWidth="1"/>
    <col min="40" max="16384" width="8.6640625" style="3"/>
  </cols>
  <sheetData>
    <row r="1" spans="1:10" ht="27" customHeight="1" x14ac:dyDescent="0.25">
      <c r="A1" s="852" t="str">
        <f>"HVAC system - "&amp;Prototype!A2</f>
        <v>HVAC system - Hospital</v>
      </c>
      <c r="B1" s="852"/>
      <c r="C1" s="852"/>
      <c r="D1" s="852"/>
      <c r="E1" s="852"/>
      <c r="F1" s="852"/>
      <c r="G1" s="852"/>
      <c r="H1" s="852"/>
    </row>
    <row r="2" spans="1:10" ht="19.2" customHeight="1" x14ac:dyDescent="0.25">
      <c r="A2" s="771" t="s">
        <v>246</v>
      </c>
      <c r="B2" s="131" t="s">
        <v>295</v>
      </c>
      <c r="C2" s="131" t="s">
        <v>313</v>
      </c>
      <c r="D2" s="131" t="s">
        <v>314</v>
      </c>
      <c r="E2" s="131" t="s">
        <v>315</v>
      </c>
      <c r="F2" s="144" t="s">
        <v>316</v>
      </c>
      <c r="G2" s="131" t="s">
        <v>71</v>
      </c>
      <c r="H2" s="131" t="s">
        <v>297</v>
      </c>
    </row>
    <row r="3" spans="1:10" ht="44.4" customHeight="1" x14ac:dyDescent="0.25">
      <c r="A3" s="854" t="s">
        <v>317</v>
      </c>
      <c r="B3" s="760" t="s">
        <v>179</v>
      </c>
      <c r="C3" s="155" t="s">
        <v>318</v>
      </c>
      <c r="D3" s="759" t="s">
        <v>319</v>
      </c>
      <c r="E3" s="759" t="s">
        <v>320</v>
      </c>
      <c r="F3" s="760" t="s">
        <v>321</v>
      </c>
      <c r="G3" s="760" t="s">
        <v>322</v>
      </c>
      <c r="H3" s="607"/>
      <c r="I3" s="751"/>
      <c r="J3" s="751"/>
    </row>
    <row r="4" spans="1:10" ht="36.6" customHeight="1" x14ac:dyDescent="0.25">
      <c r="A4" s="854"/>
      <c r="B4" s="766" t="s">
        <v>323</v>
      </c>
      <c r="C4" s="216" t="s">
        <v>318</v>
      </c>
      <c r="D4" s="765" t="s">
        <v>319</v>
      </c>
      <c r="E4" s="760" t="s">
        <v>324</v>
      </c>
      <c r="F4" s="487"/>
      <c r="G4" s="766" t="s">
        <v>322</v>
      </c>
      <c r="H4" s="217"/>
      <c r="I4" s="751"/>
      <c r="J4" s="751"/>
    </row>
    <row r="5" spans="1:10" ht="63.75" customHeight="1" x14ac:dyDescent="0.25">
      <c r="A5" s="853" t="s">
        <v>325</v>
      </c>
      <c r="B5" s="760" t="s">
        <v>179</v>
      </c>
      <c r="C5" s="167" t="s">
        <v>318</v>
      </c>
      <c r="D5" s="759" t="s">
        <v>319</v>
      </c>
      <c r="E5" s="759" t="s">
        <v>326</v>
      </c>
      <c r="F5" s="760" t="s">
        <v>327</v>
      </c>
      <c r="G5" s="760" t="s">
        <v>328</v>
      </c>
      <c r="H5" s="156" t="s">
        <v>329</v>
      </c>
      <c r="I5" s="69"/>
      <c r="J5" s="69"/>
    </row>
    <row r="6" spans="1:10" ht="36.6" customHeight="1" x14ac:dyDescent="0.25">
      <c r="A6" s="853"/>
      <c r="B6" s="760" t="s">
        <v>330</v>
      </c>
      <c r="C6" s="167" t="s">
        <v>318</v>
      </c>
      <c r="D6" s="574" t="s">
        <v>319</v>
      </c>
      <c r="E6" s="760" t="s">
        <v>331</v>
      </c>
      <c r="F6" s="760" t="s">
        <v>332</v>
      </c>
      <c r="G6" s="760" t="s">
        <v>328</v>
      </c>
      <c r="H6" s="156" t="s">
        <v>333</v>
      </c>
      <c r="I6" s="60"/>
      <c r="J6" s="60"/>
    </row>
    <row r="7" spans="1:10" x14ac:dyDescent="0.25">
      <c r="A7" s="752"/>
      <c r="B7" s="752"/>
      <c r="C7" s="5"/>
      <c r="D7" s="5"/>
      <c r="E7" s="5"/>
      <c r="F7" s="60"/>
      <c r="G7" s="60"/>
      <c r="H7" s="60"/>
      <c r="I7" s="60"/>
    </row>
    <row r="8" spans="1:10" ht="15.6" customHeight="1" x14ac:dyDescent="0.25">
      <c r="A8" s="5"/>
      <c r="B8" s="5"/>
      <c r="C8" s="5"/>
      <c r="D8" s="5"/>
      <c r="E8" s="5"/>
    </row>
    <row r="9" spans="1:10" x14ac:dyDescent="0.25">
      <c r="A9" s="751"/>
      <c r="B9" s="5"/>
      <c r="C9" s="5"/>
      <c r="D9" s="5"/>
      <c r="E9" s="5"/>
    </row>
    <row r="10" spans="1:10" x14ac:dyDescent="0.25">
      <c r="A10" s="5"/>
      <c r="B10" s="5"/>
      <c r="C10" s="5"/>
      <c r="D10" s="5"/>
      <c r="E10" s="5"/>
    </row>
    <row r="11" spans="1:10" ht="32.4" customHeight="1" x14ac:dyDescent="0.25">
      <c r="A11" s="868" t="s">
        <v>334</v>
      </c>
      <c r="B11" s="869"/>
      <c r="C11" s="869"/>
      <c r="D11" s="869"/>
      <c r="E11" s="869"/>
      <c r="F11" s="869"/>
      <c r="G11" s="758"/>
      <c r="H11" s="80"/>
    </row>
    <row r="12" spans="1:10" ht="43.95" customHeight="1" x14ac:dyDescent="0.25">
      <c r="A12" s="771"/>
      <c r="B12" s="771" t="s">
        <v>335</v>
      </c>
      <c r="C12" s="127" t="s">
        <v>336</v>
      </c>
      <c r="D12" s="127" t="s">
        <v>318</v>
      </c>
      <c r="E12" s="127" t="s">
        <v>337</v>
      </c>
      <c r="F12" s="131" t="s">
        <v>338</v>
      </c>
      <c r="G12" s="771" t="s">
        <v>297</v>
      </c>
    </row>
    <row r="13" spans="1:10" ht="22.2" customHeight="1" x14ac:dyDescent="0.25">
      <c r="A13" s="759" t="s">
        <v>268</v>
      </c>
      <c r="B13" s="853">
        <v>2008</v>
      </c>
      <c r="C13" s="854" t="s">
        <v>339</v>
      </c>
      <c r="D13" s="856" t="s">
        <v>340</v>
      </c>
      <c r="E13" s="854" t="s">
        <v>341</v>
      </c>
      <c r="F13" s="857" t="s">
        <v>342</v>
      </c>
      <c r="G13" s="858"/>
    </row>
    <row r="14" spans="1:10" ht="22.2" customHeight="1" x14ac:dyDescent="0.25">
      <c r="A14" s="759" t="s">
        <v>271</v>
      </c>
      <c r="B14" s="853"/>
      <c r="C14" s="854"/>
      <c r="D14" s="856"/>
      <c r="E14" s="854"/>
      <c r="F14" s="857"/>
      <c r="G14" s="858"/>
    </row>
    <row r="15" spans="1:10" ht="22.2" customHeight="1" x14ac:dyDescent="0.25">
      <c r="A15" s="759" t="s">
        <v>274</v>
      </c>
      <c r="B15" s="853"/>
      <c r="C15" s="854"/>
      <c r="D15" s="856"/>
      <c r="E15" s="854"/>
      <c r="F15" s="857"/>
      <c r="G15" s="858"/>
    </row>
    <row r="16" spans="1:10" ht="66" x14ac:dyDescent="0.25">
      <c r="A16" s="759" t="s">
        <v>276</v>
      </c>
      <c r="B16" s="157">
        <v>2013</v>
      </c>
      <c r="C16" s="760" t="s">
        <v>343</v>
      </c>
      <c r="D16" s="762" t="s">
        <v>344</v>
      </c>
      <c r="E16" s="760" t="s">
        <v>345</v>
      </c>
      <c r="F16" s="762" t="s">
        <v>346</v>
      </c>
      <c r="G16" s="763"/>
    </row>
    <row r="17" spans="1:9" ht="79.2" x14ac:dyDescent="0.25">
      <c r="A17" s="759" t="s">
        <v>325</v>
      </c>
      <c r="B17" s="157">
        <v>2025</v>
      </c>
      <c r="C17" s="760" t="s">
        <v>347</v>
      </c>
      <c r="D17" s="762" t="s">
        <v>344</v>
      </c>
      <c r="E17" s="760" t="s">
        <v>345</v>
      </c>
      <c r="F17" s="762" t="s">
        <v>348</v>
      </c>
      <c r="G17" s="763"/>
    </row>
    <row r="18" spans="1:9" x14ac:dyDescent="0.25">
      <c r="B18" s="501"/>
      <c r="C18" s="501"/>
      <c r="D18" s="34"/>
      <c r="E18" s="501"/>
    </row>
    <row r="19" spans="1:9" x14ac:dyDescent="0.25">
      <c r="A19" s="35"/>
      <c r="B19" s="501"/>
      <c r="C19" s="501" t="s">
        <v>349</v>
      </c>
      <c r="D19" s="34"/>
      <c r="E19" s="501"/>
    </row>
    <row r="20" spans="1:9" x14ac:dyDescent="0.25">
      <c r="B20" s="501"/>
      <c r="C20" s="501"/>
      <c r="D20" s="34"/>
      <c r="E20" s="501"/>
    </row>
    <row r="21" spans="1:9" x14ac:dyDescent="0.25">
      <c r="A21" s="111"/>
      <c r="B21" s="418"/>
      <c r="C21" s="418"/>
      <c r="D21" s="111"/>
      <c r="E21" s="111"/>
      <c r="F21" s="418"/>
      <c r="G21" s="111"/>
      <c r="H21" s="418"/>
    </row>
    <row r="22" spans="1:9" x14ac:dyDescent="0.25">
      <c r="A22" s="111"/>
      <c r="B22" s="418"/>
      <c r="C22" s="418"/>
      <c r="D22" s="111"/>
      <c r="E22" s="111"/>
      <c r="F22" s="418"/>
      <c r="G22" s="111"/>
      <c r="H22" s="418"/>
    </row>
    <row r="23" spans="1:9" x14ac:dyDescent="0.25">
      <c r="A23" s="111"/>
      <c r="B23" s="418"/>
      <c r="C23" s="418"/>
      <c r="D23" s="111"/>
      <c r="E23" s="111"/>
      <c r="F23" s="418"/>
      <c r="G23" s="111"/>
      <c r="H23" s="418"/>
    </row>
    <row r="24" spans="1:9" ht="15.6" x14ac:dyDescent="0.25">
      <c r="A24" s="870" t="s">
        <v>350</v>
      </c>
      <c r="B24" s="870"/>
      <c r="C24" s="870"/>
      <c r="D24" s="870"/>
      <c r="E24" s="870"/>
      <c r="F24" s="870"/>
      <c r="G24" s="870"/>
      <c r="H24" s="870"/>
      <c r="I24" s="870"/>
    </row>
    <row r="25" spans="1:9" ht="26.4" x14ac:dyDescent="0.25">
      <c r="A25" s="142" t="s">
        <v>246</v>
      </c>
      <c r="B25" s="142" t="s">
        <v>351</v>
      </c>
      <c r="C25" s="142" t="s">
        <v>352</v>
      </c>
      <c r="D25" s="141" t="s">
        <v>353</v>
      </c>
      <c r="E25" s="141" t="s">
        <v>354</v>
      </c>
      <c r="F25" s="531" t="s">
        <v>355</v>
      </c>
      <c r="G25" s="531" t="s">
        <v>356</v>
      </c>
      <c r="H25" s="142" t="s">
        <v>357</v>
      </c>
      <c r="I25" s="142" t="s">
        <v>297</v>
      </c>
    </row>
    <row r="26" spans="1:9" ht="55.5" customHeight="1" x14ac:dyDescent="0.25">
      <c r="A26" s="851" t="s">
        <v>278</v>
      </c>
      <c r="B26" s="862" t="s">
        <v>358</v>
      </c>
      <c r="C26" s="757" t="s">
        <v>359</v>
      </c>
      <c r="D26" s="759">
        <v>4.09</v>
      </c>
      <c r="E26" s="853">
        <v>0.65</v>
      </c>
      <c r="F26" s="856" t="s">
        <v>360</v>
      </c>
      <c r="G26" s="866"/>
      <c r="H26" s="864" t="s">
        <v>361</v>
      </c>
      <c r="I26" s="158"/>
    </row>
    <row r="27" spans="1:9" ht="50.25" customHeight="1" x14ac:dyDescent="0.25">
      <c r="A27" s="861"/>
      <c r="B27" s="863"/>
      <c r="C27" s="498" t="s">
        <v>362</v>
      </c>
      <c r="D27" s="764" t="s">
        <v>363</v>
      </c>
      <c r="E27" s="859"/>
      <c r="F27" s="860"/>
      <c r="G27" s="867"/>
      <c r="H27" s="865"/>
      <c r="I27" s="159"/>
    </row>
    <row r="28" spans="1:9" ht="19.2" customHeight="1" x14ac:dyDescent="0.25">
      <c r="A28" s="510" t="s">
        <v>364</v>
      </c>
      <c r="B28" s="193"/>
      <c r="C28" s="193"/>
      <c r="D28" s="193"/>
      <c r="E28" s="193"/>
      <c r="F28" s="193"/>
      <c r="G28" s="193"/>
      <c r="H28" s="193"/>
      <c r="I28" s="194"/>
    </row>
    <row r="29" spans="1:9" ht="18" customHeight="1" x14ac:dyDescent="0.25">
      <c r="A29" s="511" t="s">
        <v>365</v>
      </c>
      <c r="B29" s="195"/>
      <c r="C29" s="195"/>
      <c r="D29" s="195"/>
      <c r="E29" s="195"/>
      <c r="F29" s="195"/>
      <c r="G29" s="195"/>
      <c r="H29" s="195"/>
      <c r="I29" s="196"/>
    </row>
    <row r="30" spans="1:9" ht="40.200000000000003" customHeight="1" x14ac:dyDescent="0.25">
      <c r="A30" s="850" t="s">
        <v>325</v>
      </c>
      <c r="B30" s="850" t="s">
        <v>366</v>
      </c>
      <c r="C30" s="499" t="s">
        <v>367</v>
      </c>
      <c r="D30" s="508" t="s">
        <v>368</v>
      </c>
      <c r="E30" s="850">
        <v>0.65</v>
      </c>
      <c r="F30" s="871" t="s">
        <v>369</v>
      </c>
      <c r="G30" s="499">
        <v>0.58599999999999997</v>
      </c>
      <c r="H30" s="1273" t="s">
        <v>864</v>
      </c>
      <c r="I30" s="160"/>
    </row>
    <row r="31" spans="1:9" ht="38.4" customHeight="1" x14ac:dyDescent="0.25">
      <c r="A31" s="851"/>
      <c r="B31" s="851"/>
      <c r="C31" s="763" t="s">
        <v>370</v>
      </c>
      <c r="D31" s="508" t="s">
        <v>371</v>
      </c>
      <c r="E31" s="851"/>
      <c r="F31" s="856"/>
      <c r="G31" s="763">
        <v>0.94699999999999995</v>
      </c>
      <c r="H31" s="855"/>
      <c r="I31" s="124"/>
    </row>
    <row r="32" spans="1:9" ht="26.4" x14ac:dyDescent="0.25">
      <c r="A32" s="111"/>
      <c r="B32" s="418"/>
      <c r="C32" s="418" t="s">
        <v>372</v>
      </c>
      <c r="D32" s="111" t="s">
        <v>371</v>
      </c>
      <c r="E32" s="111"/>
      <c r="F32" s="418"/>
      <c r="G32" s="111">
        <v>1.0129999999999999</v>
      </c>
      <c r="H32" s="418"/>
    </row>
    <row r="33" spans="1:38" ht="32.25" customHeight="1" x14ac:dyDescent="0.25">
      <c r="A33" s="872" t="s">
        <v>373</v>
      </c>
      <c r="B33" s="872"/>
      <c r="C33" s="872"/>
      <c r="D33" s="872"/>
      <c r="E33" s="872"/>
      <c r="F33" s="872"/>
      <c r="G33" s="872"/>
      <c r="H33" s="872"/>
      <c r="I33" s="872"/>
    </row>
    <row r="34" spans="1:38" ht="27.75" customHeight="1" x14ac:dyDescent="0.25">
      <c r="A34" s="873" t="s">
        <v>374</v>
      </c>
      <c r="B34" s="873"/>
      <c r="C34" s="873"/>
      <c r="D34" s="873"/>
      <c r="E34" s="873"/>
      <c r="F34" s="873"/>
      <c r="G34" s="873"/>
      <c r="H34" s="873"/>
      <c r="I34" s="873"/>
    </row>
    <row r="35" spans="1:38" x14ac:dyDescent="0.25">
      <c r="A35" s="501"/>
      <c r="B35" s="509"/>
    </row>
    <row r="36" spans="1:38" ht="13.95" customHeight="1" x14ac:dyDescent="0.3">
      <c r="A36" s="501"/>
      <c r="B36"/>
      <c r="E36" s="31"/>
    </row>
    <row r="37" spans="1:38" ht="35.25" customHeight="1" x14ac:dyDescent="0.25">
      <c r="B37" s="509"/>
      <c r="U37" s="30"/>
      <c r="V37" s="46"/>
      <c r="W37" s="47"/>
      <c r="X37" s="47"/>
      <c r="Y37" s="47"/>
      <c r="Z37" s="47"/>
      <c r="AA37" s="47"/>
      <c r="AB37" s="47"/>
      <c r="AC37" s="47"/>
      <c r="AD37" s="47"/>
      <c r="AE37" s="47"/>
      <c r="AF37" s="47"/>
      <c r="AG37" s="47"/>
      <c r="AH37" s="47"/>
      <c r="AI37" s="47"/>
      <c r="AJ37" s="47"/>
      <c r="AK37" s="47"/>
      <c r="AL37" s="47"/>
    </row>
    <row r="38" spans="1:38" ht="35.25" customHeight="1" x14ac:dyDescent="0.25">
      <c r="U38" s="30"/>
      <c r="V38" s="33"/>
    </row>
    <row r="39" spans="1:38" ht="35.25" customHeight="1" x14ac:dyDescent="0.25">
      <c r="U39" s="30"/>
      <c r="V39" s="33"/>
    </row>
    <row r="40" spans="1:38" ht="35.25" customHeight="1" x14ac:dyDescent="0.25">
      <c r="U40" s="30"/>
      <c r="V40" s="33"/>
    </row>
    <row r="41" spans="1:38" ht="35.25" customHeight="1" x14ac:dyDescent="0.25">
      <c r="U41" s="30"/>
      <c r="V41" s="33"/>
    </row>
    <row r="42" spans="1:38" x14ac:dyDescent="0.25">
      <c r="U42" s="30"/>
      <c r="V42" s="33"/>
    </row>
    <row r="43" spans="1:38" x14ac:dyDescent="0.25">
      <c r="U43" s="30"/>
      <c r="V43" s="33"/>
    </row>
    <row r="44" spans="1:38" x14ac:dyDescent="0.25">
      <c r="U44" s="30"/>
      <c r="V44" s="33"/>
    </row>
    <row r="45" spans="1:38" x14ac:dyDescent="0.25">
      <c r="U45" s="30"/>
      <c r="V45" s="33"/>
    </row>
    <row r="46" spans="1:38" x14ac:dyDescent="0.25">
      <c r="U46" s="30"/>
      <c r="V46" s="33"/>
    </row>
    <row r="47" spans="1:38" x14ac:dyDescent="0.25">
      <c r="U47" s="30"/>
      <c r="V47" s="33"/>
    </row>
    <row r="48" spans="1:38" x14ac:dyDescent="0.25">
      <c r="U48" s="30"/>
      <c r="V48" s="33"/>
    </row>
    <row r="49" spans="21:38" x14ac:dyDescent="0.25">
      <c r="U49" s="30"/>
      <c r="V49" s="33"/>
    </row>
    <row r="50" spans="21:38" x14ac:dyDescent="0.25">
      <c r="U50" s="30"/>
      <c r="V50" s="33"/>
    </row>
    <row r="51" spans="21:38" x14ac:dyDescent="0.25">
      <c r="U51" s="30"/>
      <c r="V51" s="33"/>
    </row>
    <row r="52" spans="21:38" x14ac:dyDescent="0.25">
      <c r="U52" s="30"/>
      <c r="V52" s="33"/>
    </row>
    <row r="53" spans="21:38" x14ac:dyDescent="0.25">
      <c r="U53" s="30"/>
      <c r="V53" s="33"/>
    </row>
    <row r="54" spans="21:38" x14ac:dyDescent="0.25">
      <c r="U54" s="30"/>
      <c r="V54" s="33"/>
    </row>
    <row r="55" spans="21:38" x14ac:dyDescent="0.25">
      <c r="U55" s="30"/>
      <c r="V55" s="33"/>
    </row>
    <row r="56" spans="21:38" x14ac:dyDescent="0.25">
      <c r="U56" s="30"/>
      <c r="V56" s="33"/>
    </row>
    <row r="57" spans="21:38" x14ac:dyDescent="0.25">
      <c r="U57" s="30"/>
      <c r="W57" s="29"/>
      <c r="X57" s="29"/>
      <c r="Y57" s="29"/>
      <c r="Z57" s="29"/>
      <c r="AA57" s="29"/>
      <c r="AB57" s="29"/>
      <c r="AC57" s="29"/>
      <c r="AD57" s="29"/>
      <c r="AE57" s="29"/>
      <c r="AF57" s="29"/>
      <c r="AG57" s="29"/>
      <c r="AH57" s="29"/>
      <c r="AI57" s="29"/>
      <c r="AJ57" s="29"/>
      <c r="AK57" s="29"/>
      <c r="AL57" s="29"/>
    </row>
    <row r="58" spans="21:38" x14ac:dyDescent="0.25">
      <c r="U58" s="32"/>
      <c r="W58" s="30"/>
      <c r="X58" s="30"/>
      <c r="Y58" s="30"/>
      <c r="Z58" s="30"/>
      <c r="AA58" s="30"/>
      <c r="AB58" s="30"/>
      <c r="AC58" s="30"/>
      <c r="AD58" s="30"/>
      <c r="AE58" s="30"/>
      <c r="AF58" s="30"/>
      <c r="AG58" s="30"/>
      <c r="AH58" s="30"/>
      <c r="AI58" s="30"/>
      <c r="AJ58" s="30"/>
      <c r="AK58" s="30"/>
      <c r="AL58" s="30"/>
    </row>
  </sheetData>
  <mergeCells count="24">
    <mergeCell ref="A11:F11"/>
    <mergeCell ref="A24:I24"/>
    <mergeCell ref="F30:F31"/>
    <mergeCell ref="A33:I33"/>
    <mergeCell ref="A34:I34"/>
    <mergeCell ref="A1:H1"/>
    <mergeCell ref="A5:A6"/>
    <mergeCell ref="A3:A4"/>
    <mergeCell ref="H30:H31"/>
    <mergeCell ref="C13:C15"/>
    <mergeCell ref="D13:D15"/>
    <mergeCell ref="E13:E15"/>
    <mergeCell ref="B13:B15"/>
    <mergeCell ref="F13:F15"/>
    <mergeCell ref="G13:G15"/>
    <mergeCell ref="E26:E27"/>
    <mergeCell ref="F26:F27"/>
    <mergeCell ref="A26:A27"/>
    <mergeCell ref="B26:B27"/>
    <mergeCell ref="H26:H27"/>
    <mergeCell ref="G26:G27"/>
    <mergeCell ref="A30:A31"/>
    <mergeCell ref="B30:B31"/>
    <mergeCell ref="E30:E31"/>
  </mergeCells>
  <phoneticPr fontId="5" type="noConversion"/>
  <hyperlinks>
    <hyperlink ref="B26" r:id="rId1" xr:uid="{61ECA4D2-BA43-45FB-A984-1FC670BEAF5A}"/>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AA122"/>
  <sheetViews>
    <sheetView zoomScale="85" zoomScaleNormal="85" workbookViewId="0">
      <selection sqref="A1:M1"/>
    </sheetView>
  </sheetViews>
  <sheetFormatPr defaultColWidth="9.33203125" defaultRowHeight="13.8" x14ac:dyDescent="0.25"/>
  <cols>
    <col min="1" max="1" width="53" style="3" bestFit="1" customWidth="1"/>
    <col min="2" max="2" width="35.6640625" style="3" bestFit="1" customWidth="1"/>
    <col min="3" max="3" width="25.33203125" style="3" customWidth="1"/>
    <col min="4" max="4" width="18.6640625" style="3" customWidth="1"/>
    <col min="5" max="5" width="20" style="3" bestFit="1" customWidth="1"/>
    <col min="6" max="6" width="25.33203125" style="3" customWidth="1"/>
    <col min="7" max="7" width="33" style="3" customWidth="1"/>
    <col min="8" max="8" width="35.88671875" style="3" customWidth="1"/>
    <col min="9" max="9" width="21.44140625" style="52" customWidth="1"/>
    <col min="10" max="10" width="14.44140625" style="52" customWidth="1"/>
    <col min="11" max="11" width="14.88671875" style="52" customWidth="1"/>
    <col min="12" max="12" width="15.33203125" style="52" customWidth="1"/>
    <col min="13" max="13" width="47.44140625" style="52" customWidth="1"/>
    <col min="14" max="14" width="40.88671875" style="52" customWidth="1"/>
    <col min="15" max="15" width="48.5546875" style="52" customWidth="1"/>
    <col min="16" max="16" width="23.44140625" style="52" customWidth="1"/>
    <col min="17" max="19" width="20.33203125" style="52" customWidth="1"/>
    <col min="20" max="20" width="23" style="52" customWidth="1"/>
    <col min="21" max="21" width="21.6640625" style="52" customWidth="1"/>
    <col min="22" max="22" width="18.33203125" style="52" customWidth="1"/>
    <col min="23" max="23" width="14.44140625" style="52" customWidth="1"/>
    <col min="24" max="24" width="12.33203125" style="52" customWidth="1"/>
    <col min="25" max="25" width="13.6640625" style="52" customWidth="1"/>
    <col min="26" max="26" width="11.6640625" style="52" customWidth="1"/>
    <col min="27" max="27" width="13.6640625" style="52" customWidth="1"/>
    <col min="28" max="28" width="12.33203125" style="52" customWidth="1"/>
    <col min="29" max="29" width="13.6640625" style="52" customWidth="1"/>
    <col min="30" max="30" width="12.33203125" style="52" customWidth="1"/>
    <col min="31" max="31" width="13.6640625" style="52" customWidth="1"/>
    <col min="32" max="32" width="11.6640625" style="52" customWidth="1"/>
    <col min="33" max="34" width="10.6640625" style="52" customWidth="1"/>
    <col min="35" max="35" width="9.33203125" style="52"/>
    <col min="36" max="40" width="11.33203125" style="52" customWidth="1"/>
    <col min="41" max="16384" width="9.33203125" style="52"/>
  </cols>
  <sheetData>
    <row r="1" spans="1:24" ht="24.6" customHeight="1" thickBot="1" x14ac:dyDescent="0.3">
      <c r="A1" s="796" t="str">
        <f>O1</f>
        <v>Outdoor Airflow Rate - Hospital</v>
      </c>
      <c r="B1" s="796"/>
      <c r="C1" s="796"/>
      <c r="D1" s="796"/>
      <c r="E1" s="796"/>
      <c r="F1" s="796"/>
      <c r="G1" s="796"/>
      <c r="H1" s="796"/>
      <c r="I1" s="796"/>
      <c r="J1" s="796"/>
      <c r="K1" s="796"/>
      <c r="L1" s="796"/>
      <c r="M1" s="796"/>
      <c r="N1" s="1"/>
      <c r="O1" s="877" t="str">
        <f>"Outdoor Airflow Rate - "&amp;Prototype!A2</f>
        <v>Outdoor Airflow Rate - Hospital</v>
      </c>
      <c r="P1" s="878"/>
      <c r="Q1" s="878"/>
      <c r="R1" s="878"/>
      <c r="S1" s="878"/>
      <c r="T1" s="878"/>
      <c r="U1" s="878"/>
      <c r="V1" s="878"/>
      <c r="W1" s="878"/>
      <c r="X1" s="1"/>
    </row>
    <row r="2" spans="1:24" ht="59.4" customHeight="1" x14ac:dyDescent="0.25">
      <c r="A2" s="200" t="s">
        <v>376</v>
      </c>
      <c r="B2" s="201" t="s">
        <v>114</v>
      </c>
      <c r="C2" s="144" t="s">
        <v>124</v>
      </c>
      <c r="D2" s="131" t="s">
        <v>377</v>
      </c>
      <c r="E2" s="141" t="s">
        <v>378</v>
      </c>
      <c r="F2" s="141" t="s">
        <v>379</v>
      </c>
      <c r="G2" s="141" t="s">
        <v>380</v>
      </c>
      <c r="H2" s="127" t="s">
        <v>381</v>
      </c>
      <c r="I2" s="141" t="s">
        <v>382</v>
      </c>
      <c r="J2" s="141" t="s">
        <v>383</v>
      </c>
      <c r="K2" s="141" t="s">
        <v>384</v>
      </c>
      <c r="L2" s="142" t="s">
        <v>385</v>
      </c>
      <c r="M2" s="142" t="s">
        <v>297</v>
      </c>
      <c r="N2" s="113" t="s">
        <v>386</v>
      </c>
      <c r="O2" s="87" t="s">
        <v>376</v>
      </c>
      <c r="P2" s="82" t="s">
        <v>123</v>
      </c>
      <c r="Q2" s="88" t="s">
        <v>387</v>
      </c>
      <c r="R2" s="88" t="s">
        <v>388</v>
      </c>
      <c r="S2" s="88" t="s">
        <v>389</v>
      </c>
      <c r="T2" s="88" t="s">
        <v>390</v>
      </c>
      <c r="U2" s="88" t="s">
        <v>391</v>
      </c>
      <c r="V2" s="88" t="s">
        <v>392</v>
      </c>
      <c r="W2" s="89" t="s">
        <v>393</v>
      </c>
      <c r="X2" s="1"/>
    </row>
    <row r="3" spans="1:24" ht="19.2" customHeight="1" x14ac:dyDescent="0.25">
      <c r="A3" s="459" t="s">
        <v>127</v>
      </c>
      <c r="B3" s="460" t="str">
        <f>Zones!B3</f>
        <v>MechElec_Basement</v>
      </c>
      <c r="C3" s="548">
        <f>Zones!L3</f>
        <v>0</v>
      </c>
      <c r="D3" s="548">
        <f>Zones!K3</f>
        <v>20930</v>
      </c>
      <c r="E3" s="762">
        <v>15</v>
      </c>
      <c r="F3" s="762">
        <f>VLOOKUP(A3,O$2:S$20,5)</f>
        <v>0.15</v>
      </c>
      <c r="G3" s="549"/>
      <c r="H3" s="550">
        <v>0</v>
      </c>
      <c r="I3" s="551">
        <f t="shared" ref="I3:I15" si="0">E3*C3</f>
        <v>0</v>
      </c>
      <c r="J3" s="552">
        <f t="shared" ref="J3:J15" si="1">F3*D3</f>
        <v>3139.5</v>
      </c>
      <c r="K3" s="553">
        <f t="shared" ref="K3:K20" si="2">G3*D3</f>
        <v>0</v>
      </c>
      <c r="L3" s="554">
        <f t="shared" ref="L3:L26" si="3">MAX(I3:K3)</f>
        <v>3139.5</v>
      </c>
      <c r="M3" s="555"/>
      <c r="N3" s="1"/>
      <c r="O3" s="556" t="str">
        <f>Zones!C3</f>
        <v>Electrical, Mechanical, Telephone Rooms</v>
      </c>
      <c r="P3" s="557">
        <f>SUMIF(Zones!C$3:C$61, "*Office Area (&gt;250 square feet)*", Zones!K$3:K$61)</f>
        <v>5250.6900000000005</v>
      </c>
      <c r="Q3" s="558">
        <f>Zones!M3</f>
        <v>0</v>
      </c>
      <c r="R3" s="558">
        <f t="shared" ref="R3:R6" si="4">(P3/1000)*Q3</f>
        <v>0</v>
      </c>
      <c r="S3" s="559">
        <v>0.15</v>
      </c>
      <c r="T3" s="560">
        <v>0</v>
      </c>
      <c r="U3" s="559"/>
      <c r="V3" s="559"/>
      <c r="W3" s="561">
        <f>MAX(R3*15,P3*S3,P3*T3,P3*V3)</f>
        <v>787.60350000000005</v>
      </c>
      <c r="X3" s="1"/>
    </row>
    <row r="4" spans="1:24" ht="19.2" customHeight="1" x14ac:dyDescent="0.25">
      <c r="A4" s="459" t="s">
        <v>132</v>
      </c>
      <c r="B4" s="460" t="str">
        <f>Zones!B4</f>
        <v>SoiledUtil_Basement</v>
      </c>
      <c r="C4" s="548">
        <f>Zones!L4</f>
        <v>36</v>
      </c>
      <c r="D4" s="548">
        <f>Zones!K4</f>
        <v>7245</v>
      </c>
      <c r="E4" s="762">
        <v>15</v>
      </c>
      <c r="F4" s="762">
        <v>0.15</v>
      </c>
      <c r="G4" s="762">
        <v>1</v>
      </c>
      <c r="H4" s="550">
        <v>0</v>
      </c>
      <c r="I4" s="551">
        <f t="shared" ref="I4:I7" si="5">E4*C4</f>
        <v>540</v>
      </c>
      <c r="J4" s="552">
        <f t="shared" ref="J4:J7" si="6">F4*D4</f>
        <v>1086.75</v>
      </c>
      <c r="K4" s="553">
        <f t="shared" si="2"/>
        <v>7245</v>
      </c>
      <c r="L4" s="554">
        <f t="shared" ref="L4:L7" si="7">MAX(I4:K4)</f>
        <v>7245</v>
      </c>
      <c r="M4" s="555"/>
      <c r="N4" s="1"/>
      <c r="O4" s="556" t="str">
        <f>Zones!C4</f>
        <v xml:space="preserve">Laundry Area </v>
      </c>
      <c r="P4" s="557">
        <f>SUMIF(Zones!C$3:C$61, "*Laundry Area *", Zones!K$3:K$61)</f>
        <v>7245</v>
      </c>
      <c r="Q4" s="558">
        <f>Zones!M4</f>
        <v>5</v>
      </c>
      <c r="R4" s="558">
        <f t="shared" si="4"/>
        <v>36.225000000000001</v>
      </c>
      <c r="S4" s="559">
        <v>0.15</v>
      </c>
      <c r="T4" s="560">
        <v>1</v>
      </c>
      <c r="U4" s="559"/>
      <c r="V4" s="559"/>
      <c r="W4" s="561">
        <f t="shared" ref="W4:W7" si="8">MAX(R4*15,P4*S4,P4*T4,P4*V4)</f>
        <v>7245</v>
      </c>
      <c r="X4" s="1"/>
    </row>
    <row r="5" spans="1:24" ht="19.2" customHeight="1" x14ac:dyDescent="0.25">
      <c r="A5" s="459" t="s">
        <v>135</v>
      </c>
      <c r="B5" s="460" t="str">
        <f>Zones!B5</f>
        <v>Corridor_Basement</v>
      </c>
      <c r="C5" s="548">
        <f>Zones!L5</f>
        <v>0</v>
      </c>
      <c r="D5" s="548">
        <f>Zones!K5</f>
        <v>6038</v>
      </c>
      <c r="E5" s="762">
        <v>15</v>
      </c>
      <c r="F5" s="762">
        <v>0.15</v>
      </c>
      <c r="G5" s="549"/>
      <c r="H5" s="550">
        <v>0</v>
      </c>
      <c r="I5" s="551">
        <f t="shared" si="5"/>
        <v>0</v>
      </c>
      <c r="J5" s="552">
        <f t="shared" si="6"/>
        <v>905.69999999999993</v>
      </c>
      <c r="K5" s="553">
        <f t="shared" si="2"/>
        <v>0</v>
      </c>
      <c r="L5" s="554">
        <f t="shared" si="7"/>
        <v>905.69999999999993</v>
      </c>
      <c r="M5" s="555"/>
      <c r="N5" s="1"/>
      <c r="O5" s="556" t="str">
        <f>Zones!C6</f>
        <v>Computer Room (EPD 20)</v>
      </c>
      <c r="P5" s="557">
        <f>SUMIF(Zones!C$3:C$61, "*Computer Room (EPD 20)*", Zones!K$3:K$61)</f>
        <v>3220</v>
      </c>
      <c r="Q5" s="558">
        <f>Zones!M6</f>
        <v>5</v>
      </c>
      <c r="R5" s="558">
        <f t="shared" si="4"/>
        <v>16.100000000000001</v>
      </c>
      <c r="S5" s="559">
        <v>0.15</v>
      </c>
      <c r="T5" s="560">
        <v>0</v>
      </c>
      <c r="U5" s="559"/>
      <c r="V5" s="559"/>
      <c r="W5" s="561">
        <f t="shared" si="8"/>
        <v>483</v>
      </c>
      <c r="X5" s="1"/>
    </row>
    <row r="6" spans="1:24" ht="19.2" customHeight="1" x14ac:dyDescent="0.25">
      <c r="A6" s="459" t="s">
        <v>138</v>
      </c>
      <c r="B6" s="460" t="str">
        <f>Zones!B6</f>
        <v>IDF_Basement</v>
      </c>
      <c r="C6" s="548">
        <f>Zones!L6</f>
        <v>16</v>
      </c>
      <c r="D6" s="548">
        <f>Zones!K6</f>
        <v>3220</v>
      </c>
      <c r="E6" s="762">
        <v>15</v>
      </c>
      <c r="F6" s="762">
        <v>0.15</v>
      </c>
      <c r="G6" s="549"/>
      <c r="H6" s="550">
        <v>0</v>
      </c>
      <c r="I6" s="551">
        <f t="shared" si="5"/>
        <v>240</v>
      </c>
      <c r="J6" s="552">
        <f t="shared" si="6"/>
        <v>483</v>
      </c>
      <c r="K6" s="553">
        <f t="shared" si="2"/>
        <v>0</v>
      </c>
      <c r="L6" s="554">
        <f t="shared" si="7"/>
        <v>483</v>
      </c>
      <c r="M6" s="555"/>
      <c r="N6" s="1"/>
      <c r="O6" s="556" t="str">
        <f>Zones!C7</f>
        <v>Healthcare Facility and Hospitals (Medical Supply Room)</v>
      </c>
      <c r="P6" s="557">
        <f>SUMIF(Zones!C$3:C$61, "*Healthcare Facility and Hospitals (Medical Supply Room)*", Zones!K$3:K$61)</f>
        <v>2818</v>
      </c>
      <c r="Q6" s="558">
        <f>Zones!M7</f>
        <v>5</v>
      </c>
      <c r="R6" s="558">
        <f t="shared" si="4"/>
        <v>14.09</v>
      </c>
      <c r="S6" s="559">
        <v>0.15</v>
      </c>
      <c r="T6" s="560">
        <v>0</v>
      </c>
      <c r="U6" s="559"/>
      <c r="V6" s="559"/>
      <c r="W6" s="561">
        <f t="shared" si="8"/>
        <v>422.7</v>
      </c>
      <c r="X6" s="1"/>
    </row>
    <row r="7" spans="1:24" ht="19.2" customHeight="1" x14ac:dyDescent="0.25">
      <c r="A7" s="459" t="s">
        <v>142</v>
      </c>
      <c r="B7" s="460" t="str">
        <f>Zones!B7</f>
        <v>MedSupply_Basement</v>
      </c>
      <c r="C7" s="548">
        <f>Zones!L7</f>
        <v>14</v>
      </c>
      <c r="D7" s="548">
        <f>Zones!K7</f>
        <v>2818</v>
      </c>
      <c r="E7" s="762">
        <v>15</v>
      </c>
      <c r="F7" s="762">
        <v>0.15</v>
      </c>
      <c r="G7" s="549"/>
      <c r="H7" s="550">
        <v>0</v>
      </c>
      <c r="I7" s="551">
        <f t="shared" si="5"/>
        <v>210</v>
      </c>
      <c r="J7" s="552">
        <f t="shared" si="6"/>
        <v>422.7</v>
      </c>
      <c r="K7" s="553">
        <f t="shared" si="2"/>
        <v>0</v>
      </c>
      <c r="L7" s="554">
        <f t="shared" si="7"/>
        <v>422.7</v>
      </c>
      <c r="M7" s="555"/>
      <c r="N7" s="1"/>
      <c r="O7" s="556" t="str">
        <f>Zones!C34</f>
        <v>Office Area (&gt;250 square feet)</v>
      </c>
      <c r="P7" s="557">
        <f>SUMIF(Zones!C$3:C$61, "*Office Area (&gt;250 square feet)*", Zones!K$3:K$61)</f>
        <v>5250.6900000000005</v>
      </c>
      <c r="Q7" s="558">
        <f>Zones!M34</f>
        <v>5</v>
      </c>
      <c r="R7" s="558">
        <f t="shared" ref="R7:R8" si="9">(P7/1000)*Q7</f>
        <v>26.253450000000001</v>
      </c>
      <c r="S7" s="559">
        <v>0.15</v>
      </c>
      <c r="T7" s="560"/>
      <c r="U7" s="559"/>
      <c r="V7" s="559"/>
      <c r="W7" s="561">
        <f t="shared" si="8"/>
        <v>787.60350000000005</v>
      </c>
      <c r="X7" s="1" t="s">
        <v>394</v>
      </c>
    </row>
    <row r="8" spans="1:24" ht="19.2" customHeight="1" x14ac:dyDescent="0.25">
      <c r="A8" s="61" t="s">
        <v>135</v>
      </c>
      <c r="B8" s="96" t="s">
        <v>143</v>
      </c>
      <c r="C8" s="145">
        <f>Zones!L8</f>
        <v>0</v>
      </c>
      <c r="D8" s="145">
        <f>Zones!K8</f>
        <v>6125.6</v>
      </c>
      <c r="E8" s="763">
        <v>15</v>
      </c>
      <c r="F8" s="763">
        <v>0.15</v>
      </c>
      <c r="G8" s="145"/>
      <c r="H8" s="550">
        <v>0</v>
      </c>
      <c r="I8" s="147">
        <f t="shared" si="0"/>
        <v>0</v>
      </c>
      <c r="J8" s="148">
        <f t="shared" si="1"/>
        <v>918.84</v>
      </c>
      <c r="K8" s="148">
        <f t="shared" si="2"/>
        <v>0</v>
      </c>
      <c r="L8" s="149">
        <f t="shared" si="3"/>
        <v>918.84</v>
      </c>
      <c r="M8" s="150"/>
      <c r="N8" s="1"/>
      <c r="O8" s="556" t="str">
        <f>Zones!C35</f>
        <v>Office Area (&lt;250 square feet)</v>
      </c>
      <c r="P8" s="557">
        <f>SUMIF(Zones!C$3:C$61, "*Office Area (&lt;250 square feet)*", Zones!K$3:K$61)</f>
        <v>1650.11</v>
      </c>
      <c r="Q8" s="558">
        <f>Zones!M35</f>
        <v>5</v>
      </c>
      <c r="R8" s="558">
        <f t="shared" si="9"/>
        <v>8.2505500000000005</v>
      </c>
      <c r="S8" s="559">
        <v>0.15</v>
      </c>
      <c r="T8" s="67">
        <v>0</v>
      </c>
      <c r="U8" s="1"/>
      <c r="V8" s="1"/>
      <c r="W8" s="561">
        <f>MAX(R8*15,P8*S8,P8*T8,P8*V8)</f>
        <v>247.51649999999998</v>
      </c>
      <c r="X8" s="1" t="s">
        <v>395</v>
      </c>
    </row>
    <row r="9" spans="1:24" ht="19.2" customHeight="1" x14ac:dyDescent="0.25">
      <c r="A9" s="61" t="s">
        <v>135</v>
      </c>
      <c r="B9" s="96" t="s">
        <v>146</v>
      </c>
      <c r="C9" s="145">
        <f>Zones!L9</f>
        <v>0</v>
      </c>
      <c r="D9" s="145">
        <f>Zones!K9</f>
        <v>6125.6</v>
      </c>
      <c r="E9" s="763">
        <v>15</v>
      </c>
      <c r="F9" s="763">
        <v>0.15</v>
      </c>
      <c r="G9" s="145"/>
      <c r="H9" s="550">
        <v>0</v>
      </c>
      <c r="I9" s="147">
        <f t="shared" si="0"/>
        <v>0</v>
      </c>
      <c r="J9" s="148">
        <f t="shared" si="1"/>
        <v>918.84</v>
      </c>
      <c r="K9" s="148">
        <f t="shared" si="2"/>
        <v>0</v>
      </c>
      <c r="L9" s="149">
        <f t="shared" si="3"/>
        <v>918.84</v>
      </c>
      <c r="M9" s="150"/>
      <c r="N9" s="1"/>
      <c r="O9" s="90" t="str">
        <f>Zones!C8</f>
        <v>Corridor Area</v>
      </c>
      <c r="P9" s="63">
        <f>SUMIF(Zones!C$3:C$61, "*Corridor Area*", Zones!K$3:K$61)</f>
        <v>48092.13</v>
      </c>
      <c r="Q9" s="64">
        <f>Zones!M8</f>
        <v>0</v>
      </c>
      <c r="R9" s="64">
        <f t="shared" ref="R9:R20" si="10">(P9/1000)*Q9</f>
        <v>0</v>
      </c>
      <c r="S9" s="65">
        <v>0.15</v>
      </c>
      <c r="T9" s="67">
        <v>0</v>
      </c>
      <c r="U9" s="65"/>
      <c r="V9" s="65"/>
      <c r="W9" s="104">
        <f>MAX(R9*15,P9*S9,P9*T9,P9*V9)</f>
        <v>7213.8194999999996</v>
      </c>
      <c r="X9" s="1" t="s">
        <v>394</v>
      </c>
    </row>
    <row r="10" spans="1:24" ht="19.2" customHeight="1" x14ac:dyDescent="0.25">
      <c r="A10" s="61" t="s">
        <v>135</v>
      </c>
      <c r="B10" s="96" t="s">
        <v>147</v>
      </c>
      <c r="C10" s="145">
        <f>Zones!L10</f>
        <v>0</v>
      </c>
      <c r="D10" s="145">
        <f>Zones!K10</f>
        <v>5400.53</v>
      </c>
      <c r="E10" s="763">
        <v>15</v>
      </c>
      <c r="F10" s="763">
        <v>0.15</v>
      </c>
      <c r="G10" s="145"/>
      <c r="H10" s="550">
        <v>0</v>
      </c>
      <c r="I10" s="147">
        <f t="shared" si="0"/>
        <v>0</v>
      </c>
      <c r="J10" s="148">
        <f t="shared" si="1"/>
        <v>810.07949999999994</v>
      </c>
      <c r="K10" s="148">
        <f t="shared" si="2"/>
        <v>0</v>
      </c>
      <c r="L10" s="149">
        <f t="shared" si="3"/>
        <v>810.07949999999994</v>
      </c>
      <c r="M10" s="150"/>
      <c r="N10" s="1"/>
      <c r="O10" s="91" t="str">
        <f>Zones!C15</f>
        <v>Dining Area (Cafeteria/Fast Food)</v>
      </c>
      <c r="P10" s="63">
        <f>SUMIF(Zones!C$3:C$61, "*Dining Area (Cafeteria/Fast Food)*", Zones!K$3:K$61)</f>
        <v>7500.73</v>
      </c>
      <c r="Q10" s="64">
        <f>Zones!M15</f>
        <v>33</v>
      </c>
      <c r="R10" s="64">
        <f t="shared" si="10"/>
        <v>247.52409</v>
      </c>
      <c r="S10" s="65">
        <v>0.15</v>
      </c>
      <c r="T10" s="67">
        <v>0</v>
      </c>
      <c r="U10" s="65"/>
      <c r="V10" s="65"/>
      <c r="W10" s="104">
        <f>MAX(R10*15,P10*S10,P10*T10,P10*V10)</f>
        <v>3712.8613500000001</v>
      </c>
      <c r="X10" s="1"/>
    </row>
    <row r="11" spans="1:24" ht="19.2" customHeight="1" x14ac:dyDescent="0.25">
      <c r="A11" s="61" t="s">
        <v>135</v>
      </c>
      <c r="B11" s="96" t="s">
        <v>148</v>
      </c>
      <c r="C11" s="145">
        <f>Zones!L11</f>
        <v>0</v>
      </c>
      <c r="D11" s="145">
        <f>Zones!K11</f>
        <v>6100.6</v>
      </c>
      <c r="E11" s="763">
        <v>15</v>
      </c>
      <c r="F11" s="763">
        <v>0.15</v>
      </c>
      <c r="G11" s="145"/>
      <c r="H11" s="550">
        <v>0</v>
      </c>
      <c r="I11" s="147">
        <f t="shared" si="0"/>
        <v>0</v>
      </c>
      <c r="J11" s="148">
        <f t="shared" si="1"/>
        <v>915.09</v>
      </c>
      <c r="K11" s="148">
        <f t="shared" si="2"/>
        <v>0</v>
      </c>
      <c r="L11" s="149">
        <f t="shared" si="3"/>
        <v>915.09</v>
      </c>
      <c r="M11" s="150"/>
      <c r="N11" s="1"/>
      <c r="O11" s="90" t="str">
        <f>Zones!C16</f>
        <v>Healthcare Facility and Hospitals (Exam/Treatment Room)</v>
      </c>
      <c r="P11" s="63">
        <f>SUMIF(Zones!C$3:C$61, "*Healthcare Facility and Hospitals (Exam/Treatment Room)*", Zones!K$3:K$61)</f>
        <v>4200.4199999999992</v>
      </c>
      <c r="Q11" s="64">
        <f>Zones!M16</f>
        <v>5</v>
      </c>
      <c r="R11" s="64">
        <f t="shared" si="10"/>
        <v>21.002099999999999</v>
      </c>
      <c r="S11" s="65"/>
      <c r="T11" s="67">
        <v>0</v>
      </c>
      <c r="U11" s="65">
        <v>2</v>
      </c>
      <c r="V11" s="68">
        <f t="shared" ref="V11:V18" si="11">(U11*14)/60</f>
        <v>0.46666666666666667</v>
      </c>
      <c r="W11" s="104">
        <f>MAX(R11*15,P11*S11,P11*T11,P11*V11)</f>
        <v>1960.1959999999997</v>
      </c>
      <c r="X11" s="1"/>
    </row>
    <row r="12" spans="1:24" ht="19.2" customHeight="1" x14ac:dyDescent="0.25">
      <c r="A12" s="61" t="s">
        <v>135</v>
      </c>
      <c r="B12" s="96" t="s">
        <v>149</v>
      </c>
      <c r="C12" s="145">
        <f>Zones!L12</f>
        <v>0</v>
      </c>
      <c r="D12" s="145">
        <f>Zones!K12</f>
        <v>6100.6</v>
      </c>
      <c r="E12" s="763">
        <v>15</v>
      </c>
      <c r="F12" s="763">
        <v>0.15</v>
      </c>
      <c r="G12" s="145"/>
      <c r="H12" s="550">
        <v>0</v>
      </c>
      <c r="I12" s="147">
        <f t="shared" si="0"/>
        <v>0</v>
      </c>
      <c r="J12" s="148">
        <f t="shared" si="1"/>
        <v>915.09</v>
      </c>
      <c r="K12" s="148">
        <f t="shared" si="2"/>
        <v>0</v>
      </c>
      <c r="L12" s="149">
        <f t="shared" si="3"/>
        <v>915.09</v>
      </c>
      <c r="M12" s="150"/>
      <c r="N12" s="1"/>
      <c r="O12" s="90" t="str">
        <f>Zones!C18</f>
        <v>Healthcare Facility and Hospitals (Nurse's Station)</v>
      </c>
      <c r="P12" s="63">
        <f>SUMIF(Zones!C$3:C$61, "*Healthcare Facility and Hospitals (Nurse's Station)*", Zones!K$3:K$61)</f>
        <v>62104.61</v>
      </c>
      <c r="Q12" s="64">
        <f>Zones!M18</f>
        <v>1.5</v>
      </c>
      <c r="R12" s="64">
        <f t="shared" si="10"/>
        <v>93.156914999999998</v>
      </c>
      <c r="S12" s="65"/>
      <c r="T12" s="67">
        <v>0</v>
      </c>
      <c r="U12" s="65">
        <v>2</v>
      </c>
      <c r="V12" s="68">
        <f t="shared" si="11"/>
        <v>0.46666666666666667</v>
      </c>
      <c r="W12" s="104">
        <f>MAX(R12*15,P12*S12,P12*T12,P12*V12)+3137</f>
        <v>32119.151333333335</v>
      </c>
      <c r="X12" s="1"/>
    </row>
    <row r="13" spans="1:24" ht="19.2" customHeight="1" x14ac:dyDescent="0.25">
      <c r="A13" s="61" t="s">
        <v>135</v>
      </c>
      <c r="B13" s="96" t="s">
        <v>150</v>
      </c>
      <c r="C13" s="145">
        <f>Zones!L13</f>
        <v>0</v>
      </c>
      <c r="D13" s="145">
        <f>Zones!K13</f>
        <v>6100.6</v>
      </c>
      <c r="E13" s="763">
        <v>15</v>
      </c>
      <c r="F13" s="763">
        <v>0.15</v>
      </c>
      <c r="G13" s="145"/>
      <c r="H13" s="550">
        <v>0</v>
      </c>
      <c r="I13" s="147">
        <f t="shared" si="0"/>
        <v>0</v>
      </c>
      <c r="J13" s="148">
        <f t="shared" si="1"/>
        <v>915.09</v>
      </c>
      <c r="K13" s="148">
        <f t="shared" si="2"/>
        <v>0</v>
      </c>
      <c r="L13" s="149">
        <f t="shared" si="3"/>
        <v>915.09</v>
      </c>
      <c r="M13" s="150"/>
      <c r="N13" s="1"/>
      <c r="O13" s="92" t="str">
        <f>Zones!C22</f>
        <v>Healthcare Facility and Hospitals (Recovery Room)</v>
      </c>
      <c r="P13" s="63">
        <f>SUMIF(Zones!C$3:C$61, "*Healthcare Facility and Hospitals (Recovery Room)*", Zones!K$3:K$61)</f>
        <v>9427.61</v>
      </c>
      <c r="Q13" s="64">
        <f>Zones!M22</f>
        <v>5</v>
      </c>
      <c r="R13" s="64">
        <f t="shared" si="10"/>
        <v>47.138050000000007</v>
      </c>
      <c r="S13" s="65"/>
      <c r="T13" s="67">
        <v>0</v>
      </c>
      <c r="U13" s="66">
        <v>2</v>
      </c>
      <c r="V13" s="68">
        <f t="shared" si="11"/>
        <v>0.46666666666666667</v>
      </c>
      <c r="W13" s="104">
        <f>MAX(R13*15,P13*S13,P13*T13,P13*V13)</f>
        <v>4399.5513333333338</v>
      </c>
      <c r="X13" s="1"/>
    </row>
    <row r="14" spans="1:24" ht="19.2" customHeight="1" x14ac:dyDescent="0.25">
      <c r="A14" s="61" t="s">
        <v>135</v>
      </c>
      <c r="B14" s="96" t="s">
        <v>151</v>
      </c>
      <c r="C14" s="145">
        <f>Zones!L14</f>
        <v>0</v>
      </c>
      <c r="D14" s="145">
        <f>Zones!K14</f>
        <v>6100.6</v>
      </c>
      <c r="E14" s="763">
        <v>15</v>
      </c>
      <c r="F14" s="763">
        <v>0.15</v>
      </c>
      <c r="G14" s="145"/>
      <c r="H14" s="550">
        <v>0</v>
      </c>
      <c r="I14" s="147">
        <f t="shared" si="0"/>
        <v>0</v>
      </c>
      <c r="J14" s="148">
        <f t="shared" si="1"/>
        <v>915.09</v>
      </c>
      <c r="K14" s="148">
        <f t="shared" si="2"/>
        <v>0</v>
      </c>
      <c r="L14" s="149">
        <f t="shared" si="3"/>
        <v>915.09</v>
      </c>
      <c r="M14" s="150"/>
      <c r="N14" s="1"/>
      <c r="O14" s="90" t="str">
        <f>Zones!C28</f>
        <v>Laboratory, Scientific</v>
      </c>
      <c r="P14" s="63">
        <f>SUMIF(Zones!C$3:C$61, "*Laboratory, Scientific*", Zones!K$3:K$61)</f>
        <v>5700.56</v>
      </c>
      <c r="Q14" s="64">
        <f>Zones!M28</f>
        <v>5</v>
      </c>
      <c r="R14" s="64">
        <f t="shared" si="10"/>
        <v>28.502800000000001</v>
      </c>
      <c r="S14" s="65"/>
      <c r="T14" s="68">
        <v>1</v>
      </c>
      <c r="U14" s="65">
        <v>2</v>
      </c>
      <c r="V14" s="68">
        <f t="shared" si="11"/>
        <v>0.46666666666666667</v>
      </c>
      <c r="W14" s="104">
        <f>MAX(R14*15,P14*S14,P14*T14,P14*V14)+E71+E72</f>
        <v>8700.5600000000013</v>
      </c>
      <c r="X14" s="1"/>
    </row>
    <row r="15" spans="1:24" ht="19.2" customHeight="1" x14ac:dyDescent="0.25">
      <c r="A15" s="61" t="s">
        <v>153</v>
      </c>
      <c r="B15" s="96" t="s">
        <v>152</v>
      </c>
      <c r="C15" s="145">
        <f>Zones!L15</f>
        <v>248</v>
      </c>
      <c r="D15" s="145">
        <f>Zones!K15</f>
        <v>7500.73</v>
      </c>
      <c r="E15" s="763">
        <v>15</v>
      </c>
      <c r="F15" s="763">
        <v>0.15</v>
      </c>
      <c r="G15" s="145"/>
      <c r="H15" s="550">
        <v>0</v>
      </c>
      <c r="I15" s="147">
        <f t="shared" si="0"/>
        <v>3720</v>
      </c>
      <c r="J15" s="148">
        <f t="shared" si="1"/>
        <v>1125.1094999999998</v>
      </c>
      <c r="K15" s="148">
        <f t="shared" si="2"/>
        <v>0</v>
      </c>
      <c r="L15" s="149">
        <f t="shared" si="3"/>
        <v>3720</v>
      </c>
      <c r="M15" s="150"/>
      <c r="N15" s="1"/>
      <c r="O15" s="90" t="str">
        <f>Zones!C39</f>
        <v>Healthcare Facility and Hospitals (Operating Room)</v>
      </c>
      <c r="P15" s="63">
        <f>SUMIF(Zones!C$3:C$61, "*Healthcare Facility and Hospitals (Operating Room)*", Zones!K$3:K$61)</f>
        <v>6600.65</v>
      </c>
      <c r="Q15" s="64">
        <f>Zones!M39</f>
        <v>5</v>
      </c>
      <c r="R15" s="64">
        <f t="shared" si="10"/>
        <v>33.003250000000001</v>
      </c>
      <c r="S15" s="65"/>
      <c r="T15" s="65"/>
      <c r="U15" s="65">
        <v>4</v>
      </c>
      <c r="V15" s="68">
        <f t="shared" si="11"/>
        <v>0.93333333333333335</v>
      </c>
      <c r="W15" s="104">
        <f t="shared" ref="W15:W20" si="12">MAX(R15*15,P15*S15,P15*T15,P15*V15)</f>
        <v>6160.6066666666666</v>
      </c>
      <c r="X15" s="1"/>
    </row>
    <row r="16" spans="1:24" ht="19.2" customHeight="1" x14ac:dyDescent="0.25">
      <c r="A16" s="61" t="s">
        <v>157</v>
      </c>
      <c r="B16" s="96" t="s">
        <v>156</v>
      </c>
      <c r="C16" s="145">
        <f>Zones!L16</f>
        <v>2</v>
      </c>
      <c r="D16" s="145">
        <f>Zones!K16</f>
        <v>1200.1199999999999</v>
      </c>
      <c r="E16" s="763">
        <v>15</v>
      </c>
      <c r="F16" s="763">
        <f t="shared" ref="F16:F26" si="13">VLOOKUP(A16,O$2:S$20,5)</f>
        <v>0</v>
      </c>
      <c r="G16" s="145"/>
      <c r="H16" s="146">
        <v>0.46666666600000001</v>
      </c>
      <c r="I16" s="147">
        <f t="shared" ref="I16:I61" si="14">E16*C16</f>
        <v>30</v>
      </c>
      <c r="J16" s="148">
        <f t="shared" ref="J16:J26" si="15">H16*D16</f>
        <v>560.05599919991994</v>
      </c>
      <c r="K16" s="148">
        <f t="shared" si="2"/>
        <v>0</v>
      </c>
      <c r="L16" s="149">
        <f t="shared" si="3"/>
        <v>560.05599919991994</v>
      </c>
      <c r="M16" s="150"/>
      <c r="N16" s="1"/>
      <c r="O16" s="90" t="str">
        <f>Zones!C60</f>
        <v>Healthcare Facility and Hospitals (Physical Therapy Room)</v>
      </c>
      <c r="P16" s="63">
        <f>SUMIF(Zones!C$3:C$61, "*Healthcare Facility and Hospitals (Physical Therapy Room)*", Zones!K$3:K$61)</f>
        <v>5250.51</v>
      </c>
      <c r="Q16" s="64">
        <f>Zones!M60</f>
        <v>5</v>
      </c>
      <c r="R16" s="64">
        <f t="shared" si="10"/>
        <v>26.252549999999999</v>
      </c>
      <c r="S16" s="65"/>
      <c r="T16" s="65"/>
      <c r="U16" s="65">
        <v>2</v>
      </c>
      <c r="V16" s="68">
        <f t="shared" si="11"/>
        <v>0.46666666666666667</v>
      </c>
      <c r="W16" s="104">
        <f t="shared" si="12"/>
        <v>2450.2380000000003</v>
      </c>
      <c r="X16" s="1"/>
    </row>
    <row r="17" spans="1:27" ht="19.2" customHeight="1" x14ac:dyDescent="0.25">
      <c r="A17" s="61" t="s">
        <v>157</v>
      </c>
      <c r="B17" s="96" t="s">
        <v>161</v>
      </c>
      <c r="C17" s="145">
        <f>Zones!L17</f>
        <v>2</v>
      </c>
      <c r="D17" s="145">
        <f>Zones!K17</f>
        <v>1200.1199999999999</v>
      </c>
      <c r="E17" s="763">
        <v>15</v>
      </c>
      <c r="F17" s="763">
        <f t="shared" si="13"/>
        <v>0</v>
      </c>
      <c r="G17" s="145"/>
      <c r="H17" s="146">
        <v>0.46666666600000001</v>
      </c>
      <c r="I17" s="147">
        <f t="shared" si="14"/>
        <v>30</v>
      </c>
      <c r="J17" s="148">
        <f t="shared" si="15"/>
        <v>560.05599919991994</v>
      </c>
      <c r="K17" s="148">
        <f t="shared" si="2"/>
        <v>0</v>
      </c>
      <c r="L17" s="149">
        <f t="shared" si="3"/>
        <v>560.05599919991994</v>
      </c>
      <c r="M17" s="150"/>
      <c r="N17" s="1"/>
      <c r="O17" s="90" t="str">
        <f>Zones!C61</f>
        <v>Healthcare Facility and Hospitals (Imaging Room)</v>
      </c>
      <c r="P17" s="63">
        <f>SUMIF(Zones!C$3:C$61, "*Healthcare Facility and Hospitals (Imaging Room)*", Zones!K$3:K$61)</f>
        <v>5250.51</v>
      </c>
      <c r="Q17" s="64">
        <f>Zones!M61</f>
        <v>5</v>
      </c>
      <c r="R17" s="64">
        <f t="shared" si="10"/>
        <v>26.252549999999999</v>
      </c>
      <c r="S17" s="65"/>
      <c r="T17" s="65"/>
      <c r="U17" s="65">
        <v>2</v>
      </c>
      <c r="V17" s="68">
        <f t="shared" si="11"/>
        <v>0.46666666666666667</v>
      </c>
      <c r="W17" s="104">
        <f t="shared" si="12"/>
        <v>2450.2380000000003</v>
      </c>
      <c r="X17" s="1"/>
      <c r="Y17" s="1"/>
      <c r="Z17" s="1"/>
      <c r="AA17" s="1"/>
    </row>
    <row r="18" spans="1:27" ht="19.2" customHeight="1" x14ac:dyDescent="0.25">
      <c r="A18" s="61" t="s">
        <v>163</v>
      </c>
      <c r="B18" s="96" t="s">
        <v>162</v>
      </c>
      <c r="C18" s="145">
        <f>Zones!L18</f>
        <v>20</v>
      </c>
      <c r="D18" s="145">
        <f>Zones!K18</f>
        <v>13301.3</v>
      </c>
      <c r="E18" s="763">
        <v>15</v>
      </c>
      <c r="F18" s="763">
        <f t="shared" si="13"/>
        <v>0</v>
      </c>
      <c r="G18" s="145"/>
      <c r="H18" s="146">
        <v>0.46666666600000001</v>
      </c>
      <c r="I18" s="147">
        <f t="shared" si="14"/>
        <v>300</v>
      </c>
      <c r="J18" s="148">
        <f t="shared" si="15"/>
        <v>6207.2733244658002</v>
      </c>
      <c r="K18" s="148">
        <f t="shared" si="2"/>
        <v>0</v>
      </c>
      <c r="L18" s="149">
        <f t="shared" si="3"/>
        <v>6207.2733244658002</v>
      </c>
      <c r="M18" s="150"/>
      <c r="N18" s="1"/>
      <c r="O18" s="90" t="str">
        <f>Zones!C44</f>
        <v>Healthcare Facility and Hospitals (Patient Room)</v>
      </c>
      <c r="P18" s="63">
        <f>SUMIF(Zones!C$3:C$61, "*Healthcare Facility and Hospitals (Patient Room)*", Zones!K$3:K$61)</f>
        <v>20402.680000000004</v>
      </c>
      <c r="Q18" s="64">
        <v>5</v>
      </c>
      <c r="R18" s="64">
        <f t="shared" si="10"/>
        <v>102.01340000000002</v>
      </c>
      <c r="S18" s="65"/>
      <c r="T18" s="65"/>
      <c r="U18" s="65">
        <v>2</v>
      </c>
      <c r="V18" s="68">
        <f t="shared" si="11"/>
        <v>0.46666666666666667</v>
      </c>
      <c r="W18" s="104">
        <f t="shared" si="12"/>
        <v>9521.2506666666686</v>
      </c>
      <c r="X18" s="1"/>
      <c r="Y18" s="1"/>
      <c r="Z18" s="1"/>
      <c r="AA18" s="1"/>
    </row>
    <row r="19" spans="1:27" ht="19.2" customHeight="1" x14ac:dyDescent="0.25">
      <c r="A19" s="61" t="s">
        <v>157</v>
      </c>
      <c r="B19" s="96" t="s">
        <v>165</v>
      </c>
      <c r="C19" s="145">
        <f>Zones!L19</f>
        <v>2</v>
      </c>
      <c r="D19" s="145">
        <f>Zones!K19</f>
        <v>300.02999999999997</v>
      </c>
      <c r="E19" s="763">
        <v>15</v>
      </c>
      <c r="F19" s="763">
        <f t="shared" si="13"/>
        <v>0</v>
      </c>
      <c r="G19" s="145"/>
      <c r="H19" s="146">
        <v>0.7</v>
      </c>
      <c r="I19" s="147">
        <f t="shared" si="14"/>
        <v>30</v>
      </c>
      <c r="J19" s="148">
        <f t="shared" si="15"/>
        <v>210.02099999999996</v>
      </c>
      <c r="K19" s="148">
        <f t="shared" si="2"/>
        <v>0</v>
      </c>
      <c r="L19" s="149">
        <f t="shared" si="3"/>
        <v>210.02099999999996</v>
      </c>
      <c r="M19" s="150"/>
      <c r="N19" s="1"/>
      <c r="O19" s="90" t="str">
        <f>Zones!C30</f>
        <v>Lobby, Main Entry</v>
      </c>
      <c r="P19" s="63">
        <f>SUMIF(Zones!C$3:C$61, "*Lobby, Main Entry*", Zones!K$3:K$61)</f>
        <v>15876.28</v>
      </c>
      <c r="Q19" s="64">
        <f>Zones!M30</f>
        <v>5</v>
      </c>
      <c r="R19" s="64">
        <f t="shared" si="10"/>
        <v>79.381400000000014</v>
      </c>
      <c r="S19" s="65">
        <v>0.15</v>
      </c>
      <c r="T19" s="65"/>
      <c r="U19" s="65"/>
      <c r="V19" s="68"/>
      <c r="W19" s="104">
        <f t="shared" si="12"/>
        <v>2381.442</v>
      </c>
      <c r="X19" s="1"/>
      <c r="Y19" s="1"/>
      <c r="Z19" s="1"/>
      <c r="AA19" s="1"/>
    </row>
    <row r="20" spans="1:27" ht="19.2" customHeight="1" x14ac:dyDescent="0.25">
      <c r="A20" s="61" t="s">
        <v>157</v>
      </c>
      <c r="B20" s="96" t="s">
        <v>166</v>
      </c>
      <c r="C20" s="145">
        <f>Zones!L20</f>
        <v>2</v>
      </c>
      <c r="D20" s="145">
        <f>Zones!K20</f>
        <v>300.02999999999997</v>
      </c>
      <c r="E20" s="763">
        <v>15</v>
      </c>
      <c r="F20" s="763">
        <f t="shared" si="13"/>
        <v>0</v>
      </c>
      <c r="G20" s="145"/>
      <c r="H20" s="146">
        <v>0.7</v>
      </c>
      <c r="I20" s="147">
        <f t="shared" si="14"/>
        <v>30</v>
      </c>
      <c r="J20" s="148">
        <f t="shared" si="15"/>
        <v>210.02099999999996</v>
      </c>
      <c r="K20" s="148">
        <f t="shared" si="2"/>
        <v>0</v>
      </c>
      <c r="L20" s="149">
        <f t="shared" si="3"/>
        <v>210.02099999999996</v>
      </c>
      <c r="M20" s="150"/>
      <c r="N20" s="1"/>
      <c r="O20" s="90" t="str">
        <f>Zones!C27</f>
        <v>Kitchen/Food Preparation Area</v>
      </c>
      <c r="P20" s="63">
        <f>SUMIF(Zones!C$3:C$61, "*Kitchen/Food Preparation Area*", Zones!K$3:K$61)</f>
        <v>10000.98</v>
      </c>
      <c r="Q20" s="64">
        <f>Zones!M27</f>
        <v>3</v>
      </c>
      <c r="R20" s="64">
        <f t="shared" si="10"/>
        <v>30.002940000000002</v>
      </c>
      <c r="S20" s="65">
        <v>0.15</v>
      </c>
      <c r="T20" s="65">
        <v>0.7</v>
      </c>
      <c r="U20" s="65"/>
      <c r="V20" s="68"/>
      <c r="W20" s="104">
        <f t="shared" si="12"/>
        <v>7000.6859999999997</v>
      </c>
      <c r="X20" s="1"/>
      <c r="Y20" s="1"/>
      <c r="Z20" s="1"/>
      <c r="AA20" s="1"/>
    </row>
    <row r="21" spans="1:27" ht="19.2" customHeight="1" thickBot="1" x14ac:dyDescent="0.3">
      <c r="A21" s="61" t="s">
        <v>157</v>
      </c>
      <c r="B21" s="96" t="s">
        <v>167</v>
      </c>
      <c r="C21" s="145">
        <f>Zones!L21</f>
        <v>2</v>
      </c>
      <c r="D21" s="145">
        <f>Zones!K21</f>
        <v>1200.1199999999999</v>
      </c>
      <c r="E21" s="763">
        <v>15</v>
      </c>
      <c r="F21" s="763">
        <f t="shared" si="13"/>
        <v>0</v>
      </c>
      <c r="G21" s="145">
        <f>3697/D21</f>
        <v>3.080525280805253</v>
      </c>
      <c r="H21" s="146">
        <v>0.46666666600000001</v>
      </c>
      <c r="I21" s="147">
        <f t="shared" si="14"/>
        <v>30</v>
      </c>
      <c r="J21" s="148">
        <f t="shared" si="15"/>
        <v>560.05599919991994</v>
      </c>
      <c r="K21" s="148">
        <f>G21*D21</f>
        <v>3697</v>
      </c>
      <c r="L21" s="149">
        <f t="shared" si="3"/>
        <v>3697</v>
      </c>
      <c r="M21" s="150" t="s">
        <v>396</v>
      </c>
      <c r="N21" s="1"/>
      <c r="O21" s="83" t="s">
        <v>397</v>
      </c>
      <c r="P21" s="93">
        <f>SUM(P3:P20)</f>
        <v>225842.16</v>
      </c>
      <c r="Q21" s="94"/>
      <c r="R21" s="99">
        <f>SUM(R3:R20)</f>
        <v>835.149045</v>
      </c>
      <c r="S21" s="94"/>
      <c r="T21" s="94"/>
      <c r="U21" s="94"/>
      <c r="V21" s="94"/>
      <c r="W21" s="105">
        <f>SUM(W3:W20)</f>
        <v>98044.024350000007</v>
      </c>
      <c r="X21" s="1"/>
      <c r="Y21" s="1"/>
      <c r="Z21" s="1"/>
      <c r="AA21" s="1"/>
    </row>
    <row r="22" spans="1:27" ht="19.2" customHeight="1" x14ac:dyDescent="0.25">
      <c r="A22" s="189" t="s">
        <v>169</v>
      </c>
      <c r="B22" s="190" t="s">
        <v>168</v>
      </c>
      <c r="C22" s="145">
        <f>Zones!L22</f>
        <v>33</v>
      </c>
      <c r="D22" s="145">
        <f>Zones!K22</f>
        <v>6652.36</v>
      </c>
      <c r="E22" s="763">
        <v>15</v>
      </c>
      <c r="F22" s="763">
        <f t="shared" si="13"/>
        <v>0</v>
      </c>
      <c r="G22" s="145"/>
      <c r="H22" s="146">
        <v>0.46666666600000001</v>
      </c>
      <c r="I22" s="147">
        <f t="shared" si="14"/>
        <v>495</v>
      </c>
      <c r="J22" s="148">
        <f t="shared" si="15"/>
        <v>3104.4346622317598</v>
      </c>
      <c r="K22" s="148"/>
      <c r="L22" s="149">
        <f t="shared" si="3"/>
        <v>3104.4346622317598</v>
      </c>
      <c r="M22" s="150"/>
      <c r="N22" s="1"/>
      <c r="O22" s="1"/>
      <c r="P22" s="1"/>
      <c r="Q22" s="1"/>
      <c r="R22" s="1"/>
      <c r="S22" s="1"/>
      <c r="T22" s="1"/>
      <c r="U22" s="1"/>
      <c r="V22" s="1"/>
      <c r="W22" s="1"/>
      <c r="X22" s="1"/>
      <c r="Y22" s="1"/>
      <c r="Z22" s="1"/>
      <c r="AA22" s="1"/>
    </row>
    <row r="23" spans="1:27" ht="19.2" customHeight="1" x14ac:dyDescent="0.25">
      <c r="A23" s="61" t="s">
        <v>163</v>
      </c>
      <c r="B23" s="96" t="s">
        <v>172</v>
      </c>
      <c r="C23" s="145">
        <f>Zones!L23</f>
        <v>11</v>
      </c>
      <c r="D23" s="145">
        <f>Zones!K23</f>
        <v>7199.26</v>
      </c>
      <c r="E23" s="763">
        <v>15</v>
      </c>
      <c r="F23" s="763">
        <f t="shared" si="13"/>
        <v>0</v>
      </c>
      <c r="G23" s="145"/>
      <c r="H23" s="146">
        <v>0.46666666600000001</v>
      </c>
      <c r="I23" s="147">
        <f t="shared" si="14"/>
        <v>165</v>
      </c>
      <c r="J23" s="148">
        <f t="shared" si="15"/>
        <v>3359.65466186716</v>
      </c>
      <c r="K23" s="148"/>
      <c r="L23" s="149">
        <f t="shared" si="3"/>
        <v>3359.65466186716</v>
      </c>
      <c r="M23" s="150"/>
      <c r="N23" s="1"/>
      <c r="O23" s="1"/>
      <c r="P23" s="1"/>
      <c r="Q23" s="1"/>
      <c r="R23" s="1"/>
      <c r="S23" s="1"/>
      <c r="T23" s="1"/>
      <c r="U23" s="1"/>
      <c r="V23" s="1"/>
      <c r="W23" s="1"/>
      <c r="X23" s="1"/>
      <c r="Y23" s="1"/>
      <c r="Z23" s="1"/>
      <c r="AA23" s="1"/>
    </row>
    <row r="24" spans="1:27" ht="19.2" customHeight="1" x14ac:dyDescent="0.25">
      <c r="A24" s="61" t="s">
        <v>169</v>
      </c>
      <c r="B24" s="96" t="s">
        <v>173</v>
      </c>
      <c r="C24" s="145">
        <f>Zones!L24</f>
        <v>1</v>
      </c>
      <c r="D24" s="145">
        <f>Zones!K24</f>
        <v>1125.1000000000001</v>
      </c>
      <c r="E24" s="763">
        <v>15</v>
      </c>
      <c r="F24" s="763">
        <f t="shared" si="13"/>
        <v>0</v>
      </c>
      <c r="G24" s="145"/>
      <c r="H24" s="146">
        <v>0.46666666600000001</v>
      </c>
      <c r="I24" s="147">
        <f t="shared" si="14"/>
        <v>15</v>
      </c>
      <c r="J24" s="148">
        <f t="shared" si="15"/>
        <v>525.04666591660009</v>
      </c>
      <c r="K24" s="148"/>
      <c r="L24" s="149">
        <f t="shared" si="3"/>
        <v>525.04666591660009</v>
      </c>
      <c r="M24" s="150"/>
      <c r="N24" s="1"/>
      <c r="O24" s="746"/>
      <c r="P24" s="746"/>
      <c r="Q24" s="746"/>
      <c r="R24" s="746"/>
      <c r="S24" s="1"/>
      <c r="T24" s="1"/>
      <c r="U24" s="1"/>
      <c r="V24" s="1"/>
      <c r="W24" s="1"/>
      <c r="X24" s="1"/>
      <c r="Y24" s="1"/>
      <c r="Z24" s="1"/>
      <c r="AA24" s="1"/>
    </row>
    <row r="25" spans="1:27" ht="19.2" customHeight="1" x14ac:dyDescent="0.25">
      <c r="A25" s="61" t="s">
        <v>169</v>
      </c>
      <c r="B25" s="96" t="s">
        <v>174</v>
      </c>
      <c r="C25" s="145">
        <f>Zones!L25</f>
        <v>2</v>
      </c>
      <c r="D25" s="145">
        <f>Zones!K25</f>
        <v>300.02999999999997</v>
      </c>
      <c r="E25" s="763">
        <v>15</v>
      </c>
      <c r="F25" s="763">
        <f t="shared" si="13"/>
        <v>0</v>
      </c>
      <c r="G25" s="145"/>
      <c r="H25" s="146">
        <v>0.46666666600000001</v>
      </c>
      <c r="I25" s="147">
        <f t="shared" si="14"/>
        <v>30</v>
      </c>
      <c r="J25" s="148">
        <f t="shared" si="15"/>
        <v>140.01399979997998</v>
      </c>
      <c r="K25" s="148"/>
      <c r="L25" s="149">
        <f t="shared" si="3"/>
        <v>140.01399979997998</v>
      </c>
      <c r="M25" s="150"/>
      <c r="N25" s="1"/>
      <c r="O25" s="747"/>
      <c r="P25" s="748"/>
      <c r="Q25" s="749"/>
      <c r="R25" s="747"/>
      <c r="S25" s="1"/>
      <c r="T25" s="1"/>
      <c r="U25" s="1"/>
      <c r="V25" s="1"/>
      <c r="W25" s="1"/>
      <c r="X25" s="1"/>
      <c r="Y25" s="1"/>
      <c r="Z25" s="1"/>
      <c r="AA25" s="1"/>
    </row>
    <row r="26" spans="1:27" ht="19.2" customHeight="1" x14ac:dyDescent="0.25">
      <c r="A26" s="61" t="s">
        <v>169</v>
      </c>
      <c r="B26" s="96" t="s">
        <v>175</v>
      </c>
      <c r="C26" s="145">
        <f>Zones!L26</f>
        <v>1</v>
      </c>
      <c r="D26" s="145">
        <f>Zones!K26</f>
        <v>1350.1200000000001</v>
      </c>
      <c r="E26" s="763">
        <v>15</v>
      </c>
      <c r="F26" s="763">
        <f t="shared" si="13"/>
        <v>0</v>
      </c>
      <c r="G26" s="145"/>
      <c r="H26" s="146">
        <v>0.46666666600000001</v>
      </c>
      <c r="I26" s="147">
        <f t="shared" si="14"/>
        <v>15</v>
      </c>
      <c r="J26" s="148">
        <f t="shared" si="15"/>
        <v>630.05599909992009</v>
      </c>
      <c r="K26" s="148"/>
      <c r="L26" s="149">
        <f t="shared" si="3"/>
        <v>630.05599909992009</v>
      </c>
      <c r="M26" s="150"/>
      <c r="N26" s="1"/>
      <c r="O26" s="747"/>
      <c r="P26" s="748"/>
      <c r="Q26" s="749"/>
      <c r="R26" s="747"/>
      <c r="S26" s="1"/>
      <c r="T26" s="1"/>
      <c r="U26" s="1"/>
      <c r="V26" s="1"/>
      <c r="W26" s="1"/>
      <c r="X26" s="1"/>
      <c r="Y26" s="1"/>
      <c r="Z26" s="1"/>
      <c r="AA26" s="1"/>
    </row>
    <row r="27" spans="1:27" ht="19.2" customHeight="1" x14ac:dyDescent="0.25">
      <c r="A27" s="19" t="s">
        <v>177</v>
      </c>
      <c r="B27" s="96" t="s">
        <v>176</v>
      </c>
      <c r="C27" s="145">
        <f>Zones!L27</f>
        <v>30</v>
      </c>
      <c r="D27" s="145">
        <f>Zones!K27</f>
        <v>10000.98</v>
      </c>
      <c r="E27" s="763">
        <v>15</v>
      </c>
      <c r="F27" s="763">
        <v>0.15</v>
      </c>
      <c r="G27" s="151">
        <v>0.7</v>
      </c>
      <c r="H27" s="146"/>
      <c r="I27" s="147">
        <f>E27*C27</f>
        <v>450</v>
      </c>
      <c r="J27" s="148">
        <f>F27*D27</f>
        <v>1500.1469999999999</v>
      </c>
      <c r="K27" s="148">
        <f>G27*D27</f>
        <v>7000.6859999999997</v>
      </c>
      <c r="L27" s="149">
        <f>MAX(I27:K27)</f>
        <v>7000.6859999999997</v>
      </c>
      <c r="M27" s="150" t="s">
        <v>398</v>
      </c>
      <c r="N27" s="1"/>
      <c r="O27" s="749"/>
      <c r="P27" s="748"/>
      <c r="Q27" s="749"/>
      <c r="R27" s="749"/>
      <c r="S27" s="1"/>
      <c r="T27" s="1"/>
      <c r="U27" s="1"/>
      <c r="V27" s="1"/>
      <c r="W27" s="1"/>
      <c r="X27" s="1"/>
      <c r="Y27" s="1"/>
      <c r="Z27" s="1"/>
      <c r="AA27" s="1"/>
    </row>
    <row r="28" spans="1:27" ht="27.6" x14ac:dyDescent="0.25">
      <c r="A28" s="61" t="s">
        <v>181</v>
      </c>
      <c r="B28" s="96" t="s">
        <v>180</v>
      </c>
      <c r="C28" s="145">
        <f>Zones!L28</f>
        <v>14</v>
      </c>
      <c r="D28" s="145">
        <f>Zones!K28</f>
        <v>2850.28</v>
      </c>
      <c r="E28" s="763">
        <v>15</v>
      </c>
      <c r="F28" s="763">
        <f t="shared" ref="F28:F61" si="16">VLOOKUP(A28,O$2:S$20,5)</f>
        <v>0</v>
      </c>
      <c r="G28" s="151">
        <v>1</v>
      </c>
      <c r="H28" s="146">
        <v>0.46666666600000001</v>
      </c>
      <c r="I28" s="147">
        <f t="shared" si="14"/>
        <v>210</v>
      </c>
      <c r="J28" s="148">
        <f>H28*D28</f>
        <v>1330.1306647664801</v>
      </c>
      <c r="K28" s="148">
        <f>G28*D28</f>
        <v>2850.28</v>
      </c>
      <c r="L28" s="149">
        <f>MAX(I28:K28)+E71</f>
        <v>4350.2800000000007</v>
      </c>
      <c r="M28" s="197" t="s">
        <v>399</v>
      </c>
      <c r="N28" s="1"/>
      <c r="O28" s="749"/>
      <c r="P28" s="748"/>
      <c r="Q28" s="749"/>
      <c r="R28" s="749"/>
      <c r="S28" s="1"/>
      <c r="T28" s="1"/>
      <c r="U28" s="1"/>
      <c r="V28" s="1"/>
      <c r="W28" s="1"/>
      <c r="X28" s="1"/>
      <c r="Y28" s="1"/>
      <c r="Z28" s="1"/>
      <c r="AA28" s="1"/>
    </row>
    <row r="29" spans="1:27" ht="28.2" x14ac:dyDescent="0.3">
      <c r="A29" s="61" t="s">
        <v>181</v>
      </c>
      <c r="B29" s="96" t="s">
        <v>184</v>
      </c>
      <c r="C29" s="145">
        <f>Zones!L29</f>
        <v>14</v>
      </c>
      <c r="D29" s="145">
        <f>Zones!K29</f>
        <v>2850.28</v>
      </c>
      <c r="E29" s="763">
        <v>15</v>
      </c>
      <c r="F29" s="763">
        <f t="shared" si="16"/>
        <v>0</v>
      </c>
      <c r="G29" s="151">
        <v>1</v>
      </c>
      <c r="H29" s="146">
        <v>0.46666666600000001</v>
      </c>
      <c r="I29" s="147">
        <f t="shared" si="14"/>
        <v>210</v>
      </c>
      <c r="J29" s="148">
        <f>H29*D29</f>
        <v>1330.1306647664801</v>
      </c>
      <c r="K29" s="148">
        <f>G29*D29</f>
        <v>2850.28</v>
      </c>
      <c r="L29" s="149">
        <f>MAX(I29:K29)+E72</f>
        <v>4350.2800000000007</v>
      </c>
      <c r="M29" s="197" t="s">
        <v>399</v>
      </c>
      <c r="N29"/>
      <c r="O29" s="1"/>
      <c r="P29" s="1"/>
      <c r="Q29" s="1"/>
      <c r="R29" s="1"/>
      <c r="S29" s="1"/>
      <c r="T29" s="1"/>
      <c r="U29" s="1"/>
      <c r="V29" s="1"/>
      <c r="W29" s="1"/>
      <c r="X29"/>
      <c r="Y29"/>
      <c r="Z29"/>
      <c r="AA29"/>
    </row>
    <row r="30" spans="1:27" s="97" customFormat="1" ht="21" customHeight="1" x14ac:dyDescent="0.3">
      <c r="A30" s="189" t="s">
        <v>186</v>
      </c>
      <c r="B30" s="96" t="s">
        <v>185</v>
      </c>
      <c r="C30" s="145">
        <f>Zones!L30</f>
        <v>79</v>
      </c>
      <c r="D30" s="145">
        <f>Zones!K30</f>
        <v>15876.28</v>
      </c>
      <c r="E30" s="763">
        <v>15</v>
      </c>
      <c r="F30" s="763">
        <f t="shared" si="16"/>
        <v>0.15</v>
      </c>
      <c r="G30" s="145"/>
      <c r="H30" s="146">
        <f>VLOOKUP(A30,O$2:V$20,8)</f>
        <v>0</v>
      </c>
      <c r="I30" s="147">
        <f t="shared" si="14"/>
        <v>1185</v>
      </c>
      <c r="J30" s="148">
        <f>F30*D30</f>
        <v>2381.442</v>
      </c>
      <c r="K30" s="148">
        <f t="shared" ref="K30:K61" si="17">G30*D30</f>
        <v>0</v>
      </c>
      <c r="L30" s="149">
        <f t="shared" ref="L30:L61" si="18">MAX(I30:K30)</f>
        <v>2381.442</v>
      </c>
      <c r="M30" s="152"/>
      <c r="N30"/>
      <c r="O30" s="1"/>
      <c r="P30" s="1"/>
      <c r="Q30" s="1"/>
      <c r="R30" s="1"/>
      <c r="S30" s="1"/>
      <c r="T30" s="1"/>
      <c r="U30" s="1"/>
      <c r="V30" s="1"/>
      <c r="W30" s="1"/>
      <c r="X30"/>
      <c r="Y30"/>
      <c r="Z30"/>
      <c r="AA30"/>
    </row>
    <row r="31" spans="1:27" ht="20.399999999999999" customHeight="1" x14ac:dyDescent="0.3">
      <c r="A31" s="61" t="s">
        <v>163</v>
      </c>
      <c r="B31" s="96" t="s">
        <v>189</v>
      </c>
      <c r="C31" s="145">
        <f>Zones!L31</f>
        <v>15</v>
      </c>
      <c r="D31" s="145">
        <f>Zones!K31</f>
        <v>9750.9500000000007</v>
      </c>
      <c r="E31" s="763">
        <v>15</v>
      </c>
      <c r="F31" s="763">
        <f t="shared" si="16"/>
        <v>0</v>
      </c>
      <c r="G31" s="151">
        <f>4551/D31</f>
        <v>0.46672375512129582</v>
      </c>
      <c r="H31" s="146">
        <v>0.46666666600000001</v>
      </c>
      <c r="I31" s="147">
        <f t="shared" si="14"/>
        <v>225</v>
      </c>
      <c r="J31" s="148">
        <f>H31*D31</f>
        <v>4550.4433268327002</v>
      </c>
      <c r="K31" s="148">
        <f t="shared" si="17"/>
        <v>4551</v>
      </c>
      <c r="L31" s="149">
        <f t="shared" si="18"/>
        <v>4551</v>
      </c>
      <c r="M31" s="150" t="s">
        <v>400</v>
      </c>
      <c r="N31"/>
      <c r="O31" s="1"/>
      <c r="P31" s="1"/>
      <c r="Q31" s="1"/>
      <c r="R31" s="1"/>
      <c r="S31" s="1"/>
      <c r="T31" s="1"/>
      <c r="U31" s="1"/>
      <c r="V31" s="1"/>
      <c r="W31" s="1"/>
      <c r="X31"/>
      <c r="Y31"/>
      <c r="Z31"/>
      <c r="AA31"/>
    </row>
    <row r="32" spans="1:27" ht="20.399999999999999" customHeight="1" x14ac:dyDescent="0.3">
      <c r="A32" s="61" t="s">
        <v>163</v>
      </c>
      <c r="B32" s="96" t="s">
        <v>190</v>
      </c>
      <c r="C32" s="145">
        <f>Zones!L32</f>
        <v>15</v>
      </c>
      <c r="D32" s="145">
        <f>Zones!K32</f>
        <v>9750.9500000000007</v>
      </c>
      <c r="E32" s="763">
        <v>15</v>
      </c>
      <c r="F32" s="763">
        <f t="shared" si="16"/>
        <v>0</v>
      </c>
      <c r="G32" s="151">
        <f>4551/D32</f>
        <v>0.46672375512129582</v>
      </c>
      <c r="H32" s="146">
        <v>0.46666666600000001</v>
      </c>
      <c r="I32" s="147">
        <f t="shared" si="14"/>
        <v>225</v>
      </c>
      <c r="J32" s="148">
        <f>H32*D32</f>
        <v>4550.4433268327002</v>
      </c>
      <c r="K32" s="148">
        <f t="shared" si="17"/>
        <v>4551</v>
      </c>
      <c r="L32" s="149">
        <f t="shared" si="18"/>
        <v>4551</v>
      </c>
      <c r="M32" s="150" t="s">
        <v>400</v>
      </c>
      <c r="N32"/>
      <c r="O32" s="1"/>
      <c r="P32" s="1"/>
      <c r="Q32" s="1"/>
      <c r="R32" s="1"/>
      <c r="S32" s="1"/>
      <c r="T32" s="1"/>
      <c r="U32" s="1"/>
      <c r="V32" s="1"/>
      <c r="W32" s="1"/>
      <c r="X32"/>
      <c r="Y32"/>
      <c r="Z32"/>
      <c r="AA32"/>
    </row>
    <row r="33" spans="1:27" ht="20.399999999999999" customHeight="1" x14ac:dyDescent="0.3">
      <c r="A33" s="61" t="s">
        <v>163</v>
      </c>
      <c r="B33" s="96" t="s">
        <v>191</v>
      </c>
      <c r="C33" s="145">
        <f>Zones!L33</f>
        <v>17</v>
      </c>
      <c r="D33" s="145">
        <f>Zones!K33</f>
        <v>11201.09</v>
      </c>
      <c r="E33" s="763">
        <v>15</v>
      </c>
      <c r="F33" s="763">
        <f t="shared" si="16"/>
        <v>0</v>
      </c>
      <c r="G33" s="145"/>
      <c r="H33" s="146">
        <v>0.46666666600000001</v>
      </c>
      <c r="I33" s="147">
        <f t="shared" si="14"/>
        <v>255</v>
      </c>
      <c r="J33" s="148">
        <f>H33*D33</f>
        <v>5227.1753258659401</v>
      </c>
      <c r="K33" s="148">
        <f t="shared" si="17"/>
        <v>0</v>
      </c>
      <c r="L33" s="149">
        <f t="shared" si="18"/>
        <v>5227.1753258659401</v>
      </c>
      <c r="M33" s="150"/>
      <c r="N33"/>
      <c r="O33"/>
      <c r="P33"/>
      <c r="Q33"/>
      <c r="R33"/>
      <c r="S33"/>
      <c r="T33"/>
      <c r="U33"/>
      <c r="V33"/>
      <c r="W33"/>
      <c r="X33"/>
      <c r="Y33"/>
      <c r="Z33"/>
      <c r="AA33"/>
    </row>
    <row r="34" spans="1:27" ht="20.399999999999999" customHeight="1" x14ac:dyDescent="0.3">
      <c r="A34" s="61" t="s">
        <v>193</v>
      </c>
      <c r="B34" s="96" t="s">
        <v>192</v>
      </c>
      <c r="C34" s="145">
        <f>Zones!L34</f>
        <v>4</v>
      </c>
      <c r="D34" s="145">
        <f>Zones!K34</f>
        <v>750.27</v>
      </c>
      <c r="E34" s="763">
        <v>15</v>
      </c>
      <c r="F34" s="763">
        <f t="shared" si="16"/>
        <v>0.15</v>
      </c>
      <c r="G34" s="145"/>
      <c r="H34" s="146">
        <f>VLOOKUP(A34,O$2:V$20,8)</f>
        <v>0</v>
      </c>
      <c r="I34" s="147">
        <f t="shared" si="14"/>
        <v>60</v>
      </c>
      <c r="J34" s="148">
        <f>F34*D34</f>
        <v>112.54049999999999</v>
      </c>
      <c r="K34" s="148">
        <f t="shared" si="17"/>
        <v>0</v>
      </c>
      <c r="L34" s="149">
        <f t="shared" si="18"/>
        <v>112.54049999999999</v>
      </c>
      <c r="M34" s="150"/>
      <c r="N34"/>
      <c r="O34"/>
      <c r="P34"/>
      <c r="Q34"/>
      <c r="R34"/>
      <c r="S34"/>
      <c r="T34"/>
      <c r="U34"/>
      <c r="V34"/>
      <c r="W34"/>
      <c r="X34"/>
      <c r="Y34"/>
      <c r="Z34"/>
      <c r="AA34"/>
    </row>
    <row r="35" spans="1:27" ht="20.399999999999999" customHeight="1" x14ac:dyDescent="0.3">
      <c r="A35" s="61" t="s">
        <v>196</v>
      </c>
      <c r="B35" s="96" t="s">
        <v>195</v>
      </c>
      <c r="C35" s="145">
        <f>Zones!L35</f>
        <v>1</v>
      </c>
      <c r="D35" s="145">
        <f>Zones!K35</f>
        <v>750.05</v>
      </c>
      <c r="E35" s="763">
        <v>15</v>
      </c>
      <c r="F35" s="763">
        <f t="shared" si="16"/>
        <v>0.15</v>
      </c>
      <c r="G35" s="145"/>
      <c r="H35" s="146">
        <f>VLOOKUP(A35,O$2:V$20,8)</f>
        <v>0</v>
      </c>
      <c r="I35" s="147">
        <f t="shared" si="14"/>
        <v>15</v>
      </c>
      <c r="J35" s="148">
        <f>F35*D35</f>
        <v>112.50749999999999</v>
      </c>
      <c r="K35" s="148">
        <f t="shared" si="17"/>
        <v>0</v>
      </c>
      <c r="L35" s="149">
        <f t="shared" si="18"/>
        <v>112.50749999999999</v>
      </c>
      <c r="M35" s="150"/>
      <c r="N35"/>
      <c r="O35"/>
      <c r="P35"/>
      <c r="Q35"/>
      <c r="R35"/>
      <c r="S35"/>
      <c r="T35"/>
      <c r="U35"/>
      <c r="V35"/>
      <c r="W35"/>
      <c r="X35"/>
      <c r="Y35"/>
      <c r="Z35"/>
      <c r="AA35"/>
    </row>
    <row r="36" spans="1:27" ht="20.399999999999999" customHeight="1" x14ac:dyDescent="0.3">
      <c r="A36" s="61" t="s">
        <v>193</v>
      </c>
      <c r="B36" s="96" t="s">
        <v>197</v>
      </c>
      <c r="C36" s="145">
        <f>Zones!L36</f>
        <v>4</v>
      </c>
      <c r="D36" s="145">
        <f>Zones!K36</f>
        <v>3750.3500000000004</v>
      </c>
      <c r="E36" s="763">
        <v>15</v>
      </c>
      <c r="F36" s="763">
        <f t="shared" si="16"/>
        <v>0.15</v>
      </c>
      <c r="G36" s="145"/>
      <c r="H36" s="146">
        <f>VLOOKUP(A36,O$2:V$20,8)</f>
        <v>0</v>
      </c>
      <c r="I36" s="147">
        <f t="shared" si="14"/>
        <v>60</v>
      </c>
      <c r="J36" s="148">
        <f>F36*D36</f>
        <v>562.55250000000001</v>
      </c>
      <c r="K36" s="148">
        <f t="shared" si="17"/>
        <v>0</v>
      </c>
      <c r="L36" s="149">
        <f t="shared" si="18"/>
        <v>562.55250000000001</v>
      </c>
      <c r="M36" s="150"/>
      <c r="N36"/>
      <c r="O36"/>
      <c r="P36"/>
      <c r="Q36"/>
      <c r="R36"/>
      <c r="S36"/>
      <c r="T36"/>
      <c r="U36"/>
      <c r="V36"/>
      <c r="W36"/>
      <c r="X36"/>
      <c r="Y36"/>
      <c r="Z36"/>
      <c r="AA36"/>
    </row>
    <row r="37" spans="1:27" ht="20.399999999999999" customHeight="1" x14ac:dyDescent="0.3">
      <c r="A37" s="61" t="s">
        <v>193</v>
      </c>
      <c r="B37" s="96" t="s">
        <v>198</v>
      </c>
      <c r="C37" s="145">
        <f>Zones!L37</f>
        <v>4</v>
      </c>
      <c r="D37" s="145">
        <f>Zones!K37</f>
        <v>750.07</v>
      </c>
      <c r="E37" s="763">
        <v>15</v>
      </c>
      <c r="F37" s="763">
        <f t="shared" si="16"/>
        <v>0.15</v>
      </c>
      <c r="G37" s="145"/>
      <c r="H37" s="146">
        <f>VLOOKUP(A37,O$2:V$20,8)</f>
        <v>0</v>
      </c>
      <c r="I37" s="147">
        <f t="shared" si="14"/>
        <v>60</v>
      </c>
      <c r="J37" s="148">
        <f>F37*D37</f>
        <v>112.51050000000001</v>
      </c>
      <c r="K37" s="148">
        <f t="shared" si="17"/>
        <v>0</v>
      </c>
      <c r="L37" s="149">
        <f t="shared" si="18"/>
        <v>112.51050000000001</v>
      </c>
      <c r="M37" s="150"/>
      <c r="N37"/>
      <c r="O37"/>
      <c r="P37"/>
      <c r="Q37"/>
      <c r="R37"/>
      <c r="S37"/>
      <c r="T37"/>
      <c r="U37"/>
      <c r="V37"/>
      <c r="W37"/>
      <c r="X37"/>
      <c r="Y37"/>
      <c r="Z37"/>
      <c r="AA37"/>
    </row>
    <row r="38" spans="1:27" ht="20.399999999999999" customHeight="1" x14ac:dyDescent="0.3">
      <c r="A38" s="61" t="s">
        <v>196</v>
      </c>
      <c r="B38" s="96" t="s">
        <v>199</v>
      </c>
      <c r="C38" s="145">
        <f>Zones!L38</f>
        <v>1</v>
      </c>
      <c r="D38" s="145">
        <f>Zones!K38</f>
        <v>900.06</v>
      </c>
      <c r="E38" s="763">
        <v>15</v>
      </c>
      <c r="F38" s="763">
        <f t="shared" si="16"/>
        <v>0.15</v>
      </c>
      <c r="G38" s="145"/>
      <c r="H38" s="146">
        <f>VLOOKUP(A38,O$2:V$20,8)</f>
        <v>0</v>
      </c>
      <c r="I38" s="147">
        <f t="shared" si="14"/>
        <v>15</v>
      </c>
      <c r="J38" s="148">
        <f>F38*D38</f>
        <v>135.00899999999999</v>
      </c>
      <c r="K38" s="148">
        <f t="shared" si="17"/>
        <v>0</v>
      </c>
      <c r="L38" s="149">
        <f t="shared" si="18"/>
        <v>135.00899999999999</v>
      </c>
      <c r="M38" s="150"/>
      <c r="N38"/>
      <c r="O38"/>
      <c r="P38"/>
      <c r="Q38"/>
      <c r="R38"/>
      <c r="S38"/>
      <c r="T38"/>
      <c r="U38"/>
      <c r="V38"/>
      <c r="W38"/>
      <c r="X38"/>
      <c r="Y38"/>
      <c r="Z38"/>
      <c r="AA38"/>
    </row>
    <row r="39" spans="1:27" ht="20.399999999999999" customHeight="1" x14ac:dyDescent="0.3">
      <c r="A39" s="61" t="s">
        <v>201</v>
      </c>
      <c r="B39" s="96" t="s">
        <v>200</v>
      </c>
      <c r="C39" s="145">
        <f>Zones!L39</f>
        <v>3</v>
      </c>
      <c r="D39" s="145">
        <f>Zones!K39</f>
        <v>600.05999999999995</v>
      </c>
      <c r="E39" s="763">
        <v>15</v>
      </c>
      <c r="F39" s="763">
        <f t="shared" si="16"/>
        <v>0</v>
      </c>
      <c r="G39" s="145"/>
      <c r="H39" s="146">
        <v>0.93333330000000003</v>
      </c>
      <c r="I39" s="147">
        <f t="shared" si="14"/>
        <v>45</v>
      </c>
      <c r="J39" s="148">
        <f t="shared" ref="J39:J61" si="19">H39*D39</f>
        <v>560.055979998</v>
      </c>
      <c r="K39" s="148">
        <f t="shared" si="17"/>
        <v>0</v>
      </c>
      <c r="L39" s="149">
        <f t="shared" si="18"/>
        <v>560.055979998</v>
      </c>
      <c r="M39" s="150"/>
      <c r="N39"/>
      <c r="O39"/>
      <c r="P39"/>
      <c r="Q39"/>
      <c r="R39"/>
      <c r="S39"/>
      <c r="T39"/>
      <c r="U39"/>
      <c r="V39"/>
      <c r="W39"/>
      <c r="X39"/>
      <c r="Y39"/>
      <c r="Z39"/>
      <c r="AA39"/>
    </row>
    <row r="40" spans="1:27" ht="20.399999999999999" customHeight="1" x14ac:dyDescent="0.3">
      <c r="A40" s="61" t="s">
        <v>201</v>
      </c>
      <c r="B40" s="96" t="s">
        <v>204</v>
      </c>
      <c r="C40" s="145">
        <f>Zones!L40</f>
        <v>3</v>
      </c>
      <c r="D40" s="145">
        <f>Zones!K40</f>
        <v>3000.2999999999997</v>
      </c>
      <c r="E40" s="763">
        <v>15</v>
      </c>
      <c r="F40" s="763">
        <f t="shared" si="16"/>
        <v>0</v>
      </c>
      <c r="G40" s="145"/>
      <c r="H40" s="146">
        <v>0.93333330000000003</v>
      </c>
      <c r="I40" s="147">
        <f t="shared" si="14"/>
        <v>45</v>
      </c>
      <c r="J40" s="148">
        <f t="shared" si="19"/>
        <v>2800.2798999899996</v>
      </c>
      <c r="K40" s="148">
        <f t="shared" si="17"/>
        <v>0</v>
      </c>
      <c r="L40" s="149">
        <f t="shared" si="18"/>
        <v>2800.2798999899996</v>
      </c>
      <c r="M40" s="150"/>
      <c r="N40"/>
      <c r="O40"/>
      <c r="P40"/>
      <c r="Q40"/>
      <c r="R40"/>
      <c r="S40"/>
      <c r="T40"/>
      <c r="U40"/>
      <c r="V40"/>
      <c r="W40"/>
      <c r="X40"/>
      <c r="Y40"/>
      <c r="Z40"/>
      <c r="AA40"/>
    </row>
    <row r="41" spans="1:27" ht="20.399999999999999" customHeight="1" x14ac:dyDescent="0.3">
      <c r="A41" s="61" t="s">
        <v>201</v>
      </c>
      <c r="B41" s="96" t="s">
        <v>205</v>
      </c>
      <c r="C41" s="145">
        <f>Zones!L41</f>
        <v>3</v>
      </c>
      <c r="D41" s="145">
        <f>Zones!K41</f>
        <v>600.05999999999995</v>
      </c>
      <c r="E41" s="763">
        <v>15</v>
      </c>
      <c r="F41" s="763">
        <f t="shared" si="16"/>
        <v>0</v>
      </c>
      <c r="G41" s="145"/>
      <c r="H41" s="146">
        <v>0.93333330000000003</v>
      </c>
      <c r="I41" s="147">
        <f t="shared" si="14"/>
        <v>45</v>
      </c>
      <c r="J41" s="148">
        <f t="shared" si="19"/>
        <v>560.055979998</v>
      </c>
      <c r="K41" s="148">
        <f t="shared" si="17"/>
        <v>0</v>
      </c>
      <c r="L41" s="149">
        <f t="shared" si="18"/>
        <v>560.055979998</v>
      </c>
      <c r="M41" s="150"/>
      <c r="N41"/>
      <c r="O41"/>
      <c r="P41"/>
      <c r="Q41"/>
      <c r="R41"/>
      <c r="S41"/>
      <c r="T41"/>
      <c r="U41"/>
      <c r="V41"/>
      <c r="W41"/>
      <c r="X41"/>
      <c r="Y41"/>
      <c r="Z41"/>
      <c r="AA41"/>
    </row>
    <row r="42" spans="1:27" ht="20.399999999999999" customHeight="1" x14ac:dyDescent="0.3">
      <c r="A42" s="61" t="s">
        <v>201</v>
      </c>
      <c r="B42" s="96" t="s">
        <v>206</v>
      </c>
      <c r="C42" s="145">
        <f>Zones!L42</f>
        <v>12</v>
      </c>
      <c r="D42" s="145">
        <f>Zones!K42</f>
        <v>2400.23</v>
      </c>
      <c r="E42" s="763">
        <v>15</v>
      </c>
      <c r="F42" s="763">
        <f t="shared" si="16"/>
        <v>0</v>
      </c>
      <c r="G42" s="145"/>
      <c r="H42" s="146">
        <v>0.93333330000000003</v>
      </c>
      <c r="I42" s="147">
        <f t="shared" si="14"/>
        <v>180</v>
      </c>
      <c r="J42" s="148">
        <f t="shared" si="19"/>
        <v>2240.2145866589999</v>
      </c>
      <c r="K42" s="148">
        <f t="shared" si="17"/>
        <v>0</v>
      </c>
      <c r="L42" s="149">
        <f t="shared" si="18"/>
        <v>2240.2145866589999</v>
      </c>
      <c r="M42" s="150"/>
      <c r="N42"/>
      <c r="O42"/>
      <c r="P42"/>
      <c r="Q42"/>
      <c r="R42"/>
      <c r="S42"/>
      <c r="T42"/>
      <c r="U42"/>
      <c r="V42"/>
      <c r="W42"/>
      <c r="X42"/>
      <c r="Y42"/>
      <c r="Z42"/>
      <c r="AA42"/>
    </row>
    <row r="43" spans="1:27" ht="20.399999999999999" customHeight="1" x14ac:dyDescent="0.3">
      <c r="A43" s="61" t="s">
        <v>163</v>
      </c>
      <c r="B43" s="96" t="s">
        <v>207</v>
      </c>
      <c r="C43" s="145">
        <f>Zones!L43</f>
        <v>16</v>
      </c>
      <c r="D43" s="145">
        <f>Zones!K43</f>
        <v>10901.06</v>
      </c>
      <c r="E43" s="763">
        <v>15</v>
      </c>
      <c r="F43" s="763">
        <f t="shared" si="16"/>
        <v>0</v>
      </c>
      <c r="G43" s="145"/>
      <c r="H43" s="146">
        <v>0.46666666600000001</v>
      </c>
      <c r="I43" s="147">
        <f t="shared" si="14"/>
        <v>240</v>
      </c>
      <c r="J43" s="148">
        <f t="shared" si="19"/>
        <v>5087.1613260659597</v>
      </c>
      <c r="K43" s="148">
        <f t="shared" si="17"/>
        <v>0</v>
      </c>
      <c r="L43" s="149">
        <f t="shared" si="18"/>
        <v>5087.1613260659597</v>
      </c>
      <c r="M43" s="150"/>
      <c r="N43"/>
      <c r="O43"/>
      <c r="P43"/>
      <c r="Q43"/>
      <c r="R43"/>
      <c r="S43"/>
      <c r="T43"/>
      <c r="U43"/>
      <c r="V43"/>
      <c r="W43"/>
      <c r="X43"/>
      <c r="Y43"/>
      <c r="Z43"/>
      <c r="AA43"/>
    </row>
    <row r="44" spans="1:27" ht="20.399999999999999" customHeight="1" x14ac:dyDescent="0.3">
      <c r="A44" s="61" t="s">
        <v>209</v>
      </c>
      <c r="B44" s="96" t="s">
        <v>208</v>
      </c>
      <c r="C44" s="145">
        <f>Zones!L44</f>
        <v>2</v>
      </c>
      <c r="D44" s="145">
        <f>Zones!K44</f>
        <v>2250.2000000000003</v>
      </c>
      <c r="E44" s="763">
        <v>15</v>
      </c>
      <c r="F44" s="763">
        <f t="shared" si="16"/>
        <v>0</v>
      </c>
      <c r="G44" s="145"/>
      <c r="H44" s="146">
        <v>0.46666666600000001</v>
      </c>
      <c r="I44" s="147">
        <f t="shared" si="14"/>
        <v>30</v>
      </c>
      <c r="J44" s="148">
        <f t="shared" si="19"/>
        <v>1050.0933318332002</v>
      </c>
      <c r="K44" s="148">
        <f t="shared" si="17"/>
        <v>0</v>
      </c>
      <c r="L44" s="149">
        <f t="shared" si="18"/>
        <v>1050.0933318332002</v>
      </c>
      <c r="M44" s="150"/>
      <c r="N44"/>
      <c r="O44"/>
      <c r="P44"/>
      <c r="Q44"/>
      <c r="R44"/>
      <c r="S44"/>
      <c r="T44"/>
      <c r="U44"/>
      <c r="V44"/>
      <c r="W44"/>
      <c r="X44"/>
      <c r="Y44"/>
      <c r="Z44"/>
      <c r="AA44"/>
    </row>
    <row r="45" spans="1:27" ht="20.399999999999999" customHeight="1" x14ac:dyDescent="0.3">
      <c r="A45" s="61" t="s">
        <v>209</v>
      </c>
      <c r="B45" s="96" t="s">
        <v>213</v>
      </c>
      <c r="C45" s="145">
        <f>Zones!L45</f>
        <v>2</v>
      </c>
      <c r="D45" s="145">
        <f>Zones!K45</f>
        <v>2250.2000000000003</v>
      </c>
      <c r="E45" s="763">
        <v>15</v>
      </c>
      <c r="F45" s="763">
        <f t="shared" si="16"/>
        <v>0</v>
      </c>
      <c r="G45" s="145"/>
      <c r="H45" s="146">
        <v>0.46666666600000001</v>
      </c>
      <c r="I45" s="147">
        <f t="shared" si="14"/>
        <v>30</v>
      </c>
      <c r="J45" s="148">
        <f t="shared" si="19"/>
        <v>1050.0933318332002</v>
      </c>
      <c r="K45" s="148">
        <f t="shared" si="17"/>
        <v>0</v>
      </c>
      <c r="L45" s="149">
        <f t="shared" si="18"/>
        <v>1050.0933318332002</v>
      </c>
      <c r="M45" s="150"/>
      <c r="N45"/>
      <c r="O45"/>
      <c r="P45"/>
      <c r="Q45"/>
      <c r="R45"/>
      <c r="S45"/>
      <c r="T45"/>
      <c r="U45"/>
      <c r="V45"/>
      <c r="W45"/>
      <c r="X45"/>
      <c r="Y45"/>
      <c r="Z45"/>
      <c r="AA45"/>
    </row>
    <row r="46" spans="1:27" ht="20.399999999999999" customHeight="1" x14ac:dyDescent="0.3">
      <c r="A46" s="61" t="s">
        <v>209</v>
      </c>
      <c r="B46" s="96" t="s">
        <v>214</v>
      </c>
      <c r="C46" s="145">
        <f>Zones!L46</f>
        <v>2</v>
      </c>
      <c r="D46" s="145">
        <f>Zones!K46</f>
        <v>375.04</v>
      </c>
      <c r="E46" s="763">
        <v>15</v>
      </c>
      <c r="F46" s="763">
        <f t="shared" si="16"/>
        <v>0</v>
      </c>
      <c r="G46" s="145"/>
      <c r="H46" s="146">
        <v>0.46666666600000001</v>
      </c>
      <c r="I46" s="147">
        <f t="shared" si="14"/>
        <v>30</v>
      </c>
      <c r="J46" s="148">
        <f t="shared" si="19"/>
        <v>175.01866641664</v>
      </c>
      <c r="K46" s="148">
        <f t="shared" si="17"/>
        <v>0</v>
      </c>
      <c r="L46" s="149">
        <f t="shared" si="18"/>
        <v>175.01866641664</v>
      </c>
      <c r="M46" s="150"/>
      <c r="N46"/>
      <c r="O46"/>
      <c r="P46"/>
      <c r="Q46"/>
      <c r="R46"/>
      <c r="S46"/>
      <c r="T46"/>
      <c r="U46"/>
      <c r="V46"/>
      <c r="W46"/>
      <c r="X46"/>
      <c r="Y46"/>
      <c r="Z46"/>
      <c r="AA46"/>
    </row>
    <row r="47" spans="1:27" ht="20.399999999999999" customHeight="1" x14ac:dyDescent="0.3">
      <c r="A47" s="61" t="s">
        <v>209</v>
      </c>
      <c r="B47" s="96" t="s">
        <v>215</v>
      </c>
      <c r="C47" s="145">
        <f>Zones!L47</f>
        <v>2</v>
      </c>
      <c r="D47" s="145">
        <f>Zones!K47</f>
        <v>375.04</v>
      </c>
      <c r="E47" s="763">
        <v>15</v>
      </c>
      <c r="F47" s="763">
        <f t="shared" si="16"/>
        <v>0</v>
      </c>
      <c r="G47" s="145"/>
      <c r="H47" s="146">
        <v>0.46666666600000001</v>
      </c>
      <c r="I47" s="147">
        <f t="shared" si="14"/>
        <v>30</v>
      </c>
      <c r="J47" s="148">
        <f t="shared" si="19"/>
        <v>175.01866641664</v>
      </c>
      <c r="K47" s="148">
        <f t="shared" si="17"/>
        <v>0</v>
      </c>
      <c r="L47" s="149">
        <f t="shared" si="18"/>
        <v>175.01866641664</v>
      </c>
      <c r="M47" s="150"/>
      <c r="N47"/>
      <c r="O47"/>
      <c r="P47"/>
      <c r="Q47"/>
      <c r="R47"/>
      <c r="S47"/>
      <c r="T47"/>
      <c r="U47"/>
      <c r="V47"/>
      <c r="W47"/>
      <c r="X47"/>
      <c r="Y47"/>
      <c r="Z47"/>
      <c r="AA47"/>
    </row>
    <row r="48" spans="1:27" ht="20.399999999999999" customHeight="1" x14ac:dyDescent="0.3">
      <c r="A48" s="61" t="s">
        <v>209</v>
      </c>
      <c r="B48" s="96" t="s">
        <v>216</v>
      </c>
      <c r="C48" s="145">
        <f>Zones!L48</f>
        <v>2</v>
      </c>
      <c r="D48" s="145">
        <f>Zones!K48</f>
        <v>2175.4</v>
      </c>
      <c r="E48" s="763">
        <v>15</v>
      </c>
      <c r="F48" s="763">
        <f t="shared" si="16"/>
        <v>0</v>
      </c>
      <c r="G48" s="145"/>
      <c r="H48" s="146">
        <v>0.46666666600000001</v>
      </c>
      <c r="I48" s="147">
        <f t="shared" si="14"/>
        <v>30</v>
      </c>
      <c r="J48" s="148">
        <f t="shared" si="19"/>
        <v>1015.1866652164001</v>
      </c>
      <c r="K48" s="148">
        <f t="shared" si="17"/>
        <v>0</v>
      </c>
      <c r="L48" s="149">
        <f t="shared" si="18"/>
        <v>1015.1866652164001</v>
      </c>
      <c r="M48" s="150"/>
      <c r="N48"/>
      <c r="O48"/>
      <c r="P48"/>
      <c r="Q48"/>
      <c r="R48"/>
      <c r="S48"/>
      <c r="T48"/>
      <c r="U48"/>
      <c r="V48"/>
      <c r="W48"/>
      <c r="X48"/>
      <c r="Y48"/>
      <c r="Z48"/>
      <c r="AA48"/>
    </row>
    <row r="49" spans="1:27" ht="20.399999999999999" customHeight="1" x14ac:dyDescent="0.3">
      <c r="A49" s="61" t="s">
        <v>209</v>
      </c>
      <c r="B49" s="96" t="s">
        <v>217</v>
      </c>
      <c r="C49" s="145">
        <f>Zones!L49</f>
        <v>2</v>
      </c>
      <c r="D49" s="145">
        <f>Zones!K49</f>
        <v>2175.4</v>
      </c>
      <c r="E49" s="763">
        <v>15</v>
      </c>
      <c r="F49" s="763">
        <f t="shared" si="16"/>
        <v>0</v>
      </c>
      <c r="G49" s="145"/>
      <c r="H49" s="146">
        <v>0.46666666600000001</v>
      </c>
      <c r="I49" s="147">
        <f t="shared" si="14"/>
        <v>30</v>
      </c>
      <c r="J49" s="148">
        <f t="shared" si="19"/>
        <v>1015.1866652164001</v>
      </c>
      <c r="K49" s="148">
        <f t="shared" si="17"/>
        <v>0</v>
      </c>
      <c r="L49" s="149">
        <f t="shared" si="18"/>
        <v>1015.1866652164001</v>
      </c>
      <c r="M49" s="150"/>
      <c r="N49"/>
      <c r="O49"/>
      <c r="P49"/>
      <c r="Q49"/>
      <c r="R49"/>
      <c r="S49"/>
      <c r="T49"/>
      <c r="U49"/>
      <c r="V49"/>
      <c r="W49"/>
      <c r="X49"/>
      <c r="Y49"/>
      <c r="Z49"/>
      <c r="AA49"/>
    </row>
    <row r="50" spans="1:27" ht="20.399999999999999" customHeight="1" x14ac:dyDescent="0.3">
      <c r="A50" s="61" t="s">
        <v>209</v>
      </c>
      <c r="B50" s="96" t="s">
        <v>218</v>
      </c>
      <c r="C50" s="145">
        <f>Zones!L50</f>
        <v>2</v>
      </c>
      <c r="D50" s="145">
        <f>Zones!K50</f>
        <v>375.04</v>
      </c>
      <c r="E50" s="763">
        <v>15</v>
      </c>
      <c r="F50" s="763">
        <f t="shared" si="16"/>
        <v>0</v>
      </c>
      <c r="G50" s="145"/>
      <c r="H50" s="146">
        <v>0.46666666600000001</v>
      </c>
      <c r="I50" s="147">
        <f t="shared" si="14"/>
        <v>30</v>
      </c>
      <c r="J50" s="148">
        <f t="shared" si="19"/>
        <v>175.01866641664</v>
      </c>
      <c r="K50" s="148">
        <f t="shared" si="17"/>
        <v>0</v>
      </c>
      <c r="L50" s="149">
        <f t="shared" si="18"/>
        <v>175.01866641664</v>
      </c>
      <c r="M50" s="150"/>
      <c r="N50"/>
      <c r="O50"/>
      <c r="P50"/>
      <c r="Q50"/>
      <c r="R50"/>
      <c r="S50"/>
      <c r="T50"/>
      <c r="U50"/>
      <c r="V50"/>
      <c r="W50"/>
      <c r="X50"/>
      <c r="Y50"/>
      <c r="Z50"/>
      <c r="AA50"/>
    </row>
    <row r="51" spans="1:27" ht="20.399999999999999" customHeight="1" x14ac:dyDescent="0.3">
      <c r="A51" s="61" t="s">
        <v>209</v>
      </c>
      <c r="B51" s="96" t="s">
        <v>219</v>
      </c>
      <c r="C51" s="145">
        <f>Zones!L51</f>
        <v>2</v>
      </c>
      <c r="D51" s="145">
        <f>Zones!K51</f>
        <v>375.04</v>
      </c>
      <c r="E51" s="763">
        <v>15</v>
      </c>
      <c r="F51" s="763">
        <f t="shared" si="16"/>
        <v>0</v>
      </c>
      <c r="G51" s="145"/>
      <c r="H51" s="146">
        <v>0.46666666600000001</v>
      </c>
      <c r="I51" s="147">
        <f t="shared" si="14"/>
        <v>30</v>
      </c>
      <c r="J51" s="148">
        <f t="shared" si="19"/>
        <v>175.01866641664</v>
      </c>
      <c r="K51" s="148">
        <f t="shared" si="17"/>
        <v>0</v>
      </c>
      <c r="L51" s="149">
        <f t="shared" si="18"/>
        <v>175.01866641664</v>
      </c>
      <c r="M51" s="150"/>
      <c r="N51"/>
      <c r="O51"/>
      <c r="P51"/>
      <c r="Q51"/>
      <c r="R51"/>
      <c r="S51"/>
      <c r="T51"/>
      <c r="U51"/>
      <c r="V51"/>
      <c r="W51"/>
      <c r="X51"/>
      <c r="Y51"/>
      <c r="Z51"/>
      <c r="AA51"/>
    </row>
    <row r="52" spans="1:27" ht="20.399999999999999" customHeight="1" x14ac:dyDescent="0.3">
      <c r="A52" s="61" t="s">
        <v>209</v>
      </c>
      <c r="B52" s="96" t="s">
        <v>220</v>
      </c>
      <c r="C52" s="145">
        <f>Zones!L52</f>
        <v>2</v>
      </c>
      <c r="D52" s="145">
        <f>Zones!K52</f>
        <v>2250.2000000000003</v>
      </c>
      <c r="E52" s="763">
        <v>15</v>
      </c>
      <c r="F52" s="763">
        <f t="shared" si="16"/>
        <v>0</v>
      </c>
      <c r="G52" s="145"/>
      <c r="H52" s="146">
        <v>0.46666666600000001</v>
      </c>
      <c r="I52" s="147">
        <f t="shared" si="14"/>
        <v>30</v>
      </c>
      <c r="J52" s="148">
        <f t="shared" si="19"/>
        <v>1050.0933318332002</v>
      </c>
      <c r="K52" s="148">
        <f t="shared" si="17"/>
        <v>0</v>
      </c>
      <c r="L52" s="149">
        <f t="shared" si="18"/>
        <v>1050.0933318332002</v>
      </c>
      <c r="M52" s="150"/>
      <c r="N52"/>
      <c r="O52"/>
      <c r="P52"/>
      <c r="Q52"/>
      <c r="R52"/>
      <c r="S52"/>
      <c r="T52"/>
      <c r="U52"/>
      <c r="V52"/>
      <c r="W52"/>
      <c r="X52"/>
      <c r="Y52"/>
      <c r="Z52"/>
      <c r="AA52"/>
    </row>
    <row r="53" spans="1:27" ht="20.399999999999999" customHeight="1" x14ac:dyDescent="0.3">
      <c r="A53" s="61" t="s">
        <v>209</v>
      </c>
      <c r="B53" s="96" t="s">
        <v>221</v>
      </c>
      <c r="C53" s="145">
        <f>Zones!L53</f>
        <v>2</v>
      </c>
      <c r="D53" s="145">
        <f>Zones!K53</f>
        <v>2250.2000000000003</v>
      </c>
      <c r="E53" s="763">
        <v>15</v>
      </c>
      <c r="F53" s="763">
        <f t="shared" si="16"/>
        <v>0</v>
      </c>
      <c r="G53" s="145"/>
      <c r="H53" s="146">
        <v>0.46666666600000001</v>
      </c>
      <c r="I53" s="147">
        <f t="shared" si="14"/>
        <v>30</v>
      </c>
      <c r="J53" s="148">
        <f t="shared" si="19"/>
        <v>1050.0933318332002</v>
      </c>
      <c r="K53" s="148">
        <f t="shared" si="17"/>
        <v>0</v>
      </c>
      <c r="L53" s="149">
        <f t="shared" si="18"/>
        <v>1050.0933318332002</v>
      </c>
      <c r="M53" s="150"/>
      <c r="N53" s="1"/>
      <c r="O53"/>
      <c r="P53"/>
      <c r="Q53"/>
      <c r="R53"/>
      <c r="S53"/>
      <c r="T53"/>
      <c r="U53"/>
      <c r="V53"/>
      <c r="W53"/>
      <c r="X53" s="1"/>
      <c r="Y53" s="1"/>
      <c r="Z53" s="1"/>
      <c r="AA53" s="1"/>
    </row>
    <row r="54" spans="1:27" ht="20.399999999999999" customHeight="1" x14ac:dyDescent="0.3">
      <c r="A54" s="61" t="s">
        <v>209</v>
      </c>
      <c r="B54" s="96" t="s">
        <v>222</v>
      </c>
      <c r="C54" s="145">
        <f>Zones!L54</f>
        <v>2</v>
      </c>
      <c r="D54" s="145">
        <f>Zones!K54</f>
        <v>300.02999999999997</v>
      </c>
      <c r="E54" s="763">
        <v>15</v>
      </c>
      <c r="F54" s="763">
        <f t="shared" si="16"/>
        <v>0</v>
      </c>
      <c r="G54" s="145"/>
      <c r="H54" s="146">
        <v>0.46666666600000001</v>
      </c>
      <c r="I54" s="147">
        <f t="shared" si="14"/>
        <v>30</v>
      </c>
      <c r="J54" s="148">
        <f t="shared" si="19"/>
        <v>140.01399979997998</v>
      </c>
      <c r="K54" s="148">
        <f t="shared" si="17"/>
        <v>0</v>
      </c>
      <c r="L54" s="149">
        <f t="shared" si="18"/>
        <v>140.01399979997998</v>
      </c>
      <c r="M54" s="150"/>
      <c r="N54" s="1"/>
      <c r="O54"/>
      <c r="P54"/>
      <c r="Q54"/>
      <c r="R54"/>
      <c r="S54"/>
      <c r="T54"/>
      <c r="U54"/>
      <c r="V54"/>
      <c r="W54"/>
      <c r="X54" s="1"/>
      <c r="Y54" s="1"/>
      <c r="Z54" s="1"/>
      <c r="AA54" s="1"/>
    </row>
    <row r="55" spans="1:27" ht="20.399999999999999" customHeight="1" x14ac:dyDescent="0.3">
      <c r="A55" s="61" t="s">
        <v>209</v>
      </c>
      <c r="B55" s="96" t="s">
        <v>223</v>
      </c>
      <c r="C55" s="145">
        <f>Zones!L55</f>
        <v>2</v>
      </c>
      <c r="D55" s="145">
        <f>Zones!K55</f>
        <v>300.02999999999997</v>
      </c>
      <c r="E55" s="763">
        <v>15</v>
      </c>
      <c r="F55" s="763">
        <f t="shared" si="16"/>
        <v>0</v>
      </c>
      <c r="G55" s="145"/>
      <c r="H55" s="146">
        <v>0.46666666600000001</v>
      </c>
      <c r="I55" s="147">
        <f t="shared" si="14"/>
        <v>30</v>
      </c>
      <c r="J55" s="148">
        <f t="shared" si="19"/>
        <v>140.01399979997998</v>
      </c>
      <c r="K55" s="148">
        <f t="shared" si="17"/>
        <v>0</v>
      </c>
      <c r="L55" s="149">
        <f t="shared" si="18"/>
        <v>140.01399979997998</v>
      </c>
      <c r="M55" s="150"/>
      <c r="N55" s="1"/>
      <c r="O55"/>
      <c r="P55"/>
      <c r="Q55"/>
      <c r="R55"/>
      <c r="S55"/>
      <c r="T55"/>
      <c r="U55"/>
      <c r="V55"/>
      <c r="W55"/>
      <c r="X55" s="1"/>
      <c r="Y55" s="1"/>
      <c r="Z55" s="1"/>
      <c r="AA55" s="1"/>
    </row>
    <row r="56" spans="1:27" ht="20.399999999999999" customHeight="1" x14ac:dyDescent="0.3">
      <c r="A56" s="61" t="s">
        <v>209</v>
      </c>
      <c r="B56" s="96" t="s">
        <v>224</v>
      </c>
      <c r="C56" s="145">
        <f>Zones!L56</f>
        <v>2</v>
      </c>
      <c r="D56" s="145">
        <f>Zones!K56</f>
        <v>2175.4</v>
      </c>
      <c r="E56" s="763">
        <v>15</v>
      </c>
      <c r="F56" s="763">
        <f t="shared" si="16"/>
        <v>0</v>
      </c>
      <c r="G56" s="145"/>
      <c r="H56" s="146">
        <v>0.46666666600000001</v>
      </c>
      <c r="I56" s="147">
        <f t="shared" si="14"/>
        <v>30</v>
      </c>
      <c r="J56" s="148">
        <f t="shared" si="19"/>
        <v>1015.1866652164001</v>
      </c>
      <c r="K56" s="148">
        <f t="shared" si="17"/>
        <v>0</v>
      </c>
      <c r="L56" s="149">
        <f t="shared" si="18"/>
        <v>1015.1866652164001</v>
      </c>
      <c r="M56" s="150"/>
      <c r="N56" s="1"/>
      <c r="O56"/>
      <c r="P56"/>
      <c r="Q56"/>
      <c r="R56"/>
      <c r="S56"/>
      <c r="T56"/>
      <c r="U56"/>
      <c r="V56"/>
      <c r="W56"/>
      <c r="X56" s="1"/>
      <c r="Y56" s="1"/>
      <c r="Z56" s="1"/>
      <c r="AA56" s="1"/>
    </row>
    <row r="57" spans="1:27" ht="20.399999999999999" customHeight="1" x14ac:dyDescent="0.25">
      <c r="A57" s="61" t="s">
        <v>209</v>
      </c>
      <c r="B57" s="96" t="s">
        <v>225</v>
      </c>
      <c r="C57" s="145">
        <f>Zones!L57</f>
        <v>2</v>
      </c>
      <c r="D57" s="145">
        <f>Zones!K57</f>
        <v>2175.4</v>
      </c>
      <c r="E57" s="763">
        <v>15</v>
      </c>
      <c r="F57" s="763">
        <f t="shared" si="16"/>
        <v>0</v>
      </c>
      <c r="G57" s="145"/>
      <c r="H57" s="146">
        <v>0.46666666600000001</v>
      </c>
      <c r="I57" s="147">
        <f t="shared" si="14"/>
        <v>30</v>
      </c>
      <c r="J57" s="148">
        <f t="shared" si="19"/>
        <v>1015.1866652164001</v>
      </c>
      <c r="K57" s="148">
        <f t="shared" si="17"/>
        <v>0</v>
      </c>
      <c r="L57" s="149">
        <f t="shared" si="18"/>
        <v>1015.1866652164001</v>
      </c>
      <c r="M57" s="150"/>
      <c r="N57" s="1"/>
      <c r="O57" s="1"/>
      <c r="P57" s="1"/>
      <c r="Q57" s="1"/>
      <c r="R57" s="1"/>
      <c r="S57" s="1"/>
      <c r="T57" s="1"/>
      <c r="U57" s="1"/>
      <c r="V57" s="1"/>
      <c r="W57" s="1"/>
      <c r="X57" s="1"/>
      <c r="Y57" s="1"/>
      <c r="Z57" s="1"/>
      <c r="AA57" s="1"/>
    </row>
    <row r="58" spans="1:27" ht="20.399999999999999" customHeight="1" x14ac:dyDescent="0.25">
      <c r="A58" s="61" t="s">
        <v>209</v>
      </c>
      <c r="B58" s="96" t="s">
        <v>226</v>
      </c>
      <c r="C58" s="145">
        <f>Zones!L58</f>
        <v>2</v>
      </c>
      <c r="D58" s="145">
        <f>Zones!K58</f>
        <v>300.02999999999997</v>
      </c>
      <c r="E58" s="763">
        <v>15</v>
      </c>
      <c r="F58" s="763">
        <f t="shared" si="16"/>
        <v>0</v>
      </c>
      <c r="G58" s="145"/>
      <c r="H58" s="146">
        <v>0.46666666600000001</v>
      </c>
      <c r="I58" s="147">
        <f t="shared" si="14"/>
        <v>30</v>
      </c>
      <c r="J58" s="148">
        <f t="shared" si="19"/>
        <v>140.01399979997998</v>
      </c>
      <c r="K58" s="148">
        <f t="shared" si="17"/>
        <v>0</v>
      </c>
      <c r="L58" s="149">
        <f t="shared" si="18"/>
        <v>140.01399979997998</v>
      </c>
      <c r="M58" s="150"/>
      <c r="N58" s="1"/>
      <c r="O58" s="1"/>
      <c r="P58" s="1"/>
      <c r="Q58" s="1"/>
      <c r="R58" s="1"/>
      <c r="S58" s="1"/>
      <c r="T58" s="1"/>
      <c r="U58" s="1"/>
      <c r="V58" s="1"/>
      <c r="W58" s="1"/>
      <c r="X58" s="1"/>
      <c r="Y58" s="1"/>
      <c r="Z58" s="1"/>
      <c r="AA58" s="1"/>
    </row>
    <row r="59" spans="1:27" ht="20.399999999999999" customHeight="1" x14ac:dyDescent="0.25">
      <c r="A59" s="61" t="s">
        <v>209</v>
      </c>
      <c r="B59" s="96" t="s">
        <v>227</v>
      </c>
      <c r="C59" s="145">
        <f>Zones!L59</f>
        <v>2</v>
      </c>
      <c r="D59" s="145">
        <f>Zones!K59</f>
        <v>300.02999999999997</v>
      </c>
      <c r="E59" s="763">
        <v>15</v>
      </c>
      <c r="F59" s="763">
        <f t="shared" si="16"/>
        <v>0</v>
      </c>
      <c r="G59" s="145"/>
      <c r="H59" s="146">
        <v>0.46666666600000001</v>
      </c>
      <c r="I59" s="147">
        <f t="shared" si="14"/>
        <v>30</v>
      </c>
      <c r="J59" s="148">
        <f t="shared" si="19"/>
        <v>140.01399979997998</v>
      </c>
      <c r="K59" s="148">
        <f t="shared" si="17"/>
        <v>0</v>
      </c>
      <c r="L59" s="149">
        <f t="shared" si="18"/>
        <v>140.01399979997998</v>
      </c>
      <c r="M59" s="150"/>
      <c r="N59" s="1"/>
      <c r="O59" s="1"/>
      <c r="P59" s="1"/>
      <c r="Q59" s="1"/>
      <c r="R59" s="1"/>
      <c r="S59" s="1"/>
      <c r="T59" s="1"/>
      <c r="U59" s="1"/>
      <c r="V59" s="1"/>
      <c r="W59" s="1"/>
      <c r="X59" s="1"/>
      <c r="Y59" s="1"/>
      <c r="Z59" s="1"/>
      <c r="AA59" s="1"/>
    </row>
    <row r="60" spans="1:27" ht="20.399999999999999" customHeight="1" x14ac:dyDescent="0.25">
      <c r="A60" s="61" t="s">
        <v>229</v>
      </c>
      <c r="B60" s="96" t="s">
        <v>228</v>
      </c>
      <c r="C60" s="145">
        <f>Zones!L60</f>
        <v>26</v>
      </c>
      <c r="D60" s="145">
        <f>Zones!K60</f>
        <v>5250.51</v>
      </c>
      <c r="E60" s="763">
        <v>15</v>
      </c>
      <c r="F60" s="763">
        <f t="shared" si="16"/>
        <v>0</v>
      </c>
      <c r="G60" s="153">
        <f>735/D60</f>
        <v>0.13998640132101453</v>
      </c>
      <c r="H60" s="146">
        <v>0.46666666600000001</v>
      </c>
      <c r="I60" s="147">
        <f t="shared" si="14"/>
        <v>390</v>
      </c>
      <c r="J60" s="148">
        <f>H60*D60</f>
        <v>2450.2379964996603</v>
      </c>
      <c r="K60" s="148">
        <f>G60*D60</f>
        <v>735</v>
      </c>
      <c r="L60" s="149">
        <f t="shared" si="18"/>
        <v>2450.2379964996603</v>
      </c>
      <c r="M60" s="150" t="s">
        <v>400</v>
      </c>
      <c r="N60" s="1"/>
      <c r="O60" s="1"/>
      <c r="P60" s="1"/>
      <c r="Q60" s="1"/>
      <c r="R60" s="1"/>
      <c r="S60" s="1"/>
      <c r="T60" s="1"/>
      <c r="U60" s="1"/>
      <c r="V60" s="1"/>
      <c r="W60" s="1"/>
      <c r="X60" s="1"/>
      <c r="Y60" s="1"/>
      <c r="Z60" s="1"/>
      <c r="AA60" s="1"/>
    </row>
    <row r="61" spans="1:27" ht="20.399999999999999" customHeight="1" x14ac:dyDescent="0.25">
      <c r="A61" s="61" t="s">
        <v>231</v>
      </c>
      <c r="B61" s="96" t="s">
        <v>230</v>
      </c>
      <c r="C61" s="145">
        <f>Zones!L61</f>
        <v>26</v>
      </c>
      <c r="D61" s="145">
        <f>Zones!K61</f>
        <v>5250.51</v>
      </c>
      <c r="E61" s="763">
        <v>15</v>
      </c>
      <c r="F61" s="763">
        <f t="shared" si="16"/>
        <v>0</v>
      </c>
      <c r="G61" s="145"/>
      <c r="H61" s="146">
        <v>0.46666666600000001</v>
      </c>
      <c r="I61" s="147">
        <f t="shared" si="14"/>
        <v>390</v>
      </c>
      <c r="J61" s="148">
        <f t="shared" si="19"/>
        <v>2450.2379964996603</v>
      </c>
      <c r="K61" s="148">
        <f t="shared" si="17"/>
        <v>0</v>
      </c>
      <c r="L61" s="149">
        <f t="shared" si="18"/>
        <v>2450.2379964996603</v>
      </c>
      <c r="M61" s="150"/>
      <c r="N61" s="1"/>
      <c r="O61" s="1"/>
      <c r="P61" s="1"/>
      <c r="Q61" s="1"/>
      <c r="R61" s="1"/>
      <c r="S61" s="1"/>
      <c r="T61" s="1"/>
      <c r="U61" s="1"/>
      <c r="V61" s="1"/>
      <c r="W61" s="1"/>
      <c r="X61" s="1"/>
      <c r="Y61" s="1"/>
      <c r="Z61" s="1"/>
      <c r="AA61" s="1"/>
    </row>
    <row r="62" spans="1:27" ht="20.399999999999999" customHeight="1" x14ac:dyDescent="0.25">
      <c r="A62" s="154" t="s">
        <v>235</v>
      </c>
      <c r="B62" s="154" t="s">
        <v>234</v>
      </c>
      <c r="C62" s="145">
        <f>SUM(C3:C61)</f>
        <v>711</v>
      </c>
      <c r="D62" s="145">
        <f>SUM(D3:D61)</f>
        <v>241521.47000000006</v>
      </c>
      <c r="E62" s="145"/>
      <c r="F62" s="145"/>
      <c r="G62" s="145"/>
      <c r="H62" s="145"/>
      <c r="I62" s="198"/>
      <c r="J62" s="198"/>
      <c r="K62" s="148"/>
      <c r="L62" s="199">
        <f>SUM(L3:L61)</f>
        <v>100544.13055642218</v>
      </c>
      <c r="M62" s="150"/>
      <c r="N62" s="1"/>
      <c r="O62" s="1"/>
      <c r="P62" s="1"/>
      <c r="Q62" s="1"/>
      <c r="R62" s="1"/>
      <c r="S62" s="1"/>
      <c r="T62" s="1"/>
      <c r="U62" s="1"/>
      <c r="V62" s="1"/>
      <c r="W62" s="1"/>
      <c r="X62" s="1"/>
      <c r="Y62" s="1"/>
      <c r="Z62" s="1"/>
      <c r="AA62" s="1"/>
    </row>
    <row r="63" spans="1:27" x14ac:dyDescent="0.25">
      <c r="C63" s="20"/>
      <c r="D63" s="20"/>
      <c r="E63" s="20"/>
      <c r="F63" s="20"/>
      <c r="G63" s="20"/>
      <c r="H63" s="20"/>
      <c r="I63" s="1"/>
      <c r="J63" s="1"/>
      <c r="K63" s="1"/>
      <c r="L63" s="1"/>
      <c r="M63" s="1"/>
      <c r="N63" s="1"/>
      <c r="O63" s="1"/>
      <c r="P63" s="1"/>
      <c r="Q63" s="1"/>
      <c r="R63" s="1"/>
      <c r="S63" s="1"/>
      <c r="T63" s="1"/>
      <c r="U63" s="1"/>
      <c r="V63" s="1"/>
      <c r="W63" s="1"/>
      <c r="X63" s="1"/>
      <c r="Y63" s="1"/>
      <c r="Z63" s="1"/>
      <c r="AA63" s="1"/>
    </row>
    <row r="64" spans="1:27" x14ac:dyDescent="0.25">
      <c r="B64" s="4"/>
      <c r="C64" s="20"/>
      <c r="D64" s="20"/>
      <c r="E64" s="20"/>
      <c r="F64" s="20"/>
      <c r="G64" s="20"/>
      <c r="H64" s="20"/>
      <c r="I64" s="1"/>
      <c r="J64" s="1"/>
      <c r="K64" s="1"/>
      <c r="L64" s="1"/>
      <c r="M64" s="1"/>
      <c r="N64" s="1"/>
      <c r="O64" s="1"/>
      <c r="P64" s="1"/>
      <c r="Q64" s="1"/>
      <c r="R64" s="1"/>
      <c r="S64" s="1"/>
      <c r="T64" s="1"/>
      <c r="U64" s="1"/>
      <c r="V64" s="1"/>
      <c r="W64" s="1"/>
      <c r="X64" s="1"/>
      <c r="Y64" s="1"/>
      <c r="Z64" s="1"/>
      <c r="AA64" s="1"/>
    </row>
    <row r="65" spans="1:23" ht="14.4" x14ac:dyDescent="0.3">
      <c r="A65" t="s">
        <v>401</v>
      </c>
      <c r="B65" s="7"/>
      <c r="C65" s="20"/>
      <c r="D65" s="20"/>
      <c r="E65" s="20"/>
      <c r="F65" s="20"/>
      <c r="G65" s="20"/>
      <c r="H65" s="20"/>
      <c r="I65" s="1"/>
      <c r="J65" s="1"/>
      <c r="K65" s="1"/>
      <c r="L65" s="1"/>
      <c r="M65" s="1"/>
      <c r="N65" s="1"/>
      <c r="O65" s="1"/>
      <c r="P65" s="1"/>
      <c r="Q65" s="1"/>
      <c r="R65" s="1"/>
      <c r="S65" s="1"/>
      <c r="T65" s="1"/>
      <c r="U65" s="1"/>
      <c r="V65" s="1"/>
      <c r="W65" s="1"/>
    </row>
    <row r="66" spans="1:23" x14ac:dyDescent="0.25">
      <c r="A66" s="21"/>
      <c r="B66" s="21"/>
      <c r="C66" s="20"/>
      <c r="D66" s="20"/>
      <c r="E66" s="20"/>
      <c r="F66" s="20"/>
      <c r="G66" s="20"/>
      <c r="H66" s="20"/>
      <c r="I66" s="1"/>
      <c r="J66" s="1"/>
      <c r="K66" s="1"/>
      <c r="L66" s="1"/>
      <c r="M66" s="1"/>
      <c r="N66" s="1"/>
      <c r="O66" s="1"/>
      <c r="P66" s="1"/>
      <c r="Q66" s="1"/>
      <c r="R66" s="1"/>
      <c r="S66" s="1"/>
      <c r="T66" s="1"/>
      <c r="U66" s="1"/>
      <c r="V66" s="1"/>
      <c r="W66" s="1"/>
    </row>
    <row r="67" spans="1:23" ht="15" thickBot="1" x14ac:dyDescent="0.35">
      <c r="A67" s="100"/>
      <c r="B67" s="101"/>
      <c r="C67" s="101"/>
      <c r="D67" s="101"/>
      <c r="E67" s="101"/>
      <c r="F67" s="20"/>
      <c r="G67" s="20"/>
      <c r="H67" s="20"/>
      <c r="I67" s="1"/>
      <c r="J67" s="1"/>
      <c r="K67" s="1"/>
      <c r="L67" s="1"/>
      <c r="M67" s="1"/>
      <c r="N67" s="1"/>
      <c r="O67" s="1"/>
      <c r="P67" s="1"/>
      <c r="Q67" s="1"/>
      <c r="R67" s="1"/>
      <c r="S67" s="1"/>
      <c r="T67" s="1"/>
      <c r="U67" s="1"/>
      <c r="V67" s="1"/>
      <c r="W67" s="1"/>
    </row>
    <row r="68" spans="1:23" ht="14.25" customHeight="1" x14ac:dyDescent="0.25">
      <c r="A68" s="874" t="s">
        <v>402</v>
      </c>
      <c r="B68" s="875"/>
      <c r="C68" s="875"/>
      <c r="D68" s="875"/>
      <c r="E68" s="875"/>
      <c r="F68" s="875"/>
      <c r="G68" s="876"/>
      <c r="H68" s="20"/>
      <c r="I68" s="1"/>
      <c r="J68" s="1"/>
      <c r="K68" s="1"/>
      <c r="L68" s="1"/>
      <c r="M68" s="1"/>
      <c r="N68" s="1"/>
      <c r="O68" s="1"/>
      <c r="P68" s="1"/>
      <c r="Q68" s="1"/>
      <c r="R68" s="1"/>
      <c r="S68" s="1"/>
      <c r="T68" s="1"/>
      <c r="U68" s="1"/>
      <c r="V68" s="1"/>
      <c r="W68" s="1"/>
    </row>
    <row r="69" spans="1:23" ht="56.4" customHeight="1" x14ac:dyDescent="0.25">
      <c r="A69" s="203" t="s">
        <v>403</v>
      </c>
      <c r="B69" s="203" t="s">
        <v>404</v>
      </c>
      <c r="C69" s="202" t="s">
        <v>405</v>
      </c>
      <c r="D69" s="203" t="s">
        <v>406</v>
      </c>
      <c r="E69" s="202" t="s">
        <v>407</v>
      </c>
      <c r="F69" s="203" t="s">
        <v>297</v>
      </c>
      <c r="G69" s="203" t="s">
        <v>71</v>
      </c>
      <c r="H69" s="20"/>
      <c r="I69" s="1"/>
      <c r="J69" s="1"/>
      <c r="K69" s="1"/>
      <c r="L69" s="1"/>
      <c r="M69" s="1"/>
      <c r="N69" s="1"/>
      <c r="O69" s="1"/>
      <c r="P69" s="1"/>
      <c r="Q69" s="1"/>
      <c r="R69" s="1"/>
      <c r="S69" s="1"/>
      <c r="T69" s="1"/>
      <c r="U69" s="1"/>
      <c r="V69" s="1"/>
      <c r="W69" s="1"/>
    </row>
    <row r="70" spans="1:23" ht="30.6" customHeight="1" x14ac:dyDescent="0.25">
      <c r="A70" s="204" t="s">
        <v>408</v>
      </c>
      <c r="B70" s="205" t="str">
        <f>A27</f>
        <v>Kitchen/Food Preparation Area</v>
      </c>
      <c r="C70" s="205">
        <v>210</v>
      </c>
      <c r="D70" s="206">
        <f>E70/C70</f>
        <v>33.336599999999997</v>
      </c>
      <c r="E70" s="207">
        <f>L27</f>
        <v>7000.6859999999997</v>
      </c>
      <c r="F70" s="767"/>
      <c r="G70" s="209" t="s">
        <v>409</v>
      </c>
      <c r="H70" s="20"/>
      <c r="I70" s="1"/>
      <c r="J70" s="1"/>
      <c r="K70" s="1"/>
      <c r="L70" s="1"/>
      <c r="M70" s="1"/>
      <c r="N70" s="1"/>
      <c r="O70" s="1"/>
      <c r="P70" s="1"/>
      <c r="Q70" s="1"/>
      <c r="R70" s="1"/>
      <c r="S70" s="1"/>
      <c r="T70" s="1"/>
      <c r="U70" s="1"/>
      <c r="V70" s="1"/>
      <c r="W70" s="1"/>
    </row>
    <row r="71" spans="1:23" ht="31.95" customHeight="1" x14ac:dyDescent="0.25">
      <c r="A71" s="208" t="s">
        <v>410</v>
      </c>
      <c r="B71" s="208" t="str">
        <f>A28</f>
        <v>Laboratory, Scientific</v>
      </c>
      <c r="C71" s="569">
        <f>E71/D71</f>
        <v>250</v>
      </c>
      <c r="D71" s="570">
        <v>6</v>
      </c>
      <c r="E71" s="571">
        <v>1500</v>
      </c>
      <c r="F71" s="879" t="s">
        <v>411</v>
      </c>
      <c r="G71" s="881" t="s">
        <v>48</v>
      </c>
      <c r="H71" s="20"/>
      <c r="I71" s="1"/>
      <c r="J71" s="1"/>
      <c r="K71" s="1"/>
      <c r="L71" s="1"/>
      <c r="M71" s="1"/>
      <c r="N71" s="1"/>
      <c r="O71" s="1"/>
      <c r="P71" s="1"/>
      <c r="Q71" s="1"/>
      <c r="R71" s="1"/>
      <c r="S71" s="1"/>
      <c r="T71" s="1"/>
      <c r="U71" s="1"/>
      <c r="V71" s="1"/>
      <c r="W71" s="1"/>
    </row>
    <row r="72" spans="1:23" ht="31.95" customHeight="1" x14ac:dyDescent="0.25">
      <c r="A72" s="95" t="s">
        <v>410</v>
      </c>
      <c r="B72" s="95" t="str">
        <f>A29</f>
        <v>Laboratory, Scientific</v>
      </c>
      <c r="C72" s="569">
        <f>E72/D72</f>
        <v>250</v>
      </c>
      <c r="D72" s="572">
        <v>6</v>
      </c>
      <c r="E72" s="557">
        <v>1500</v>
      </c>
      <c r="F72" s="880"/>
      <c r="G72" s="880"/>
      <c r="H72" s="20"/>
      <c r="I72" s="1"/>
      <c r="J72" s="1"/>
      <c r="K72" s="1"/>
      <c r="L72" s="1"/>
      <c r="M72" s="1"/>
      <c r="N72" s="1"/>
      <c r="O72" s="1"/>
      <c r="P72" s="1"/>
      <c r="Q72" s="1"/>
      <c r="R72" s="1"/>
      <c r="S72" s="1"/>
      <c r="T72" s="1"/>
      <c r="U72" s="1"/>
      <c r="V72" s="1"/>
      <c r="W72" s="1"/>
    </row>
    <row r="73" spans="1:23" x14ac:dyDescent="0.25">
      <c r="A73" s="102"/>
      <c r="C73" s="20"/>
      <c r="D73" s="20"/>
      <c r="E73" s="20"/>
      <c r="F73" s="20"/>
      <c r="G73" s="20"/>
      <c r="H73" s="20"/>
      <c r="I73" s="1"/>
      <c r="J73" s="1"/>
      <c r="K73" s="1"/>
      <c r="L73" s="1"/>
      <c r="M73" s="1"/>
      <c r="N73" s="1"/>
      <c r="O73" s="1"/>
      <c r="P73" s="1"/>
      <c r="Q73" s="1"/>
      <c r="R73" s="1"/>
      <c r="S73" s="1"/>
      <c r="T73" s="1"/>
      <c r="U73" s="1"/>
      <c r="V73" s="1"/>
      <c r="W73" s="1"/>
    </row>
    <row r="74" spans="1:23" x14ac:dyDescent="0.25">
      <c r="A74" s="1" t="s">
        <v>412</v>
      </c>
      <c r="C74" s="20"/>
      <c r="D74" s="20"/>
      <c r="E74" s="20"/>
      <c r="F74" s="20"/>
      <c r="G74" s="20"/>
      <c r="H74" s="20"/>
      <c r="I74" s="1"/>
      <c r="J74" s="1"/>
      <c r="K74" s="1"/>
      <c r="L74" s="1"/>
      <c r="M74" s="1"/>
      <c r="N74" s="1"/>
      <c r="O74" s="1"/>
      <c r="P74" s="1"/>
      <c r="Q74" s="1"/>
      <c r="R74" s="1"/>
      <c r="S74" s="1"/>
      <c r="T74" s="1"/>
      <c r="U74" s="1"/>
      <c r="V74" s="1"/>
      <c r="W74" s="1"/>
    </row>
    <row r="75" spans="1:23" x14ac:dyDescent="0.25">
      <c r="A75" s="1"/>
      <c r="C75" s="20"/>
      <c r="D75" s="20"/>
      <c r="E75" s="20"/>
      <c r="F75" s="20"/>
      <c r="G75" s="20"/>
      <c r="H75" s="20"/>
      <c r="I75" s="1"/>
      <c r="J75" s="1"/>
      <c r="K75" s="1"/>
      <c r="L75" s="1"/>
      <c r="M75" s="1"/>
      <c r="N75" s="1"/>
      <c r="O75" s="1"/>
      <c r="P75" s="1"/>
      <c r="Q75" s="1"/>
      <c r="R75" s="1"/>
      <c r="S75" s="1"/>
      <c r="T75" s="1"/>
      <c r="U75" s="1"/>
      <c r="V75" s="1"/>
      <c r="W75" s="1"/>
    </row>
    <row r="76" spans="1:23" x14ac:dyDescent="0.25">
      <c r="A76" s="1"/>
      <c r="C76" s="20"/>
      <c r="D76" s="20"/>
      <c r="E76" s="20"/>
      <c r="F76" s="20"/>
      <c r="G76" s="20"/>
      <c r="H76" s="20"/>
      <c r="I76" s="1"/>
      <c r="J76" s="1"/>
      <c r="K76" s="1"/>
      <c r="L76" s="1"/>
      <c r="M76" s="1"/>
      <c r="N76" s="1"/>
      <c r="O76" s="1"/>
      <c r="P76" s="1"/>
      <c r="Q76" s="1"/>
      <c r="R76" s="1"/>
      <c r="S76" s="1"/>
      <c r="T76" s="1"/>
      <c r="U76" s="1"/>
      <c r="V76" s="1"/>
      <c r="W76" s="1"/>
    </row>
    <row r="77" spans="1:23" x14ac:dyDescent="0.25">
      <c r="C77" s="20"/>
      <c r="D77" s="20"/>
      <c r="E77" s="20"/>
      <c r="F77" s="20"/>
      <c r="G77" s="20"/>
      <c r="H77" s="20"/>
      <c r="I77" s="1"/>
      <c r="J77" s="1"/>
      <c r="K77" s="1"/>
      <c r="L77" s="1"/>
      <c r="M77" s="1"/>
      <c r="N77" s="1"/>
      <c r="O77" s="1"/>
      <c r="P77" s="1"/>
      <c r="Q77" s="1"/>
      <c r="R77" s="1"/>
      <c r="S77" s="1"/>
      <c r="T77" s="1"/>
      <c r="U77" s="1"/>
      <c r="V77" s="1"/>
      <c r="W77" s="1"/>
    </row>
    <row r="78" spans="1:23" s="98" customFormat="1" hidden="1" x14ac:dyDescent="0.25">
      <c r="A78" s="22" t="s">
        <v>241</v>
      </c>
      <c r="B78" s="22"/>
      <c r="C78" s="22"/>
      <c r="D78" s="22"/>
      <c r="E78" s="22"/>
      <c r="F78" s="22"/>
      <c r="G78" s="22"/>
      <c r="H78" s="22"/>
      <c r="I78" s="415"/>
      <c r="J78" s="415"/>
      <c r="K78" s="415"/>
      <c r="L78" s="415"/>
      <c r="M78" s="415"/>
      <c r="N78" s="415"/>
      <c r="O78" s="1"/>
      <c r="P78" s="1"/>
      <c r="Q78" s="1"/>
      <c r="R78" s="1"/>
      <c r="S78" s="1"/>
      <c r="T78" s="1"/>
      <c r="U78" s="1"/>
      <c r="V78" s="1"/>
      <c r="W78" s="1"/>
    </row>
    <row r="79" spans="1:23" hidden="1" x14ac:dyDescent="0.25">
      <c r="A79" s="19"/>
      <c r="B79" s="19"/>
      <c r="I79" s="1"/>
      <c r="J79" s="1"/>
      <c r="K79" s="1"/>
      <c r="L79" s="1"/>
      <c r="M79" s="1"/>
      <c r="N79" s="1"/>
      <c r="O79" s="1"/>
      <c r="P79" s="1"/>
      <c r="Q79" s="1"/>
      <c r="R79" s="1"/>
      <c r="S79" s="1"/>
      <c r="T79" s="1"/>
      <c r="U79" s="1"/>
      <c r="V79" s="1"/>
      <c r="W79" s="1"/>
    </row>
    <row r="80" spans="1:23" hidden="1" x14ac:dyDescent="0.25"/>
    <row r="81" spans="15:23" hidden="1" x14ac:dyDescent="0.25"/>
    <row r="82" spans="15:23" hidden="1" x14ac:dyDescent="0.25">
      <c r="O82" s="415"/>
      <c r="P82" s="415"/>
      <c r="Q82" s="415"/>
      <c r="R82" s="415"/>
      <c r="S82" s="415"/>
      <c r="T82" s="415"/>
      <c r="U82" s="415"/>
      <c r="V82" s="415"/>
      <c r="W82" s="415"/>
    </row>
    <row r="83" spans="15:23" hidden="1" x14ac:dyDescent="0.25"/>
    <row r="84" spans="15:23" hidden="1" x14ac:dyDescent="0.25"/>
    <row r="85" spans="15:23" hidden="1" x14ac:dyDescent="0.25"/>
    <row r="86" spans="15:23" hidden="1" x14ac:dyDescent="0.25"/>
    <row r="87" spans="15:23" hidden="1" x14ac:dyDescent="0.25"/>
    <row r="88" spans="15:23" hidden="1" x14ac:dyDescent="0.25"/>
    <row r="89" spans="15:23" hidden="1" x14ac:dyDescent="0.25"/>
    <row r="90" spans="15:23" hidden="1" x14ac:dyDescent="0.25"/>
    <row r="91" spans="15:23" hidden="1" x14ac:dyDescent="0.25"/>
    <row r="92" spans="15:23" hidden="1" x14ac:dyDescent="0.25"/>
    <row r="93" spans="15:23" hidden="1" x14ac:dyDescent="0.25"/>
    <row r="94" spans="15:23" hidden="1" x14ac:dyDescent="0.25"/>
    <row r="95" spans="15:23" hidden="1" x14ac:dyDescent="0.25"/>
    <row r="96" spans="15:23"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sheetData>
  <autoFilter ref="A2:M62" xr:uid="{9B1730C9-5C61-418E-9D38-D82374F9BCB6}"/>
  <mergeCells count="5">
    <mergeCell ref="A68:G68"/>
    <mergeCell ref="O1:W1"/>
    <mergeCell ref="A1:M1"/>
    <mergeCell ref="F71:F72"/>
    <mergeCell ref="G71:G72"/>
  </mergeCells>
  <phoneticPr fontId="5" type="noConversion"/>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C80CFB9-EF0D-421B-B039-7078ACEA923F}">
          <x14:formula1>
            <xm:f>Data!$A$2:$A$200</xm:f>
          </x14:formula1>
          <xm:sqref>A3:A61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dimension ref="A1:S71"/>
  <sheetViews>
    <sheetView zoomScale="70" zoomScaleNormal="70" workbookViewId="0">
      <selection sqref="A1:S1"/>
    </sheetView>
  </sheetViews>
  <sheetFormatPr defaultRowHeight="14.4" x14ac:dyDescent="0.3"/>
  <cols>
    <col min="1" max="1" width="32.44140625" customWidth="1"/>
    <col min="6" max="6" width="23.5546875" customWidth="1"/>
    <col min="18" max="18" width="35.88671875" customWidth="1"/>
    <col min="19" max="19" width="51.6640625" customWidth="1"/>
  </cols>
  <sheetData>
    <row r="1" spans="1:19" ht="20.399999999999999" customHeight="1" x14ac:dyDescent="0.3">
      <c r="A1" s="818" t="str">
        <f>"Thermostat Setpoints - "&amp;Prototype!A2</f>
        <v>Thermostat Setpoints - Hospital</v>
      </c>
      <c r="B1" s="818"/>
      <c r="C1" s="818"/>
      <c r="D1" s="818"/>
      <c r="E1" s="818"/>
      <c r="F1" s="818"/>
      <c r="G1" s="818"/>
      <c r="H1" s="818"/>
      <c r="I1" s="818"/>
      <c r="J1" s="818"/>
      <c r="K1" s="818"/>
      <c r="L1" s="818"/>
      <c r="M1" s="818"/>
      <c r="N1" s="818"/>
      <c r="O1" s="818"/>
      <c r="P1" s="818"/>
      <c r="Q1" s="818"/>
      <c r="R1" s="818"/>
      <c r="S1" s="818"/>
    </row>
    <row r="2" spans="1:19" ht="23.4" customHeight="1" thickBot="1" x14ac:dyDescent="0.35">
      <c r="A2" s="219" t="s">
        <v>413</v>
      </c>
      <c r="B2" s="772" t="s">
        <v>248</v>
      </c>
      <c r="C2" s="772" t="s">
        <v>249</v>
      </c>
      <c r="D2" s="772" t="s">
        <v>250</v>
      </c>
      <c r="E2" s="772" t="s">
        <v>251</v>
      </c>
      <c r="F2" s="772" t="s">
        <v>252</v>
      </c>
      <c r="G2" s="772" t="s">
        <v>253</v>
      </c>
      <c r="H2" s="772" t="s">
        <v>254</v>
      </c>
      <c r="I2" s="772" t="s">
        <v>255</v>
      </c>
      <c r="J2" s="772" t="s">
        <v>256</v>
      </c>
      <c r="K2" s="772" t="s">
        <v>257</v>
      </c>
      <c r="L2" s="772" t="s">
        <v>258</v>
      </c>
      <c r="M2" s="772" t="s">
        <v>259</v>
      </c>
      <c r="N2" s="772" t="s">
        <v>260</v>
      </c>
      <c r="O2" s="772" t="s">
        <v>261</v>
      </c>
      <c r="P2" s="772" t="s">
        <v>262</v>
      </c>
      <c r="Q2" s="772" t="s">
        <v>263</v>
      </c>
      <c r="R2" s="379" t="s">
        <v>71</v>
      </c>
      <c r="S2" s="380" t="s">
        <v>297</v>
      </c>
    </row>
    <row r="3" spans="1:19" ht="26.4" customHeight="1" x14ac:dyDescent="0.3">
      <c r="A3" s="374" t="s">
        <v>414</v>
      </c>
      <c r="B3" s="176">
        <v>70</v>
      </c>
      <c r="C3" s="176">
        <v>70</v>
      </c>
      <c r="D3" s="176">
        <v>70</v>
      </c>
      <c r="E3" s="176">
        <v>70</v>
      </c>
      <c r="F3" s="176">
        <v>70</v>
      </c>
      <c r="G3" s="176">
        <v>70</v>
      </c>
      <c r="H3" s="176">
        <v>70</v>
      </c>
      <c r="I3" s="176">
        <v>70</v>
      </c>
      <c r="J3" s="176">
        <v>70</v>
      </c>
      <c r="K3" s="176">
        <v>70</v>
      </c>
      <c r="L3" s="176">
        <v>70</v>
      </c>
      <c r="M3" s="176">
        <v>70</v>
      </c>
      <c r="N3" s="176">
        <v>70</v>
      </c>
      <c r="O3" s="176">
        <v>70</v>
      </c>
      <c r="P3" s="176">
        <v>70</v>
      </c>
      <c r="Q3" s="176">
        <v>70</v>
      </c>
      <c r="R3" s="888" t="s">
        <v>415</v>
      </c>
      <c r="S3" s="890" t="s">
        <v>416</v>
      </c>
    </row>
    <row r="4" spans="1:19" ht="26.4" customHeight="1" x14ac:dyDescent="0.3">
      <c r="A4" s="376" t="s">
        <v>417</v>
      </c>
      <c r="B4" s="759">
        <v>70</v>
      </c>
      <c r="C4" s="759">
        <v>70</v>
      </c>
      <c r="D4" s="759">
        <v>70</v>
      </c>
      <c r="E4" s="759">
        <v>70</v>
      </c>
      <c r="F4" s="759">
        <v>70</v>
      </c>
      <c r="G4" s="759">
        <v>70</v>
      </c>
      <c r="H4" s="759">
        <v>70</v>
      </c>
      <c r="I4" s="759">
        <v>70</v>
      </c>
      <c r="J4" s="759">
        <v>70</v>
      </c>
      <c r="K4" s="759">
        <v>70</v>
      </c>
      <c r="L4" s="759">
        <v>70</v>
      </c>
      <c r="M4" s="759">
        <v>70</v>
      </c>
      <c r="N4" s="759">
        <v>70</v>
      </c>
      <c r="O4" s="759">
        <v>70</v>
      </c>
      <c r="P4" s="759">
        <v>70</v>
      </c>
      <c r="Q4" s="759">
        <v>70</v>
      </c>
      <c r="R4" s="829"/>
      <c r="S4" s="891"/>
    </row>
    <row r="5" spans="1:19" ht="26.4" customHeight="1" x14ac:dyDescent="0.3">
      <c r="A5" s="376" t="s">
        <v>418</v>
      </c>
      <c r="B5" s="759">
        <v>75</v>
      </c>
      <c r="C5" s="759">
        <v>75</v>
      </c>
      <c r="D5" s="759">
        <v>75</v>
      </c>
      <c r="E5" s="759">
        <v>75</v>
      </c>
      <c r="F5" s="759">
        <v>75</v>
      </c>
      <c r="G5" s="759">
        <v>75</v>
      </c>
      <c r="H5" s="759">
        <v>75</v>
      </c>
      <c r="I5" s="759">
        <v>75</v>
      </c>
      <c r="J5" s="759">
        <v>75</v>
      </c>
      <c r="K5" s="759">
        <v>75</v>
      </c>
      <c r="L5" s="759">
        <v>75</v>
      </c>
      <c r="M5" s="759">
        <v>75</v>
      </c>
      <c r="N5" s="759">
        <v>75</v>
      </c>
      <c r="O5" s="759">
        <v>75</v>
      </c>
      <c r="P5" s="759">
        <v>75</v>
      </c>
      <c r="Q5" s="759">
        <v>75</v>
      </c>
      <c r="R5" s="829"/>
      <c r="S5" s="891"/>
    </row>
    <row r="6" spans="1:19" ht="23.4" customHeight="1" thickBot="1" x14ac:dyDescent="0.35">
      <c r="A6" s="377" t="s">
        <v>419</v>
      </c>
      <c r="B6" s="174">
        <v>75</v>
      </c>
      <c r="C6" s="174">
        <v>75</v>
      </c>
      <c r="D6" s="174">
        <v>75</v>
      </c>
      <c r="E6" s="174">
        <v>75</v>
      </c>
      <c r="F6" s="174">
        <v>75</v>
      </c>
      <c r="G6" s="174">
        <v>75</v>
      </c>
      <c r="H6" s="174">
        <v>75</v>
      </c>
      <c r="I6" s="174">
        <v>75</v>
      </c>
      <c r="J6" s="174">
        <v>75</v>
      </c>
      <c r="K6" s="174">
        <v>75</v>
      </c>
      <c r="L6" s="174">
        <v>75</v>
      </c>
      <c r="M6" s="174">
        <v>75</v>
      </c>
      <c r="N6" s="174">
        <v>75</v>
      </c>
      <c r="O6" s="174">
        <v>75</v>
      </c>
      <c r="P6" s="174">
        <v>75</v>
      </c>
      <c r="Q6" s="174">
        <v>75</v>
      </c>
      <c r="R6" s="889"/>
      <c r="S6" s="892"/>
    </row>
    <row r="7" spans="1:19" ht="20.399999999999999" customHeight="1" x14ac:dyDescent="0.3">
      <c r="A7" s="374" t="s">
        <v>420</v>
      </c>
      <c r="B7" s="375">
        <v>66</v>
      </c>
      <c r="C7" s="375">
        <v>66</v>
      </c>
      <c r="D7" s="375">
        <v>66</v>
      </c>
      <c r="E7" s="375">
        <v>66</v>
      </c>
      <c r="F7" s="375">
        <v>66</v>
      </c>
      <c r="G7" s="375">
        <v>66</v>
      </c>
      <c r="H7" s="375">
        <v>66</v>
      </c>
      <c r="I7" s="375">
        <v>66</v>
      </c>
      <c r="J7" s="375">
        <v>66</v>
      </c>
      <c r="K7" s="375">
        <v>66</v>
      </c>
      <c r="L7" s="375">
        <v>66</v>
      </c>
      <c r="M7" s="375">
        <v>66</v>
      </c>
      <c r="N7" s="375">
        <v>66</v>
      </c>
      <c r="O7" s="375">
        <v>66</v>
      </c>
      <c r="P7" s="375">
        <v>66</v>
      </c>
      <c r="Q7" s="375">
        <v>66</v>
      </c>
      <c r="R7" s="899" t="s">
        <v>421</v>
      </c>
      <c r="S7" s="890"/>
    </row>
    <row r="8" spans="1:19" ht="20.399999999999999" customHeight="1" x14ac:dyDescent="0.3">
      <c r="A8" s="376" t="s">
        <v>422</v>
      </c>
      <c r="B8" s="218">
        <v>60</v>
      </c>
      <c r="C8" s="218">
        <v>60</v>
      </c>
      <c r="D8" s="218">
        <v>60</v>
      </c>
      <c r="E8" s="218">
        <v>60</v>
      </c>
      <c r="F8" s="218">
        <v>60</v>
      </c>
      <c r="G8" s="218">
        <v>60</v>
      </c>
      <c r="H8" s="218">
        <v>60</v>
      </c>
      <c r="I8" s="218">
        <v>60</v>
      </c>
      <c r="J8" s="218">
        <v>60</v>
      </c>
      <c r="K8" s="218">
        <v>60</v>
      </c>
      <c r="L8" s="218">
        <v>60</v>
      </c>
      <c r="M8" s="218">
        <v>60</v>
      </c>
      <c r="N8" s="218">
        <v>60</v>
      </c>
      <c r="O8" s="218">
        <v>60</v>
      </c>
      <c r="P8" s="218">
        <v>60</v>
      </c>
      <c r="Q8" s="218">
        <v>60</v>
      </c>
      <c r="R8" s="886"/>
      <c r="S8" s="891"/>
    </row>
    <row r="9" spans="1:19" ht="20.399999999999999" customHeight="1" x14ac:dyDescent="0.3">
      <c r="A9" s="376" t="s">
        <v>423</v>
      </c>
      <c r="B9" s="218">
        <v>79</v>
      </c>
      <c r="C9" s="218">
        <v>79</v>
      </c>
      <c r="D9" s="218">
        <v>79</v>
      </c>
      <c r="E9" s="218">
        <v>79</v>
      </c>
      <c r="F9" s="218">
        <v>79</v>
      </c>
      <c r="G9" s="218">
        <v>79</v>
      </c>
      <c r="H9" s="218">
        <v>79</v>
      </c>
      <c r="I9" s="218">
        <v>79</v>
      </c>
      <c r="J9" s="218">
        <v>79</v>
      </c>
      <c r="K9" s="218">
        <v>79</v>
      </c>
      <c r="L9" s="218">
        <v>79</v>
      </c>
      <c r="M9" s="218">
        <v>79</v>
      </c>
      <c r="N9" s="218">
        <v>79</v>
      </c>
      <c r="O9" s="218">
        <v>79</v>
      </c>
      <c r="P9" s="218">
        <v>79</v>
      </c>
      <c r="Q9" s="218">
        <v>79</v>
      </c>
      <c r="R9" s="886"/>
      <c r="S9" s="891"/>
    </row>
    <row r="10" spans="1:19" ht="20.399999999999999" customHeight="1" thickBot="1" x14ac:dyDescent="0.35">
      <c r="A10" s="377" t="s">
        <v>424</v>
      </c>
      <c r="B10" s="378">
        <v>86</v>
      </c>
      <c r="C10" s="378">
        <v>86</v>
      </c>
      <c r="D10" s="378">
        <v>86</v>
      </c>
      <c r="E10" s="378">
        <v>86</v>
      </c>
      <c r="F10" s="378">
        <v>86</v>
      </c>
      <c r="G10" s="378">
        <v>86</v>
      </c>
      <c r="H10" s="378">
        <v>86</v>
      </c>
      <c r="I10" s="378">
        <v>86</v>
      </c>
      <c r="J10" s="378">
        <v>86</v>
      </c>
      <c r="K10" s="378">
        <v>86</v>
      </c>
      <c r="L10" s="378">
        <v>86</v>
      </c>
      <c r="M10" s="378">
        <v>86</v>
      </c>
      <c r="N10" s="378">
        <v>86</v>
      </c>
      <c r="O10" s="378">
        <v>86</v>
      </c>
      <c r="P10" s="378">
        <v>86</v>
      </c>
      <c r="Q10" s="378">
        <v>86</v>
      </c>
      <c r="R10" s="900"/>
      <c r="S10" s="892"/>
    </row>
    <row r="11" spans="1:19" ht="22.2" customHeight="1" x14ac:dyDescent="0.3">
      <c r="A11" s="374" t="s">
        <v>425</v>
      </c>
      <c r="B11" s="375">
        <f>B3-4</f>
        <v>66</v>
      </c>
      <c r="C11" s="375">
        <f t="shared" ref="C11:Q11" si="0">C3-4</f>
        <v>66</v>
      </c>
      <c r="D11" s="375">
        <f t="shared" si="0"/>
        <v>66</v>
      </c>
      <c r="E11" s="375">
        <f t="shared" si="0"/>
        <v>66</v>
      </c>
      <c r="F11" s="375">
        <f t="shared" si="0"/>
        <v>66</v>
      </c>
      <c r="G11" s="375">
        <f t="shared" si="0"/>
        <v>66</v>
      </c>
      <c r="H11" s="375">
        <f t="shared" si="0"/>
        <v>66</v>
      </c>
      <c r="I11" s="375">
        <f t="shared" si="0"/>
        <v>66</v>
      </c>
      <c r="J11" s="375">
        <f t="shared" si="0"/>
        <v>66</v>
      </c>
      <c r="K11" s="375">
        <f t="shared" si="0"/>
        <v>66</v>
      </c>
      <c r="L11" s="375">
        <f t="shared" si="0"/>
        <v>66</v>
      </c>
      <c r="M11" s="375">
        <f t="shared" si="0"/>
        <v>66</v>
      </c>
      <c r="N11" s="375">
        <f t="shared" si="0"/>
        <v>66</v>
      </c>
      <c r="O11" s="375">
        <f t="shared" si="0"/>
        <v>66</v>
      </c>
      <c r="P11" s="375">
        <f t="shared" si="0"/>
        <v>66</v>
      </c>
      <c r="Q11" s="375">
        <f t="shared" si="0"/>
        <v>66</v>
      </c>
      <c r="R11" s="888" t="s">
        <v>415</v>
      </c>
      <c r="S11" s="890"/>
    </row>
    <row r="12" spans="1:19" ht="22.2" customHeight="1" x14ac:dyDescent="0.3">
      <c r="A12" s="376" t="s">
        <v>426</v>
      </c>
      <c r="B12" s="218">
        <f t="shared" ref="B12:Q12" si="1">B4-4</f>
        <v>66</v>
      </c>
      <c r="C12" s="218">
        <f t="shared" si="1"/>
        <v>66</v>
      </c>
      <c r="D12" s="218">
        <f t="shared" si="1"/>
        <v>66</v>
      </c>
      <c r="E12" s="218">
        <f t="shared" si="1"/>
        <v>66</v>
      </c>
      <c r="F12" s="218">
        <f t="shared" si="1"/>
        <v>66</v>
      </c>
      <c r="G12" s="218">
        <f t="shared" si="1"/>
        <v>66</v>
      </c>
      <c r="H12" s="218">
        <f t="shared" si="1"/>
        <v>66</v>
      </c>
      <c r="I12" s="218">
        <f t="shared" si="1"/>
        <v>66</v>
      </c>
      <c r="J12" s="218">
        <f t="shared" si="1"/>
        <v>66</v>
      </c>
      <c r="K12" s="218">
        <f t="shared" si="1"/>
        <v>66</v>
      </c>
      <c r="L12" s="218">
        <f t="shared" si="1"/>
        <v>66</v>
      </c>
      <c r="M12" s="218">
        <f t="shared" si="1"/>
        <v>66</v>
      </c>
      <c r="N12" s="218">
        <f t="shared" si="1"/>
        <v>66</v>
      </c>
      <c r="O12" s="218">
        <f t="shared" si="1"/>
        <v>66</v>
      </c>
      <c r="P12" s="218">
        <f t="shared" si="1"/>
        <v>66</v>
      </c>
      <c r="Q12" s="218">
        <f t="shared" si="1"/>
        <v>66</v>
      </c>
      <c r="R12" s="829"/>
      <c r="S12" s="891"/>
    </row>
    <row r="13" spans="1:19" ht="22.2" customHeight="1" x14ac:dyDescent="0.3">
      <c r="A13" s="376" t="s">
        <v>427</v>
      </c>
      <c r="B13" s="218">
        <f>B5+4</f>
        <v>79</v>
      </c>
      <c r="C13" s="218">
        <f t="shared" ref="C13:Q14" si="2">C5+4</f>
        <v>79</v>
      </c>
      <c r="D13" s="218">
        <f t="shared" si="2"/>
        <v>79</v>
      </c>
      <c r="E13" s="218">
        <f t="shared" si="2"/>
        <v>79</v>
      </c>
      <c r="F13" s="218">
        <f t="shared" si="2"/>
        <v>79</v>
      </c>
      <c r="G13" s="218">
        <f t="shared" si="2"/>
        <v>79</v>
      </c>
      <c r="H13" s="218">
        <f t="shared" si="2"/>
        <v>79</v>
      </c>
      <c r="I13" s="218">
        <f t="shared" si="2"/>
        <v>79</v>
      </c>
      <c r="J13" s="218">
        <f t="shared" si="2"/>
        <v>79</v>
      </c>
      <c r="K13" s="218">
        <f t="shared" si="2"/>
        <v>79</v>
      </c>
      <c r="L13" s="218">
        <f t="shared" si="2"/>
        <v>79</v>
      </c>
      <c r="M13" s="218">
        <f t="shared" si="2"/>
        <v>79</v>
      </c>
      <c r="N13" s="218">
        <f t="shared" si="2"/>
        <v>79</v>
      </c>
      <c r="O13" s="218">
        <f t="shared" si="2"/>
        <v>79</v>
      </c>
      <c r="P13" s="218">
        <f t="shared" si="2"/>
        <v>79</v>
      </c>
      <c r="Q13" s="218">
        <f t="shared" si="2"/>
        <v>79</v>
      </c>
      <c r="R13" s="829"/>
      <c r="S13" s="891"/>
    </row>
    <row r="14" spans="1:19" ht="22.2" customHeight="1" x14ac:dyDescent="0.3">
      <c r="A14" s="542" t="s">
        <v>428</v>
      </c>
      <c r="B14" s="543">
        <f>B6+4</f>
        <v>79</v>
      </c>
      <c r="C14" s="543">
        <f t="shared" si="2"/>
        <v>79</v>
      </c>
      <c r="D14" s="543">
        <f t="shared" si="2"/>
        <v>79</v>
      </c>
      <c r="E14" s="543">
        <f t="shared" si="2"/>
        <v>79</v>
      </c>
      <c r="F14" s="543">
        <f t="shared" si="2"/>
        <v>79</v>
      </c>
      <c r="G14" s="543">
        <f t="shared" si="2"/>
        <v>79</v>
      </c>
      <c r="H14" s="543">
        <f t="shared" si="2"/>
        <v>79</v>
      </c>
      <c r="I14" s="543">
        <f t="shared" si="2"/>
        <v>79</v>
      </c>
      <c r="J14" s="543">
        <f t="shared" si="2"/>
        <v>79</v>
      </c>
      <c r="K14" s="543">
        <f t="shared" si="2"/>
        <v>79</v>
      </c>
      <c r="L14" s="543">
        <f t="shared" si="2"/>
        <v>79</v>
      </c>
      <c r="M14" s="543">
        <f t="shared" si="2"/>
        <v>79</v>
      </c>
      <c r="N14" s="543">
        <f t="shared" si="2"/>
        <v>79</v>
      </c>
      <c r="O14" s="543">
        <f t="shared" si="2"/>
        <v>79</v>
      </c>
      <c r="P14" s="543">
        <f t="shared" si="2"/>
        <v>79</v>
      </c>
      <c r="Q14" s="543">
        <f t="shared" si="2"/>
        <v>79</v>
      </c>
      <c r="R14" s="901"/>
      <c r="S14" s="902"/>
    </row>
    <row r="15" spans="1:19" ht="20.25" customHeight="1" x14ac:dyDescent="0.3">
      <c r="A15" s="544" t="s">
        <v>429</v>
      </c>
      <c r="B15" s="546">
        <v>60</v>
      </c>
      <c r="C15" s="546">
        <v>60</v>
      </c>
      <c r="D15" s="546">
        <v>60</v>
      </c>
      <c r="E15" s="546">
        <v>60</v>
      </c>
      <c r="F15" s="546">
        <v>60</v>
      </c>
      <c r="G15" s="546">
        <v>60</v>
      </c>
      <c r="H15" s="546">
        <v>60</v>
      </c>
      <c r="I15" s="546">
        <v>60</v>
      </c>
      <c r="J15" s="546">
        <v>60</v>
      </c>
      <c r="K15" s="546">
        <v>60</v>
      </c>
      <c r="L15" s="546">
        <v>60</v>
      </c>
      <c r="M15" s="546">
        <v>60</v>
      </c>
      <c r="N15" s="546">
        <v>60</v>
      </c>
      <c r="O15" s="546">
        <v>60</v>
      </c>
      <c r="P15" s="546">
        <v>60</v>
      </c>
      <c r="Q15" s="546">
        <v>60</v>
      </c>
      <c r="R15" s="1274" t="s">
        <v>865</v>
      </c>
      <c r="S15" s="882"/>
    </row>
    <row r="16" spans="1:19" ht="20.25" customHeight="1" x14ac:dyDescent="0.3">
      <c r="A16" s="545" t="s">
        <v>430</v>
      </c>
      <c r="B16" s="547">
        <v>60</v>
      </c>
      <c r="C16" s="547">
        <v>60</v>
      </c>
      <c r="D16" s="547">
        <v>60</v>
      </c>
      <c r="E16" s="547">
        <v>60</v>
      </c>
      <c r="F16" s="547">
        <v>60</v>
      </c>
      <c r="G16" s="547">
        <v>60</v>
      </c>
      <c r="H16" s="547">
        <v>60</v>
      </c>
      <c r="I16" s="547">
        <v>60</v>
      </c>
      <c r="J16" s="547">
        <v>60</v>
      </c>
      <c r="K16" s="547">
        <v>60</v>
      </c>
      <c r="L16" s="547">
        <v>60</v>
      </c>
      <c r="M16" s="547">
        <v>60</v>
      </c>
      <c r="N16" s="547">
        <v>60</v>
      </c>
      <c r="O16" s="547">
        <v>60</v>
      </c>
      <c r="P16" s="547">
        <v>60</v>
      </c>
      <c r="Q16" s="547">
        <v>60</v>
      </c>
      <c r="R16" s="903"/>
      <c r="S16" s="883"/>
    </row>
    <row r="17" spans="1:19" ht="20.25" customHeight="1" x14ac:dyDescent="0.3">
      <c r="A17" s="545" t="s">
        <v>431</v>
      </c>
      <c r="B17" s="547">
        <v>85</v>
      </c>
      <c r="C17" s="547">
        <v>85</v>
      </c>
      <c r="D17" s="547">
        <v>85</v>
      </c>
      <c r="E17" s="547">
        <v>85</v>
      </c>
      <c r="F17" s="547">
        <v>85</v>
      </c>
      <c r="G17" s="547">
        <v>85</v>
      </c>
      <c r="H17" s="547">
        <v>85</v>
      </c>
      <c r="I17" s="547">
        <v>85</v>
      </c>
      <c r="J17" s="547">
        <v>85</v>
      </c>
      <c r="K17" s="547">
        <v>85</v>
      </c>
      <c r="L17" s="547">
        <v>85</v>
      </c>
      <c r="M17" s="547">
        <v>85</v>
      </c>
      <c r="N17" s="547">
        <v>85</v>
      </c>
      <c r="O17" s="547">
        <v>85</v>
      </c>
      <c r="P17" s="547">
        <v>85</v>
      </c>
      <c r="Q17" s="547">
        <v>85</v>
      </c>
      <c r="R17" s="903"/>
      <c r="S17" s="883"/>
    </row>
    <row r="18" spans="1:19" ht="20.25" customHeight="1" thickBot="1" x14ac:dyDescent="0.35">
      <c r="A18" s="705" t="s">
        <v>432</v>
      </c>
      <c r="B18" s="706">
        <v>85</v>
      </c>
      <c r="C18" s="706">
        <v>85</v>
      </c>
      <c r="D18" s="706">
        <v>85</v>
      </c>
      <c r="E18" s="706">
        <v>85</v>
      </c>
      <c r="F18" s="706">
        <v>85</v>
      </c>
      <c r="G18" s="706">
        <v>85</v>
      </c>
      <c r="H18" s="706">
        <v>85</v>
      </c>
      <c r="I18" s="706">
        <v>85</v>
      </c>
      <c r="J18" s="706">
        <v>85</v>
      </c>
      <c r="K18" s="706">
        <v>85</v>
      </c>
      <c r="L18" s="706">
        <v>85</v>
      </c>
      <c r="M18" s="706">
        <v>85</v>
      </c>
      <c r="N18" s="706">
        <v>85</v>
      </c>
      <c r="O18" s="706">
        <v>85</v>
      </c>
      <c r="P18" s="706">
        <v>85</v>
      </c>
      <c r="Q18" s="706">
        <v>85</v>
      </c>
      <c r="R18" s="903"/>
      <c r="S18" s="884"/>
    </row>
    <row r="19" spans="1:19" ht="20.25" customHeight="1" x14ac:dyDescent="0.3">
      <c r="A19" s="708" t="s">
        <v>433</v>
      </c>
      <c r="B19" s="780">
        <v>70</v>
      </c>
      <c r="C19" s="780">
        <v>70</v>
      </c>
      <c r="D19" s="780">
        <v>70</v>
      </c>
      <c r="E19" s="780">
        <v>70</v>
      </c>
      <c r="F19" s="780">
        <v>70</v>
      </c>
      <c r="G19" s="780">
        <v>70</v>
      </c>
      <c r="H19" s="780">
        <v>70</v>
      </c>
      <c r="I19" s="780">
        <v>70</v>
      </c>
      <c r="J19" s="780">
        <v>70</v>
      </c>
      <c r="K19" s="780">
        <v>70</v>
      </c>
      <c r="L19" s="780">
        <v>70</v>
      </c>
      <c r="M19" s="780">
        <v>70</v>
      </c>
      <c r="N19" s="780">
        <v>70</v>
      </c>
      <c r="O19" s="780">
        <v>70</v>
      </c>
      <c r="P19" s="780">
        <v>70</v>
      </c>
      <c r="Q19" s="780">
        <v>70</v>
      </c>
      <c r="R19" s="1194" t="s">
        <v>434</v>
      </c>
      <c r="S19" s="1195"/>
    </row>
    <row r="20" spans="1:19" ht="20.25" customHeight="1" x14ac:dyDescent="0.3">
      <c r="A20" s="709" t="s">
        <v>435</v>
      </c>
      <c r="B20" s="781">
        <v>60</v>
      </c>
      <c r="C20" s="781">
        <v>60</v>
      </c>
      <c r="D20" s="781">
        <v>60</v>
      </c>
      <c r="E20" s="781">
        <v>60</v>
      </c>
      <c r="F20" s="781">
        <v>60</v>
      </c>
      <c r="G20" s="781">
        <v>60</v>
      </c>
      <c r="H20" s="781">
        <v>60</v>
      </c>
      <c r="I20" s="781">
        <v>60</v>
      </c>
      <c r="J20" s="781">
        <v>60</v>
      </c>
      <c r="K20" s="781">
        <v>60</v>
      </c>
      <c r="L20" s="781">
        <v>60</v>
      </c>
      <c r="M20" s="781">
        <v>60</v>
      </c>
      <c r="N20" s="781">
        <v>60</v>
      </c>
      <c r="O20" s="781">
        <v>60</v>
      </c>
      <c r="P20" s="781">
        <v>60</v>
      </c>
      <c r="Q20" s="781">
        <v>60</v>
      </c>
      <c r="R20" s="1193"/>
      <c r="S20" s="1196"/>
    </row>
    <row r="21" spans="1:19" ht="20.25" customHeight="1" x14ac:dyDescent="0.3">
      <c r="A21" s="709" t="s">
        <v>436</v>
      </c>
      <c r="B21" s="781">
        <v>75</v>
      </c>
      <c r="C21" s="781">
        <v>75</v>
      </c>
      <c r="D21" s="781">
        <v>75</v>
      </c>
      <c r="E21" s="781">
        <v>75</v>
      </c>
      <c r="F21" s="781">
        <v>75</v>
      </c>
      <c r="G21" s="781">
        <v>75</v>
      </c>
      <c r="H21" s="781">
        <v>75</v>
      </c>
      <c r="I21" s="781">
        <v>75</v>
      </c>
      <c r="J21" s="781">
        <v>75</v>
      </c>
      <c r="K21" s="781">
        <v>75</v>
      </c>
      <c r="L21" s="781">
        <v>75</v>
      </c>
      <c r="M21" s="781">
        <v>75</v>
      </c>
      <c r="N21" s="781">
        <v>75</v>
      </c>
      <c r="O21" s="781">
        <v>75</v>
      </c>
      <c r="P21" s="781">
        <v>75</v>
      </c>
      <c r="Q21" s="781">
        <v>75</v>
      </c>
      <c r="R21" s="1193"/>
      <c r="S21" s="1196"/>
    </row>
    <row r="22" spans="1:19" ht="20.25" customHeight="1" thickBot="1" x14ac:dyDescent="0.35">
      <c r="A22" s="1197" t="s">
        <v>437</v>
      </c>
      <c r="B22" s="782">
        <v>85</v>
      </c>
      <c r="C22" s="782">
        <v>85</v>
      </c>
      <c r="D22" s="782">
        <v>85</v>
      </c>
      <c r="E22" s="782">
        <v>85</v>
      </c>
      <c r="F22" s="782">
        <v>85</v>
      </c>
      <c r="G22" s="782">
        <v>85</v>
      </c>
      <c r="H22" s="782">
        <v>85</v>
      </c>
      <c r="I22" s="782">
        <v>85</v>
      </c>
      <c r="J22" s="782">
        <v>85</v>
      </c>
      <c r="K22" s="782">
        <v>85</v>
      </c>
      <c r="L22" s="782">
        <v>85</v>
      </c>
      <c r="M22" s="782">
        <v>85</v>
      </c>
      <c r="N22" s="782">
        <v>85</v>
      </c>
      <c r="O22" s="782">
        <v>85</v>
      </c>
      <c r="P22" s="782">
        <v>85</v>
      </c>
      <c r="Q22" s="782">
        <v>85</v>
      </c>
      <c r="R22" s="1198"/>
      <c r="S22" s="1199"/>
    </row>
    <row r="23" spans="1:19" ht="29.25" customHeight="1" x14ac:dyDescent="0.3">
      <c r="A23" s="1189" t="s">
        <v>438</v>
      </c>
      <c r="B23" s="1190">
        <v>80</v>
      </c>
      <c r="C23" s="1190">
        <v>80</v>
      </c>
      <c r="D23" s="1190">
        <v>80</v>
      </c>
      <c r="E23" s="1190">
        <v>80</v>
      </c>
      <c r="F23" s="1190">
        <v>80</v>
      </c>
      <c r="G23" s="1190">
        <v>80</v>
      </c>
      <c r="H23" s="1190">
        <v>80</v>
      </c>
      <c r="I23" s="1190">
        <v>80</v>
      </c>
      <c r="J23" s="1190">
        <v>80</v>
      </c>
      <c r="K23" s="1190">
        <v>80</v>
      </c>
      <c r="L23" s="1190">
        <v>80</v>
      </c>
      <c r="M23" s="1190">
        <v>80</v>
      </c>
      <c r="N23" s="1190">
        <v>80</v>
      </c>
      <c r="O23" s="1190">
        <v>80</v>
      </c>
      <c r="P23" s="1190">
        <v>80</v>
      </c>
      <c r="Q23" s="1190">
        <v>80</v>
      </c>
      <c r="R23" s="1191" t="s">
        <v>439</v>
      </c>
      <c r="S23" s="1192"/>
    </row>
    <row r="24" spans="1:19" ht="27.75" customHeight="1" thickBot="1" x14ac:dyDescent="0.35">
      <c r="A24" s="1275" t="s">
        <v>866</v>
      </c>
      <c r="B24" s="1184" t="s">
        <v>440</v>
      </c>
      <c r="C24" s="1185"/>
      <c r="D24" s="1185"/>
      <c r="E24" s="1185"/>
      <c r="F24" s="1185"/>
      <c r="G24" s="1185"/>
      <c r="H24" s="1185"/>
      <c r="I24" s="1185"/>
      <c r="J24" s="1185"/>
      <c r="K24" s="1185"/>
      <c r="L24" s="1185"/>
      <c r="M24" s="1185"/>
      <c r="N24" s="1185"/>
      <c r="O24" s="1185"/>
      <c r="P24" s="1185"/>
      <c r="Q24" s="1186"/>
      <c r="R24" s="1187"/>
      <c r="S24" s="1188"/>
    </row>
    <row r="25" spans="1:19" ht="14.4" customHeight="1" x14ac:dyDescent="0.3">
      <c r="A25" s="702"/>
      <c r="B25" s="703"/>
      <c r="C25" s="704"/>
      <c r="D25" s="704"/>
      <c r="E25" s="704"/>
      <c r="F25" s="704"/>
      <c r="G25" s="704"/>
      <c r="H25" s="704"/>
      <c r="I25" s="704"/>
      <c r="J25" s="704"/>
      <c r="K25" s="704"/>
      <c r="L25" s="704"/>
      <c r="M25" s="704"/>
      <c r="N25" s="704"/>
      <c r="O25" s="704"/>
      <c r="P25" s="704"/>
      <c r="Q25" s="704"/>
      <c r="R25" s="704"/>
      <c r="S25" s="702"/>
    </row>
    <row r="26" spans="1:19" ht="14.4" customHeight="1" x14ac:dyDescent="0.3">
      <c r="A26" s="702"/>
      <c r="B26" s="703"/>
      <c r="C26" s="704"/>
      <c r="D26" s="704"/>
      <c r="E26" s="704"/>
      <c r="F26" s="704"/>
      <c r="G26" s="704"/>
      <c r="H26" s="704"/>
      <c r="I26" s="704"/>
      <c r="J26" s="704"/>
      <c r="K26" s="704"/>
      <c r="L26" s="704"/>
      <c r="M26" s="704"/>
      <c r="N26" s="704"/>
      <c r="O26" s="704"/>
      <c r="P26" s="704"/>
      <c r="Q26" s="704"/>
      <c r="R26" s="704"/>
      <c r="S26" s="702"/>
    </row>
    <row r="27" spans="1:19" ht="14.4" customHeight="1" x14ac:dyDescent="0.3">
      <c r="A27" s="702"/>
      <c r="B27" s="703"/>
      <c r="C27" s="704"/>
      <c r="D27" s="704"/>
      <c r="E27" s="704"/>
      <c r="F27" s="704"/>
      <c r="G27" s="704"/>
      <c r="H27" s="704"/>
      <c r="I27" s="704"/>
      <c r="J27" s="704"/>
      <c r="K27" s="704"/>
      <c r="L27" s="704"/>
      <c r="M27" s="704"/>
      <c r="N27" s="704"/>
      <c r="O27" s="704"/>
      <c r="P27" s="704"/>
      <c r="Q27" s="704"/>
      <c r="R27" s="704"/>
      <c r="S27" s="702"/>
    </row>
    <row r="28" spans="1:19" ht="14.4" customHeight="1" x14ac:dyDescent="0.3">
      <c r="A28" s="702"/>
      <c r="B28" s="703"/>
      <c r="C28" s="704"/>
      <c r="D28" s="704"/>
      <c r="E28" s="704"/>
      <c r="F28" s="704"/>
      <c r="G28" s="704"/>
      <c r="H28" s="704"/>
      <c r="I28" s="704"/>
      <c r="J28" s="704"/>
      <c r="K28" s="704"/>
      <c r="L28" s="704"/>
      <c r="M28" s="704"/>
      <c r="N28" s="704"/>
      <c r="O28" s="704"/>
      <c r="P28" s="704"/>
      <c r="Q28" s="704"/>
      <c r="R28" s="704"/>
      <c r="S28" s="702"/>
    </row>
    <row r="29" spans="1:19" ht="14.4" customHeight="1" x14ac:dyDescent="0.3">
      <c r="A29" s="751"/>
      <c r="B29" s="373"/>
      <c r="C29" s="373"/>
      <c r="D29" s="373"/>
      <c r="E29" s="373"/>
      <c r="F29" s="373"/>
      <c r="G29" s="373"/>
      <c r="H29" s="373"/>
      <c r="I29" s="373"/>
      <c r="J29" s="373"/>
      <c r="K29" s="373"/>
      <c r="L29" s="373"/>
      <c r="M29" s="373"/>
      <c r="N29" s="373"/>
      <c r="O29" s="373"/>
      <c r="P29" s="373"/>
      <c r="Q29" s="373"/>
      <c r="R29" s="6"/>
      <c r="S29" s="6"/>
    </row>
    <row r="30" spans="1:19" s="49" customFormat="1" ht="13.2" hidden="1" x14ac:dyDescent="0.3">
      <c r="A30" s="894" t="s">
        <v>241</v>
      </c>
      <c r="B30" s="894"/>
      <c r="C30" s="894"/>
      <c r="D30" s="894"/>
      <c r="E30" s="894"/>
    </row>
    <row r="31" spans="1:19" hidden="1" x14ac:dyDescent="0.3">
      <c r="B31" s="895" t="s">
        <v>441</v>
      </c>
      <c r="C31" s="896"/>
      <c r="D31" s="897"/>
      <c r="E31" s="895" t="s">
        <v>314</v>
      </c>
      <c r="F31" s="896"/>
      <c r="G31" s="897"/>
    </row>
    <row r="32" spans="1:19" hidden="1" x14ac:dyDescent="0.3">
      <c r="B32" s="71" t="s">
        <v>442</v>
      </c>
      <c r="C32" s="72" t="s">
        <v>443</v>
      </c>
      <c r="D32" s="73" t="s">
        <v>444</v>
      </c>
      <c r="E32" s="71" t="s">
        <v>445</v>
      </c>
      <c r="F32" s="72" t="s">
        <v>443</v>
      </c>
      <c r="G32" s="73" t="s">
        <v>444</v>
      </c>
    </row>
    <row r="33" spans="1:9" hidden="1" x14ac:dyDescent="0.3">
      <c r="A33" s="898" t="s">
        <v>446</v>
      </c>
      <c r="B33" s="74" t="s">
        <v>447</v>
      </c>
      <c r="C33" t="s">
        <v>447</v>
      </c>
      <c r="D33" s="75" t="s">
        <v>448</v>
      </c>
      <c r="E33" s="74" t="s">
        <v>447</v>
      </c>
      <c r="F33" t="s">
        <v>447</v>
      </c>
      <c r="G33" s="75" t="s">
        <v>448</v>
      </c>
    </row>
    <row r="34" spans="1:9" hidden="1" x14ac:dyDescent="0.3">
      <c r="A34" s="898"/>
      <c r="B34" s="74">
        <v>15.56</v>
      </c>
      <c r="C34">
        <v>15.56</v>
      </c>
      <c r="D34" s="75">
        <v>15.56</v>
      </c>
      <c r="E34" s="74">
        <v>29.22</v>
      </c>
      <c r="F34">
        <v>29.22</v>
      </c>
      <c r="G34" s="75">
        <v>29.22</v>
      </c>
    </row>
    <row r="35" spans="1:9" hidden="1" x14ac:dyDescent="0.3">
      <c r="A35" s="898"/>
      <c r="B35" s="76" t="s">
        <v>449</v>
      </c>
      <c r="C35" t="s">
        <v>450</v>
      </c>
      <c r="D35" s="75"/>
      <c r="E35" s="76" t="s">
        <v>449</v>
      </c>
      <c r="F35" t="s">
        <v>450</v>
      </c>
      <c r="G35" s="75"/>
    </row>
    <row r="36" spans="1:9" hidden="1" x14ac:dyDescent="0.3">
      <c r="A36" s="898"/>
      <c r="B36" s="71">
        <v>21.11</v>
      </c>
      <c r="C36" s="72">
        <v>21.11</v>
      </c>
      <c r="D36" s="73"/>
      <c r="E36" s="71">
        <v>23.88</v>
      </c>
      <c r="F36" s="72">
        <v>23.88</v>
      </c>
      <c r="G36" s="73"/>
    </row>
    <row r="37" spans="1:9" hidden="1" x14ac:dyDescent="0.3"/>
    <row r="38" spans="1:9" hidden="1" x14ac:dyDescent="0.3"/>
    <row r="39" spans="1:9" ht="42" hidden="1" customHeight="1" x14ac:dyDescent="0.3">
      <c r="A39" s="893" t="s">
        <v>451</v>
      </c>
      <c r="B39" s="893"/>
      <c r="C39" s="893"/>
      <c r="D39" s="893"/>
      <c r="E39" s="893"/>
      <c r="F39" s="893"/>
      <c r="G39" s="893"/>
      <c r="H39" s="893"/>
      <c r="I39" s="893"/>
    </row>
    <row r="40" spans="1:9" hidden="1" x14ac:dyDescent="0.3"/>
    <row r="41" spans="1:9" hidden="1" x14ac:dyDescent="0.3"/>
    <row r="42" spans="1:9" hidden="1" x14ac:dyDescent="0.3"/>
    <row r="43" spans="1:9" hidden="1" x14ac:dyDescent="0.3"/>
    <row r="44" spans="1:9" hidden="1" x14ac:dyDescent="0.3"/>
    <row r="45" spans="1:9" hidden="1" x14ac:dyDescent="0.3"/>
    <row r="46" spans="1:9" hidden="1" x14ac:dyDescent="0.3"/>
    <row r="47" spans="1:9" hidden="1" x14ac:dyDescent="0.3"/>
    <row r="48" spans="1:9" hidden="1" x14ac:dyDescent="0.3"/>
    <row r="49" spans="1:18" hidden="1" x14ac:dyDescent="0.3"/>
    <row r="50" spans="1:18" hidden="1" x14ac:dyDescent="0.3"/>
    <row r="51" spans="1:18" hidden="1" x14ac:dyDescent="0.3"/>
    <row r="52" spans="1:18" hidden="1" x14ac:dyDescent="0.3"/>
    <row r="53" spans="1:18" hidden="1" x14ac:dyDescent="0.3"/>
    <row r="54" spans="1:18" hidden="1" x14ac:dyDescent="0.3"/>
    <row r="55" spans="1:18" ht="13.2" hidden="1" customHeight="1" x14ac:dyDescent="0.3"/>
    <row r="56" spans="1:18" hidden="1" x14ac:dyDescent="0.3">
      <c r="A56" s="607" t="s">
        <v>420</v>
      </c>
      <c r="B56" s="218">
        <v>66</v>
      </c>
      <c r="C56" s="218">
        <v>66</v>
      </c>
      <c r="D56" s="218">
        <v>66</v>
      </c>
      <c r="E56" s="218">
        <v>66</v>
      </c>
      <c r="F56" s="218">
        <v>66</v>
      </c>
      <c r="G56" s="218">
        <v>66</v>
      </c>
      <c r="H56" s="218">
        <v>66</v>
      </c>
      <c r="I56" s="218">
        <v>66</v>
      </c>
      <c r="J56" s="218">
        <v>66</v>
      </c>
      <c r="K56" s="218">
        <v>66</v>
      </c>
      <c r="L56" s="218">
        <v>66</v>
      </c>
      <c r="M56" s="218">
        <v>66</v>
      </c>
      <c r="N56" s="218">
        <v>66</v>
      </c>
      <c r="O56" s="218">
        <v>66</v>
      </c>
      <c r="P56" s="218">
        <v>66</v>
      </c>
      <c r="Q56" s="218">
        <v>66</v>
      </c>
      <c r="R56" s="885" t="s">
        <v>421</v>
      </c>
    </row>
    <row r="57" spans="1:18" hidden="1" x14ac:dyDescent="0.3">
      <c r="A57" s="607" t="s">
        <v>422</v>
      </c>
      <c r="B57" s="218">
        <v>60</v>
      </c>
      <c r="C57" s="218">
        <v>60</v>
      </c>
      <c r="D57" s="218">
        <v>60</v>
      </c>
      <c r="E57" s="218">
        <v>60</v>
      </c>
      <c r="F57" s="218">
        <v>60</v>
      </c>
      <c r="G57" s="218">
        <v>60</v>
      </c>
      <c r="H57" s="218">
        <v>60</v>
      </c>
      <c r="I57" s="218">
        <v>60</v>
      </c>
      <c r="J57" s="218">
        <v>60</v>
      </c>
      <c r="K57" s="218">
        <v>60</v>
      </c>
      <c r="L57" s="218">
        <v>60</v>
      </c>
      <c r="M57" s="218">
        <v>60</v>
      </c>
      <c r="N57" s="218">
        <v>60</v>
      </c>
      <c r="O57" s="218">
        <v>60</v>
      </c>
      <c r="P57" s="218">
        <v>60</v>
      </c>
      <c r="Q57" s="218">
        <v>60</v>
      </c>
      <c r="R57" s="886"/>
    </row>
    <row r="58" spans="1:18" hidden="1" x14ac:dyDescent="0.3">
      <c r="A58" s="607" t="s">
        <v>423</v>
      </c>
      <c r="B58" s="218">
        <v>79</v>
      </c>
      <c r="C58" s="218">
        <v>79</v>
      </c>
      <c r="D58" s="218">
        <v>79</v>
      </c>
      <c r="E58" s="218">
        <v>79</v>
      </c>
      <c r="F58" s="218">
        <v>79</v>
      </c>
      <c r="G58" s="218">
        <v>79</v>
      </c>
      <c r="H58" s="218">
        <v>79</v>
      </c>
      <c r="I58" s="218">
        <v>79</v>
      </c>
      <c r="J58" s="218">
        <v>79</v>
      </c>
      <c r="K58" s="218">
        <v>79</v>
      </c>
      <c r="L58" s="218">
        <v>79</v>
      </c>
      <c r="M58" s="218">
        <v>79</v>
      </c>
      <c r="N58" s="218">
        <v>79</v>
      </c>
      <c r="O58" s="218">
        <v>79</v>
      </c>
      <c r="P58" s="218">
        <v>79</v>
      </c>
      <c r="Q58" s="218">
        <v>79</v>
      </c>
      <c r="R58" s="886"/>
    </row>
    <row r="59" spans="1:18" hidden="1" x14ac:dyDescent="0.3">
      <c r="A59" s="607" t="s">
        <v>424</v>
      </c>
      <c r="B59" s="218">
        <v>86</v>
      </c>
      <c r="C59" s="218">
        <v>86</v>
      </c>
      <c r="D59" s="218">
        <v>86</v>
      </c>
      <c r="E59" s="218">
        <v>86</v>
      </c>
      <c r="F59" s="218">
        <v>86</v>
      </c>
      <c r="G59" s="218">
        <v>86</v>
      </c>
      <c r="H59" s="218">
        <v>86</v>
      </c>
      <c r="I59" s="218">
        <v>86</v>
      </c>
      <c r="J59" s="218">
        <v>86</v>
      </c>
      <c r="K59" s="218">
        <v>86</v>
      </c>
      <c r="L59" s="218">
        <v>86</v>
      </c>
      <c r="M59" s="218">
        <v>86</v>
      </c>
      <c r="N59" s="218">
        <v>86</v>
      </c>
      <c r="O59" s="218">
        <v>86</v>
      </c>
      <c r="P59" s="218">
        <v>86</v>
      </c>
      <c r="Q59" s="218">
        <v>86</v>
      </c>
      <c r="R59" s="887"/>
    </row>
    <row r="60" spans="1:18" hidden="1" x14ac:dyDescent="0.3"/>
    <row r="63" spans="1:18" ht="15.6" x14ac:dyDescent="0.3">
      <c r="A63" s="818"/>
      <c r="B63" s="818"/>
      <c r="C63" s="818"/>
      <c r="D63" s="818"/>
      <c r="E63" s="818"/>
      <c r="F63" s="818"/>
    </row>
    <row r="64" spans="1:18" x14ac:dyDescent="0.3">
      <c r="A64" s="219" t="s">
        <v>404</v>
      </c>
      <c r="B64" s="772" t="s">
        <v>452</v>
      </c>
      <c r="C64" s="219" t="s">
        <v>453</v>
      </c>
      <c r="D64" s="772" t="s">
        <v>454</v>
      </c>
      <c r="E64" s="219" t="s">
        <v>455</v>
      </c>
      <c r="F64" s="772" t="s">
        <v>66</v>
      </c>
      <c r="G64" s="751"/>
      <c r="H64" s="751"/>
    </row>
    <row r="65" spans="1:8" x14ac:dyDescent="0.3">
      <c r="A65" s="462" t="s">
        <v>456</v>
      </c>
      <c r="B65" s="462">
        <v>70</v>
      </c>
      <c r="C65" s="462">
        <v>75</v>
      </c>
      <c r="D65" s="462" t="s">
        <v>457</v>
      </c>
      <c r="E65" s="462" t="s">
        <v>457</v>
      </c>
      <c r="F65" s="707" t="s">
        <v>458</v>
      </c>
      <c r="G65" s="751"/>
      <c r="H65" s="751"/>
    </row>
    <row r="66" spans="1:8" ht="52.8" x14ac:dyDescent="0.3">
      <c r="A66" s="462" t="s">
        <v>459</v>
      </c>
      <c r="B66" s="462">
        <v>68</v>
      </c>
      <c r="C66" s="462">
        <v>68</v>
      </c>
      <c r="D66" s="462">
        <v>40</v>
      </c>
      <c r="E66" s="462">
        <v>60</v>
      </c>
      <c r="F66" s="707" t="s">
        <v>460</v>
      </c>
      <c r="G66" s="751"/>
      <c r="H66" s="751"/>
    </row>
    <row r="67" spans="1:8" ht="26.4" x14ac:dyDescent="0.3">
      <c r="A67" s="462" t="s">
        <v>461</v>
      </c>
      <c r="B67" s="462">
        <v>70</v>
      </c>
      <c r="C67" s="462">
        <v>75</v>
      </c>
      <c r="D67" s="462" t="s">
        <v>457</v>
      </c>
      <c r="E67" s="462" t="s">
        <v>457</v>
      </c>
      <c r="F67" s="707" t="s">
        <v>462</v>
      </c>
      <c r="G67" s="751"/>
      <c r="H67" s="751"/>
    </row>
    <row r="68" spans="1:8" x14ac:dyDescent="0.3">
      <c r="A68" s="462" t="s">
        <v>463</v>
      </c>
      <c r="B68" s="462">
        <v>70</v>
      </c>
      <c r="C68" s="462">
        <v>75</v>
      </c>
      <c r="D68" s="462">
        <v>40</v>
      </c>
      <c r="E68" s="462">
        <v>60</v>
      </c>
      <c r="F68" s="707" t="s">
        <v>464</v>
      </c>
      <c r="G68" s="751"/>
      <c r="H68" s="751"/>
    </row>
    <row r="69" spans="1:8" ht="26.4" x14ac:dyDescent="0.3">
      <c r="A69" s="462" t="s">
        <v>465</v>
      </c>
      <c r="B69" s="462">
        <v>70</v>
      </c>
      <c r="C69" s="462">
        <v>75</v>
      </c>
      <c r="D69" s="462">
        <v>40</v>
      </c>
      <c r="E69" s="462">
        <v>60</v>
      </c>
      <c r="F69" s="707" t="s">
        <v>466</v>
      </c>
      <c r="G69" s="751"/>
      <c r="H69" s="751"/>
    </row>
    <row r="70" spans="1:8" ht="26.4" x14ac:dyDescent="0.3">
      <c r="A70" s="462" t="s">
        <v>467</v>
      </c>
      <c r="B70" s="462" t="s">
        <v>468</v>
      </c>
      <c r="C70" s="462" t="s">
        <v>468</v>
      </c>
      <c r="D70" s="462" t="s">
        <v>468</v>
      </c>
      <c r="E70" s="462" t="s">
        <v>468</v>
      </c>
      <c r="F70" s="707" t="s">
        <v>469</v>
      </c>
      <c r="G70" s="751"/>
      <c r="H70" s="751"/>
    </row>
    <row r="71" spans="1:8" x14ac:dyDescent="0.3">
      <c r="A71" s="462"/>
      <c r="B71" s="462"/>
      <c r="C71" s="462"/>
      <c r="D71" s="462"/>
      <c r="E71" s="462"/>
      <c r="F71" s="707"/>
      <c r="G71" s="751"/>
      <c r="H71" s="751"/>
    </row>
  </sheetData>
  <mergeCells count="21">
    <mergeCell ref="A63:F63"/>
    <mergeCell ref="R56:R59"/>
    <mergeCell ref="R3:R6"/>
    <mergeCell ref="S3:S6"/>
    <mergeCell ref="A1:S1"/>
    <mergeCell ref="A39:I39"/>
    <mergeCell ref="A30:E30"/>
    <mergeCell ref="B31:D31"/>
    <mergeCell ref="E31:G31"/>
    <mergeCell ref="A33:A36"/>
    <mergeCell ref="R7:R10"/>
    <mergeCell ref="S7:S10"/>
    <mergeCell ref="R11:R14"/>
    <mergeCell ref="S11:S14"/>
    <mergeCell ref="R15:R18"/>
    <mergeCell ref="S15:S18"/>
    <mergeCell ref="R23:R24"/>
    <mergeCell ref="B24:Q24"/>
    <mergeCell ref="S23:S24"/>
    <mergeCell ref="R19:R22"/>
    <mergeCell ref="S19:S2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90D96-D5C4-4862-8F34-EFDE6A949268}">
  <dimension ref="A1:AM201"/>
  <sheetViews>
    <sheetView zoomScale="70" zoomScaleNormal="70" workbookViewId="0">
      <selection sqref="A1:G1"/>
    </sheetView>
  </sheetViews>
  <sheetFormatPr defaultColWidth="8.6640625" defaultRowHeight="13.2" x14ac:dyDescent="0.25"/>
  <cols>
    <col min="1" max="1" width="35.88671875" style="3" customWidth="1"/>
    <col min="2" max="2" width="29.6640625" style="3" customWidth="1"/>
    <col min="3" max="4" width="23.109375" style="3" customWidth="1"/>
    <col min="5" max="5" width="33" style="3" customWidth="1"/>
    <col min="6" max="6" width="32.44140625" style="3" customWidth="1"/>
    <col min="7" max="7" width="25.5546875" style="3" customWidth="1"/>
    <col min="8" max="8" width="23" style="3" customWidth="1"/>
    <col min="9" max="9" width="27.44140625" style="3" customWidth="1"/>
    <col min="10" max="11" width="23" style="3" customWidth="1"/>
    <col min="12" max="12" width="19" style="3" customWidth="1"/>
    <col min="13" max="13" width="8.6640625" style="3" customWidth="1"/>
    <col min="14" max="14" width="12.33203125" style="3" customWidth="1"/>
    <col min="15" max="15" width="13.33203125" style="3" customWidth="1"/>
    <col min="16" max="16" width="15.33203125" style="3" customWidth="1"/>
    <col min="17" max="17" width="11" style="3" customWidth="1"/>
    <col min="18" max="21" width="15.33203125" style="3" customWidth="1"/>
    <col min="22" max="22" width="7.6640625" style="3" hidden="1" customWidth="1"/>
    <col min="23" max="23" width="12.44140625" style="3" hidden="1" customWidth="1"/>
    <col min="24" max="39" width="6.5546875" style="3" hidden="1" customWidth="1"/>
    <col min="40" max="40" width="15.33203125" style="3" customWidth="1"/>
    <col min="41" max="41" width="11.33203125" style="3" customWidth="1"/>
    <col min="42" max="42" width="6.33203125" style="3" customWidth="1"/>
    <col min="43" max="46" width="4.6640625" style="3" customWidth="1"/>
    <col min="47" max="47" width="6.33203125" style="3" customWidth="1"/>
    <col min="48" max="62" width="4.6640625" style="3" customWidth="1"/>
    <col min="63" max="16384" width="8.6640625" style="3"/>
  </cols>
  <sheetData>
    <row r="1" spans="1:9" ht="24" customHeight="1" x14ac:dyDescent="0.25">
      <c r="A1" s="904" t="str">
        <f>"Water Heater - "&amp;Prototype!A2</f>
        <v>Water Heater - Hospital</v>
      </c>
      <c r="B1" s="905"/>
      <c r="C1" s="905"/>
      <c r="D1" s="905"/>
      <c r="E1" s="905"/>
      <c r="F1" s="905"/>
      <c r="G1" s="905"/>
      <c r="H1" s="419"/>
    </row>
    <row r="2" spans="1:9" ht="22.35" customHeight="1" x14ac:dyDescent="0.25">
      <c r="A2" s="112" t="s">
        <v>246</v>
      </c>
      <c r="B2" s="112" t="s">
        <v>470</v>
      </c>
      <c r="C2" s="112" t="s">
        <v>471</v>
      </c>
      <c r="D2" s="514" t="s">
        <v>472</v>
      </c>
      <c r="E2" s="420" t="s">
        <v>473</v>
      </c>
      <c r="F2" s="420" t="s">
        <v>474</v>
      </c>
      <c r="G2" s="448" t="s">
        <v>71</v>
      </c>
      <c r="H2" s="114"/>
    </row>
    <row r="3" spans="1:9" ht="61.5" customHeight="1" x14ac:dyDescent="0.25">
      <c r="A3" s="768" t="s">
        <v>475</v>
      </c>
      <c r="B3" s="768" t="s">
        <v>375</v>
      </c>
      <c r="C3" s="421">
        <v>0.8</v>
      </c>
      <c r="D3" s="525">
        <f>B72</f>
        <v>2</v>
      </c>
      <c r="E3" s="512" t="s">
        <v>476</v>
      </c>
      <c r="F3" s="513" t="s">
        <v>477</v>
      </c>
      <c r="G3" s="769" t="s">
        <v>478</v>
      </c>
      <c r="H3" s="422"/>
    </row>
    <row r="4" spans="1:9" ht="63.75" customHeight="1" x14ac:dyDescent="0.25">
      <c r="A4" s="768" t="s">
        <v>325</v>
      </c>
      <c r="B4" s="768" t="s">
        <v>375</v>
      </c>
      <c r="C4" s="421">
        <v>0.8</v>
      </c>
      <c r="D4" s="525">
        <f>B72</f>
        <v>2</v>
      </c>
      <c r="E4" s="512" t="str">
        <f>E3</f>
        <v>See table below for CZ-specific values: Climate Zone Water Heater Sizing and Loss Coefficients, Storage Volume column (col F)</v>
      </c>
      <c r="F4" s="512" t="str">
        <f>F3</f>
        <v>See table below: Climate Zone Water Heater Sizing and Loss Coefficients, Standby Loss column (col G)</v>
      </c>
      <c r="G4" s="769" t="str">
        <f>G3</f>
        <v>See table below for sources: Climate Zone Water Heater Sizing and Loss Coefficients</v>
      </c>
      <c r="H4" s="422"/>
    </row>
    <row r="5" spans="1:9" ht="65.25" customHeight="1" x14ac:dyDescent="0.25">
      <c r="A5" s="906" t="s">
        <v>479</v>
      </c>
      <c r="B5" s="906"/>
      <c r="C5" s="906"/>
      <c r="D5" s="906"/>
      <c r="E5" s="906"/>
      <c r="F5" s="906"/>
      <c r="G5" s="906"/>
      <c r="H5" s="802"/>
    </row>
    <row r="6" spans="1:9" ht="21.6" customHeight="1" x14ac:dyDescent="0.25">
      <c r="I6" s="80"/>
    </row>
    <row r="7" spans="1:9" ht="26.25" customHeight="1" x14ac:dyDescent="0.25">
      <c r="A7" s="915" t="s">
        <v>480</v>
      </c>
      <c r="B7" s="818"/>
      <c r="C7" s="818"/>
      <c r="D7" s="818"/>
      <c r="E7" s="818"/>
      <c r="F7" s="818"/>
      <c r="G7" s="818"/>
      <c r="H7" s="818"/>
      <c r="I7" s="818"/>
    </row>
    <row r="8" spans="1:9" ht="73.5" customHeight="1" x14ac:dyDescent="0.25">
      <c r="A8" s="219" t="s">
        <v>481</v>
      </c>
      <c r="B8" s="219" t="s">
        <v>482</v>
      </c>
      <c r="C8" s="219" t="s">
        <v>123</v>
      </c>
      <c r="D8" s="219"/>
      <c r="E8" s="219" t="s">
        <v>124</v>
      </c>
      <c r="F8" s="219" t="s">
        <v>483</v>
      </c>
      <c r="G8" s="219" t="s">
        <v>484</v>
      </c>
      <c r="H8" s="219" t="s">
        <v>485</v>
      </c>
      <c r="I8" s="168" t="s">
        <v>297</v>
      </c>
    </row>
    <row r="9" spans="1:9" s="501" customFormat="1" x14ac:dyDescent="0.3">
      <c r="A9" s="565" t="s">
        <v>126</v>
      </c>
      <c r="B9" s="566" t="s">
        <v>375</v>
      </c>
      <c r="C9" s="554">
        <f>Zones!H3</f>
        <v>20930</v>
      </c>
      <c r="D9" s="554"/>
      <c r="E9" s="567">
        <f>Zones!L3</f>
        <v>0</v>
      </c>
      <c r="F9" s="524">
        <f>VLOOKUP(Zones!C3,'Water Heater'!$A$182:$F$200,6,FALSE)</f>
        <v>0.18</v>
      </c>
      <c r="G9" s="568">
        <f>F9*E9</f>
        <v>0</v>
      </c>
      <c r="H9" s="573">
        <f>G9/60</f>
        <v>0</v>
      </c>
      <c r="I9" s="907" t="s">
        <v>486</v>
      </c>
    </row>
    <row r="10" spans="1:9" s="501" customFormat="1" x14ac:dyDescent="0.3">
      <c r="A10" s="565" t="s">
        <v>131</v>
      </c>
      <c r="B10" s="566" t="s">
        <v>375</v>
      </c>
      <c r="C10" s="554">
        <f>Zones!H4</f>
        <v>7245</v>
      </c>
      <c r="D10" s="554"/>
      <c r="E10" s="567">
        <f>Zones!L4</f>
        <v>36</v>
      </c>
      <c r="F10" s="524">
        <f>VLOOKUP(Zones!C4,'Water Heater'!$A$182:$F$200,6,FALSE)</f>
        <v>0.57799999999999996</v>
      </c>
      <c r="G10" s="568">
        <f t="shared" ref="G10:G67" si="0">F10*E10</f>
        <v>20.808</v>
      </c>
      <c r="H10" s="573">
        <f t="shared" ref="H10:H68" si="1">G10/60</f>
        <v>0.3468</v>
      </c>
      <c r="I10" s="908"/>
    </row>
    <row r="11" spans="1:9" s="501" customFormat="1" x14ac:dyDescent="0.3">
      <c r="A11" s="565" t="s">
        <v>134</v>
      </c>
      <c r="B11" s="566" t="s">
        <v>375</v>
      </c>
      <c r="C11" s="554">
        <f>Zones!H5</f>
        <v>6038</v>
      </c>
      <c r="D11" s="554"/>
      <c r="E11" s="567">
        <f>Zones!L5</f>
        <v>0</v>
      </c>
      <c r="F11" s="524">
        <f>VLOOKUP(Zones!C5,'Water Heater'!$A$182:$F$200,6,FALSE)</f>
        <v>0</v>
      </c>
      <c r="G11" s="568">
        <f t="shared" si="0"/>
        <v>0</v>
      </c>
      <c r="H11" s="573">
        <f t="shared" si="1"/>
        <v>0</v>
      </c>
      <c r="I11" s="908"/>
    </row>
    <row r="12" spans="1:9" s="501" customFormat="1" x14ac:dyDescent="0.3">
      <c r="A12" s="565" t="s">
        <v>137</v>
      </c>
      <c r="B12" s="566" t="s">
        <v>375</v>
      </c>
      <c r="C12" s="554">
        <f>Zones!H6</f>
        <v>3220</v>
      </c>
      <c r="D12" s="554"/>
      <c r="E12" s="567">
        <f>Zones!L6</f>
        <v>16</v>
      </c>
      <c r="F12" s="524">
        <f>VLOOKUP(Zones!C6,'Water Heater'!$A$182:$F$200,6,FALSE)</f>
        <v>0.18</v>
      </c>
      <c r="G12" s="568">
        <f t="shared" si="0"/>
        <v>2.88</v>
      </c>
      <c r="H12" s="573">
        <f t="shared" si="1"/>
        <v>4.8000000000000001E-2</v>
      </c>
      <c r="I12" s="908"/>
    </row>
    <row r="13" spans="1:9" s="501" customFormat="1" x14ac:dyDescent="0.3">
      <c r="A13" s="565" t="s">
        <v>141</v>
      </c>
      <c r="B13" s="566" t="s">
        <v>375</v>
      </c>
      <c r="C13" s="554">
        <f>Zones!H7</f>
        <v>2818</v>
      </c>
      <c r="D13" s="554"/>
      <c r="E13" s="567">
        <f>Zones!L7</f>
        <v>14</v>
      </c>
      <c r="F13" s="524">
        <f>VLOOKUP(Zones!C7,'Water Heater'!$A$182:$F$200,6,FALSE)</f>
        <v>0.24</v>
      </c>
      <c r="G13" s="568">
        <f t="shared" si="0"/>
        <v>3.36</v>
      </c>
      <c r="H13" s="573">
        <f t="shared" si="1"/>
        <v>5.6000000000000001E-2</v>
      </c>
      <c r="I13" s="908"/>
    </row>
    <row r="14" spans="1:9" s="501" customFormat="1" x14ac:dyDescent="0.3">
      <c r="A14" s="143" t="s">
        <v>143</v>
      </c>
      <c r="B14" s="134" t="s">
        <v>375</v>
      </c>
      <c r="C14" s="520">
        <f>Zones!H8</f>
        <v>6125.6</v>
      </c>
      <c r="D14" s="520"/>
      <c r="E14" s="521">
        <f>Zones!L8</f>
        <v>0</v>
      </c>
      <c r="F14" s="524">
        <f>VLOOKUP(Zones!C8,'Water Heater'!$A$182:$F$200,6,FALSE)</f>
        <v>0</v>
      </c>
      <c r="G14" s="210">
        <f t="shared" si="0"/>
        <v>0</v>
      </c>
      <c r="H14" s="523">
        <f t="shared" si="1"/>
        <v>0</v>
      </c>
      <c r="I14" s="908"/>
    </row>
    <row r="15" spans="1:9" s="501" customFormat="1" x14ac:dyDescent="0.3">
      <c r="A15" s="143" t="s">
        <v>146</v>
      </c>
      <c r="B15" s="134" t="s">
        <v>375</v>
      </c>
      <c r="C15" s="520">
        <f>Zones!H9</f>
        <v>6125.6</v>
      </c>
      <c r="D15" s="520"/>
      <c r="E15" s="521">
        <f>Zones!L9</f>
        <v>0</v>
      </c>
      <c r="F15" s="524">
        <f>VLOOKUP(Zones!C9,'Water Heater'!$A$182:$F$200,6,FALSE)</f>
        <v>0</v>
      </c>
      <c r="G15" s="210">
        <f t="shared" si="0"/>
        <v>0</v>
      </c>
      <c r="H15" s="523">
        <f t="shared" si="1"/>
        <v>0</v>
      </c>
      <c r="I15" s="908"/>
    </row>
    <row r="16" spans="1:9" s="501" customFormat="1" x14ac:dyDescent="0.3">
      <c r="A16" s="143" t="s">
        <v>147</v>
      </c>
      <c r="B16" s="134" t="s">
        <v>375</v>
      </c>
      <c r="C16" s="520">
        <f>Zones!H10</f>
        <v>5400.53</v>
      </c>
      <c r="D16" s="520"/>
      <c r="E16" s="521">
        <f>Zones!L10</f>
        <v>0</v>
      </c>
      <c r="F16" s="524">
        <f>VLOOKUP(Zones!C10,'Water Heater'!$A$182:$F$200,6,FALSE)</f>
        <v>0</v>
      </c>
      <c r="G16" s="210">
        <f t="shared" si="0"/>
        <v>0</v>
      </c>
      <c r="H16" s="523">
        <f t="shared" si="1"/>
        <v>0</v>
      </c>
      <c r="I16" s="908"/>
    </row>
    <row r="17" spans="1:9" s="501" customFormat="1" x14ac:dyDescent="0.3">
      <c r="A17" s="143" t="s">
        <v>148</v>
      </c>
      <c r="B17" s="134" t="s">
        <v>375</v>
      </c>
      <c r="C17" s="520">
        <f>Zones!H11</f>
        <v>6100.6</v>
      </c>
      <c r="D17" s="520"/>
      <c r="E17" s="521">
        <f>Zones!L11</f>
        <v>0</v>
      </c>
      <c r="F17" s="524">
        <f>VLOOKUP(Zones!C11,'Water Heater'!$A$182:$F$200,6,FALSE)</f>
        <v>0</v>
      </c>
      <c r="G17" s="210">
        <f t="shared" si="0"/>
        <v>0</v>
      </c>
      <c r="H17" s="523">
        <f t="shared" si="1"/>
        <v>0</v>
      </c>
      <c r="I17" s="908"/>
    </row>
    <row r="18" spans="1:9" s="501" customFormat="1" x14ac:dyDescent="0.3">
      <c r="A18" s="143" t="s">
        <v>149</v>
      </c>
      <c r="B18" s="134" t="s">
        <v>375</v>
      </c>
      <c r="C18" s="520">
        <f>Zones!H12</f>
        <v>6100.6</v>
      </c>
      <c r="D18" s="520"/>
      <c r="E18" s="521">
        <f>Zones!L12</f>
        <v>0</v>
      </c>
      <c r="F18" s="524">
        <f>VLOOKUP(Zones!C12,'Water Heater'!$A$182:$F$200,6,FALSE)</f>
        <v>0</v>
      </c>
      <c r="G18" s="210">
        <f t="shared" si="0"/>
        <v>0</v>
      </c>
      <c r="H18" s="523">
        <f t="shared" si="1"/>
        <v>0</v>
      </c>
      <c r="I18" s="908"/>
    </row>
    <row r="19" spans="1:9" s="501" customFormat="1" x14ac:dyDescent="0.3">
      <c r="A19" s="143" t="s">
        <v>150</v>
      </c>
      <c r="B19" s="134" t="s">
        <v>375</v>
      </c>
      <c r="C19" s="520">
        <f>Zones!H13</f>
        <v>6100.6</v>
      </c>
      <c r="D19" s="520"/>
      <c r="E19" s="521">
        <f>Zones!L13</f>
        <v>0</v>
      </c>
      <c r="F19" s="524">
        <f>VLOOKUP(Zones!C13,'Water Heater'!$A$182:$F$200,6,FALSE)</f>
        <v>0</v>
      </c>
      <c r="G19" s="210">
        <f t="shared" si="0"/>
        <v>0</v>
      </c>
      <c r="H19" s="523">
        <f t="shared" si="1"/>
        <v>0</v>
      </c>
      <c r="I19" s="908"/>
    </row>
    <row r="20" spans="1:9" s="501" customFormat="1" x14ac:dyDescent="0.3">
      <c r="A20" s="143" t="s">
        <v>151</v>
      </c>
      <c r="B20" s="134" t="s">
        <v>375</v>
      </c>
      <c r="C20" s="520">
        <f>Zones!H14</f>
        <v>6100.6</v>
      </c>
      <c r="D20" s="520"/>
      <c r="E20" s="521">
        <f>Zones!L14</f>
        <v>0</v>
      </c>
      <c r="F20" s="524">
        <f>VLOOKUP(Zones!C14,'Water Heater'!$A$182:$F$200,6,FALSE)</f>
        <v>0</v>
      </c>
      <c r="G20" s="210">
        <f t="shared" si="0"/>
        <v>0</v>
      </c>
      <c r="H20" s="523">
        <f t="shared" si="1"/>
        <v>0</v>
      </c>
      <c r="I20" s="908"/>
    </row>
    <row r="21" spans="1:9" s="501" customFormat="1" x14ac:dyDescent="0.3">
      <c r="A21" s="143" t="s">
        <v>152</v>
      </c>
      <c r="B21" s="134" t="s">
        <v>375</v>
      </c>
      <c r="C21" s="520">
        <f>Zones!H15</f>
        <v>7500.73</v>
      </c>
      <c r="D21" s="520"/>
      <c r="E21" s="521">
        <f>Zones!L15</f>
        <v>248</v>
      </c>
      <c r="F21" s="524">
        <f>VLOOKUP(Zones!C15,'Water Heater'!$A$182:$F$200,6,FALSE)</f>
        <v>0.57799999999999996</v>
      </c>
      <c r="G21" s="210">
        <f t="shared" si="0"/>
        <v>143.34399999999999</v>
      </c>
      <c r="H21" s="523">
        <f t="shared" si="1"/>
        <v>2.3890666666666664</v>
      </c>
      <c r="I21" s="908"/>
    </row>
    <row r="22" spans="1:9" s="501" customFormat="1" x14ac:dyDescent="0.3">
      <c r="A22" s="143" t="s">
        <v>156</v>
      </c>
      <c r="B22" s="134" t="s">
        <v>375</v>
      </c>
      <c r="C22" s="520">
        <f>Zones!H16</f>
        <v>300.02999999999997</v>
      </c>
      <c r="D22" s="520"/>
      <c r="E22" s="521">
        <f>Zones!L16</f>
        <v>2</v>
      </c>
      <c r="F22" s="524">
        <f>VLOOKUP(Zones!C16,'Water Heater'!$A$182:$F$200,6,FALSE)</f>
        <v>0.24</v>
      </c>
      <c r="G22" s="210">
        <f t="shared" si="0"/>
        <v>0.48</v>
      </c>
      <c r="H22" s="523">
        <f t="shared" si="1"/>
        <v>8.0000000000000002E-3</v>
      </c>
      <c r="I22" s="908"/>
    </row>
    <row r="23" spans="1:9" s="501" customFormat="1" x14ac:dyDescent="0.3">
      <c r="A23" s="143" t="s">
        <v>161</v>
      </c>
      <c r="B23" s="134" t="s">
        <v>375</v>
      </c>
      <c r="C23" s="520">
        <f>Zones!H17</f>
        <v>300.02999999999997</v>
      </c>
      <c r="D23" s="520"/>
      <c r="E23" s="521">
        <f>Zones!L17</f>
        <v>2</v>
      </c>
      <c r="F23" s="524">
        <f>VLOOKUP(Zones!C17,'Water Heater'!$A$182:$F$200,6,FALSE)</f>
        <v>0.24</v>
      </c>
      <c r="G23" s="210">
        <f t="shared" si="0"/>
        <v>0.48</v>
      </c>
      <c r="H23" s="523">
        <f t="shared" si="1"/>
        <v>8.0000000000000002E-3</v>
      </c>
      <c r="I23" s="908"/>
    </row>
    <row r="24" spans="1:9" s="501" customFormat="1" x14ac:dyDescent="0.3">
      <c r="A24" s="143" t="s">
        <v>162</v>
      </c>
      <c r="B24" s="134" t="s">
        <v>375</v>
      </c>
      <c r="C24" s="520">
        <f>Zones!H18</f>
        <v>13301.3</v>
      </c>
      <c r="D24" s="520"/>
      <c r="E24" s="521">
        <f>Zones!L18</f>
        <v>20</v>
      </c>
      <c r="F24" s="524">
        <f>VLOOKUP(Zones!C18,'Water Heater'!$A$182:$F$200,6,FALSE)</f>
        <v>0.24</v>
      </c>
      <c r="G24" s="210">
        <f t="shared" si="0"/>
        <v>4.8</v>
      </c>
      <c r="H24" s="523">
        <f t="shared" si="1"/>
        <v>0.08</v>
      </c>
      <c r="I24" s="908"/>
    </row>
    <row r="25" spans="1:9" s="501" customFormat="1" x14ac:dyDescent="0.3">
      <c r="A25" s="143" t="s">
        <v>165</v>
      </c>
      <c r="B25" s="134" t="s">
        <v>375</v>
      </c>
      <c r="C25" s="520">
        <f>Zones!H19</f>
        <v>300.02999999999997</v>
      </c>
      <c r="D25" s="520"/>
      <c r="E25" s="521">
        <f>Zones!L19</f>
        <v>2</v>
      </c>
      <c r="F25" s="524">
        <f>VLOOKUP(Zones!C19,'Water Heater'!$A$182:$F$200,6,FALSE)</f>
        <v>0.24</v>
      </c>
      <c r="G25" s="210">
        <f t="shared" si="0"/>
        <v>0.48</v>
      </c>
      <c r="H25" s="523">
        <f t="shared" si="1"/>
        <v>8.0000000000000002E-3</v>
      </c>
      <c r="I25" s="908"/>
    </row>
    <row r="26" spans="1:9" s="501" customFormat="1" x14ac:dyDescent="0.3">
      <c r="A26" s="143" t="s">
        <v>166</v>
      </c>
      <c r="B26" s="134" t="s">
        <v>375</v>
      </c>
      <c r="C26" s="520">
        <f>Zones!H20</f>
        <v>300.02999999999997</v>
      </c>
      <c r="D26" s="520"/>
      <c r="E26" s="521">
        <f>Zones!L20</f>
        <v>2</v>
      </c>
      <c r="F26" s="524">
        <f>VLOOKUP(Zones!C20,'Water Heater'!$A$182:$F$200,6,FALSE)</f>
        <v>0.24</v>
      </c>
      <c r="G26" s="210">
        <f t="shared" si="0"/>
        <v>0.48</v>
      </c>
      <c r="H26" s="523">
        <f t="shared" si="1"/>
        <v>8.0000000000000002E-3</v>
      </c>
      <c r="I26" s="908"/>
    </row>
    <row r="27" spans="1:9" s="501" customFormat="1" x14ac:dyDescent="0.3">
      <c r="A27" s="143" t="s">
        <v>167</v>
      </c>
      <c r="B27" s="134" t="s">
        <v>375</v>
      </c>
      <c r="C27" s="520">
        <f>Zones!H21</f>
        <v>300.02999999999997</v>
      </c>
      <c r="D27" s="520"/>
      <c r="E27" s="521">
        <f>Zones!L21</f>
        <v>2</v>
      </c>
      <c r="F27" s="524">
        <f>VLOOKUP(Zones!C21,'Water Heater'!$A$182:$F$200,6,FALSE)</f>
        <v>0.24</v>
      </c>
      <c r="G27" s="210">
        <f t="shared" si="0"/>
        <v>0.48</v>
      </c>
      <c r="H27" s="523">
        <f t="shared" si="1"/>
        <v>8.0000000000000002E-3</v>
      </c>
      <c r="I27" s="908"/>
    </row>
    <row r="28" spans="1:9" s="501" customFormat="1" x14ac:dyDescent="0.3">
      <c r="A28" s="143" t="s">
        <v>168</v>
      </c>
      <c r="B28" s="134" t="s">
        <v>375</v>
      </c>
      <c r="C28" s="520">
        <f>Zones!H22</f>
        <v>6652.36</v>
      </c>
      <c r="D28" s="520"/>
      <c r="E28" s="521">
        <f>Zones!L22</f>
        <v>33</v>
      </c>
      <c r="F28" s="524">
        <f>VLOOKUP(Zones!C22,'Water Heater'!$A$182:$F$200,6,FALSE)</f>
        <v>0.24</v>
      </c>
      <c r="G28" s="210">
        <f t="shared" si="0"/>
        <v>7.92</v>
      </c>
      <c r="H28" s="523">
        <f t="shared" si="1"/>
        <v>0.13200000000000001</v>
      </c>
      <c r="I28" s="908"/>
    </row>
    <row r="29" spans="1:9" s="501" customFormat="1" x14ac:dyDescent="0.3">
      <c r="A29" s="143" t="s">
        <v>172</v>
      </c>
      <c r="B29" s="134" t="s">
        <v>375</v>
      </c>
      <c r="C29" s="520">
        <f>Zones!H23</f>
        <v>7199.26</v>
      </c>
      <c r="D29" s="520"/>
      <c r="E29" s="521">
        <f>Zones!L23</f>
        <v>11</v>
      </c>
      <c r="F29" s="524">
        <f>VLOOKUP(Zones!C23,'Water Heater'!$A$182:$F$200,6,FALSE)</f>
        <v>0.24</v>
      </c>
      <c r="G29" s="210">
        <f t="shared" si="0"/>
        <v>2.6399999999999997</v>
      </c>
      <c r="H29" s="523">
        <f t="shared" si="1"/>
        <v>4.3999999999999997E-2</v>
      </c>
      <c r="I29" s="908"/>
    </row>
    <row r="30" spans="1:9" s="501" customFormat="1" x14ac:dyDescent="0.3">
      <c r="A30" s="143" t="s">
        <v>173</v>
      </c>
      <c r="B30" s="134" t="s">
        <v>375</v>
      </c>
      <c r="C30" s="520">
        <f>Zones!H24</f>
        <v>225.02</v>
      </c>
      <c r="D30" s="520"/>
      <c r="E30" s="521">
        <f>Zones!L24</f>
        <v>1</v>
      </c>
      <c r="F30" s="524">
        <f>VLOOKUP(Zones!C24,'Water Heater'!$A$182:$F$200,6,FALSE)</f>
        <v>0.24</v>
      </c>
      <c r="G30" s="210">
        <f t="shared" si="0"/>
        <v>0.24</v>
      </c>
      <c r="H30" s="523">
        <f t="shared" si="1"/>
        <v>4.0000000000000001E-3</v>
      </c>
      <c r="I30" s="908"/>
    </row>
    <row r="31" spans="1:9" s="501" customFormat="1" x14ac:dyDescent="0.3">
      <c r="A31" s="143" t="s">
        <v>174</v>
      </c>
      <c r="B31" s="134" t="s">
        <v>375</v>
      </c>
      <c r="C31" s="520">
        <f>Zones!H25</f>
        <v>300.02999999999997</v>
      </c>
      <c r="D31" s="520"/>
      <c r="E31" s="521">
        <f>Zones!L25</f>
        <v>2</v>
      </c>
      <c r="F31" s="524">
        <f>VLOOKUP(Zones!C25,'Water Heater'!$A$182:$F$200,6,FALSE)</f>
        <v>0.24</v>
      </c>
      <c r="G31" s="210">
        <f t="shared" si="0"/>
        <v>0.48</v>
      </c>
      <c r="H31" s="523">
        <f t="shared" si="1"/>
        <v>8.0000000000000002E-3</v>
      </c>
      <c r="I31" s="908"/>
    </row>
    <row r="32" spans="1:9" s="501" customFormat="1" x14ac:dyDescent="0.3">
      <c r="A32" s="143" t="s">
        <v>175</v>
      </c>
      <c r="B32" s="134" t="s">
        <v>375</v>
      </c>
      <c r="C32" s="520">
        <f>Zones!H26</f>
        <v>225.02</v>
      </c>
      <c r="D32" s="520"/>
      <c r="E32" s="521">
        <f>Zones!L26</f>
        <v>1</v>
      </c>
      <c r="F32" s="524">
        <f>VLOOKUP(Zones!C26,'Water Heater'!$A$182:$F$200,6,FALSE)</f>
        <v>0.24</v>
      </c>
      <c r="G32" s="210">
        <f t="shared" si="0"/>
        <v>0.24</v>
      </c>
      <c r="H32" s="523">
        <f t="shared" si="1"/>
        <v>4.0000000000000001E-3</v>
      </c>
      <c r="I32" s="908"/>
    </row>
    <row r="33" spans="1:9" s="501" customFormat="1" x14ac:dyDescent="0.3">
      <c r="A33" s="143" t="s">
        <v>176</v>
      </c>
      <c r="B33" s="134" t="s">
        <v>375</v>
      </c>
      <c r="C33" s="520">
        <f>Zones!H27</f>
        <v>10000.98</v>
      </c>
      <c r="D33" s="520"/>
      <c r="E33" s="521">
        <f>Zones!L27</f>
        <v>30</v>
      </c>
      <c r="F33" s="524">
        <f>VLOOKUP(Zones!C27,'Water Heater'!$A$182:$F$200,6,FALSE)</f>
        <v>0.57799999999999996</v>
      </c>
      <c r="G33" s="210">
        <f t="shared" si="0"/>
        <v>17.34</v>
      </c>
      <c r="H33" s="523">
        <f t="shared" si="1"/>
        <v>0.28899999999999998</v>
      </c>
      <c r="I33" s="908"/>
    </row>
    <row r="34" spans="1:9" s="501" customFormat="1" x14ac:dyDescent="0.3">
      <c r="A34" s="143" t="s">
        <v>180</v>
      </c>
      <c r="B34" s="134" t="s">
        <v>375</v>
      </c>
      <c r="C34" s="520">
        <f>Zones!H28</f>
        <v>2850.28</v>
      </c>
      <c r="D34" s="520"/>
      <c r="E34" s="521">
        <f>Zones!L28</f>
        <v>14</v>
      </c>
      <c r="F34" s="524">
        <f>VLOOKUP(Zones!C28,'Water Heater'!$A$182:$F$200,6,FALSE)</f>
        <v>0.18</v>
      </c>
      <c r="G34" s="210">
        <f t="shared" si="0"/>
        <v>2.52</v>
      </c>
      <c r="H34" s="523">
        <f t="shared" si="1"/>
        <v>4.2000000000000003E-2</v>
      </c>
      <c r="I34" s="908"/>
    </row>
    <row r="35" spans="1:9" s="501" customFormat="1" x14ac:dyDescent="0.3">
      <c r="A35" s="143" t="s">
        <v>184</v>
      </c>
      <c r="B35" s="134" t="s">
        <v>375</v>
      </c>
      <c r="C35" s="520">
        <f>Zones!H29</f>
        <v>2850.28</v>
      </c>
      <c r="D35" s="520"/>
      <c r="E35" s="521">
        <f>Zones!L29</f>
        <v>14</v>
      </c>
      <c r="F35" s="524">
        <f>VLOOKUP(Zones!C29,'Water Heater'!$A$182:$F$200,6,FALSE)</f>
        <v>0.18</v>
      </c>
      <c r="G35" s="210">
        <f t="shared" si="0"/>
        <v>2.52</v>
      </c>
      <c r="H35" s="523">
        <f t="shared" si="1"/>
        <v>4.2000000000000003E-2</v>
      </c>
      <c r="I35" s="908"/>
    </row>
    <row r="36" spans="1:9" s="501" customFormat="1" x14ac:dyDescent="0.3">
      <c r="A36" s="143" t="s">
        <v>185</v>
      </c>
      <c r="B36" s="134" t="s">
        <v>375</v>
      </c>
      <c r="C36" s="520">
        <f>Zones!H30</f>
        <v>15876.28</v>
      </c>
      <c r="D36" s="520"/>
      <c r="E36" s="521">
        <f>Zones!L30</f>
        <v>79</v>
      </c>
      <c r="F36" s="524">
        <f>VLOOKUP(Zones!C30,'Water Heater'!$A$182:$F$200,6,FALSE)</f>
        <v>0.09</v>
      </c>
      <c r="G36" s="210">
        <f t="shared" si="0"/>
        <v>7.1099999999999994</v>
      </c>
      <c r="H36" s="523">
        <f t="shared" si="1"/>
        <v>0.11849999999999999</v>
      </c>
      <c r="I36" s="908"/>
    </row>
    <row r="37" spans="1:9" s="501" customFormat="1" x14ac:dyDescent="0.3">
      <c r="A37" s="143" t="s">
        <v>189</v>
      </c>
      <c r="B37" s="134" t="s">
        <v>375</v>
      </c>
      <c r="C37" s="520">
        <f>Zones!H31</f>
        <v>9750.9500000000007</v>
      </c>
      <c r="D37" s="520"/>
      <c r="E37" s="521">
        <f>Zones!L31</f>
        <v>15</v>
      </c>
      <c r="F37" s="524">
        <f>VLOOKUP(Zones!C31,'Water Heater'!$A$182:$F$200,6,FALSE)</f>
        <v>0.24</v>
      </c>
      <c r="G37" s="210">
        <f t="shared" si="0"/>
        <v>3.5999999999999996</v>
      </c>
      <c r="H37" s="523">
        <f t="shared" si="1"/>
        <v>5.9999999999999991E-2</v>
      </c>
      <c r="I37" s="908"/>
    </row>
    <row r="38" spans="1:9" s="501" customFormat="1" x14ac:dyDescent="0.3">
      <c r="A38" s="143" t="s">
        <v>190</v>
      </c>
      <c r="B38" s="134" t="s">
        <v>375</v>
      </c>
      <c r="C38" s="520">
        <f>Zones!H32</f>
        <v>9750.9500000000007</v>
      </c>
      <c r="D38" s="520"/>
      <c r="E38" s="521">
        <f>Zones!L32</f>
        <v>15</v>
      </c>
      <c r="F38" s="524">
        <f>VLOOKUP(Zones!C32,'Water Heater'!$A$182:$F$200,6,FALSE)</f>
        <v>0.24</v>
      </c>
      <c r="G38" s="210">
        <f t="shared" si="0"/>
        <v>3.5999999999999996</v>
      </c>
      <c r="H38" s="523">
        <f t="shared" si="1"/>
        <v>5.9999999999999991E-2</v>
      </c>
      <c r="I38" s="908"/>
    </row>
    <row r="39" spans="1:9" s="501" customFormat="1" x14ac:dyDescent="0.3">
      <c r="A39" s="143" t="s">
        <v>191</v>
      </c>
      <c r="B39" s="134" t="s">
        <v>375</v>
      </c>
      <c r="C39" s="520">
        <f>Zones!H33</f>
        <v>11201.09</v>
      </c>
      <c r="D39" s="520"/>
      <c r="E39" s="521">
        <f>Zones!L33</f>
        <v>17</v>
      </c>
      <c r="F39" s="524">
        <f>VLOOKUP(Zones!C33,'Water Heater'!$A$182:$F$200,6,FALSE)</f>
        <v>0.24</v>
      </c>
      <c r="G39" s="210">
        <f t="shared" si="0"/>
        <v>4.08</v>
      </c>
      <c r="H39" s="523">
        <f t="shared" si="1"/>
        <v>6.8000000000000005E-2</v>
      </c>
      <c r="I39" s="908"/>
    </row>
    <row r="40" spans="1:9" s="501" customFormat="1" x14ac:dyDescent="0.3">
      <c r="A40" s="143" t="s">
        <v>192</v>
      </c>
      <c r="B40" s="134" t="s">
        <v>375</v>
      </c>
      <c r="C40" s="520">
        <f>Zones!H34</f>
        <v>750.27</v>
      </c>
      <c r="D40" s="520"/>
      <c r="E40" s="521">
        <f>Zones!L34</f>
        <v>4</v>
      </c>
      <c r="F40" s="524">
        <f>VLOOKUP(Zones!C34,'Water Heater'!$A$182:$F$200,6,FALSE)</f>
        <v>0.18</v>
      </c>
      <c r="G40" s="210">
        <f t="shared" si="0"/>
        <v>0.72</v>
      </c>
      <c r="H40" s="523">
        <f t="shared" si="1"/>
        <v>1.2E-2</v>
      </c>
      <c r="I40" s="908"/>
    </row>
    <row r="41" spans="1:9" s="501" customFormat="1" x14ac:dyDescent="0.3">
      <c r="A41" s="143" t="s">
        <v>195</v>
      </c>
      <c r="B41" s="134" t="s">
        <v>375</v>
      </c>
      <c r="C41" s="520">
        <f>Zones!H35</f>
        <v>150.01</v>
      </c>
      <c r="D41" s="520"/>
      <c r="E41" s="521">
        <f>Zones!L35</f>
        <v>1</v>
      </c>
      <c r="F41" s="522">
        <v>0.18</v>
      </c>
      <c r="G41" s="210">
        <f t="shared" si="0"/>
        <v>0.18</v>
      </c>
      <c r="H41" s="523">
        <f t="shared" si="1"/>
        <v>3.0000000000000001E-3</v>
      </c>
      <c r="I41" s="908"/>
    </row>
    <row r="42" spans="1:9" s="501" customFormat="1" x14ac:dyDescent="0.3">
      <c r="A42" s="143" t="s">
        <v>197</v>
      </c>
      <c r="B42" s="134" t="s">
        <v>375</v>
      </c>
      <c r="C42" s="520">
        <f>Zones!H36</f>
        <v>750.07</v>
      </c>
      <c r="D42" s="520"/>
      <c r="E42" s="521">
        <f>Zones!L36</f>
        <v>4</v>
      </c>
      <c r="F42" s="524">
        <f>VLOOKUP(Zones!C36,'Water Heater'!$A$182:$F$200,6,FALSE)</f>
        <v>0.18</v>
      </c>
      <c r="G42" s="210">
        <f t="shared" si="0"/>
        <v>0.72</v>
      </c>
      <c r="H42" s="523">
        <f t="shared" si="1"/>
        <v>1.2E-2</v>
      </c>
      <c r="I42" s="908"/>
    </row>
    <row r="43" spans="1:9" s="501" customFormat="1" x14ac:dyDescent="0.3">
      <c r="A43" s="143" t="s">
        <v>198</v>
      </c>
      <c r="B43" s="134" t="s">
        <v>375</v>
      </c>
      <c r="C43" s="520">
        <f>Zones!H37</f>
        <v>750.07</v>
      </c>
      <c r="D43" s="520"/>
      <c r="E43" s="521">
        <f>Zones!L37</f>
        <v>4</v>
      </c>
      <c r="F43" s="524">
        <f>VLOOKUP(Zones!C37,'Water Heater'!$A$182:$F$200,6,FALSE)</f>
        <v>0.18</v>
      </c>
      <c r="G43" s="210">
        <f t="shared" si="0"/>
        <v>0.72</v>
      </c>
      <c r="H43" s="523">
        <f t="shared" si="1"/>
        <v>1.2E-2</v>
      </c>
      <c r="I43" s="908"/>
    </row>
    <row r="44" spans="1:9" s="501" customFormat="1" x14ac:dyDescent="0.3">
      <c r="A44" s="143" t="s">
        <v>199</v>
      </c>
      <c r="B44" s="134" t="s">
        <v>375</v>
      </c>
      <c r="C44" s="520">
        <f>Zones!H38</f>
        <v>150.01</v>
      </c>
      <c r="D44" s="520"/>
      <c r="E44" s="521">
        <f>Zones!L38</f>
        <v>1</v>
      </c>
      <c r="F44" s="522">
        <v>0.18</v>
      </c>
      <c r="G44" s="210">
        <f t="shared" si="0"/>
        <v>0.18</v>
      </c>
      <c r="H44" s="523">
        <f t="shared" si="1"/>
        <v>3.0000000000000001E-3</v>
      </c>
      <c r="I44" s="908"/>
    </row>
    <row r="45" spans="1:9" s="501" customFormat="1" x14ac:dyDescent="0.3">
      <c r="A45" s="143" t="s">
        <v>200</v>
      </c>
      <c r="B45" s="134" t="s">
        <v>375</v>
      </c>
      <c r="C45" s="520">
        <f>Zones!H39</f>
        <v>600.05999999999995</v>
      </c>
      <c r="D45" s="520"/>
      <c r="E45" s="521">
        <f>Zones!L39</f>
        <v>3</v>
      </c>
      <c r="F45" s="524">
        <f>VLOOKUP(Zones!C39,'Water Heater'!$A$182:$F$200,6,FALSE)</f>
        <v>0.24</v>
      </c>
      <c r="G45" s="210">
        <f t="shared" si="0"/>
        <v>0.72</v>
      </c>
      <c r="H45" s="523">
        <f t="shared" si="1"/>
        <v>1.2E-2</v>
      </c>
      <c r="I45" s="908"/>
    </row>
    <row r="46" spans="1:9" s="501" customFormat="1" x14ac:dyDescent="0.3">
      <c r="A46" s="143" t="s">
        <v>204</v>
      </c>
      <c r="B46" s="134" t="s">
        <v>375</v>
      </c>
      <c r="C46" s="520">
        <f>Zones!H40</f>
        <v>600.05999999999995</v>
      </c>
      <c r="D46" s="520"/>
      <c r="E46" s="521">
        <f>Zones!L40</f>
        <v>3</v>
      </c>
      <c r="F46" s="524">
        <f>VLOOKUP(Zones!C40,'Water Heater'!$A$182:$F$200,6,FALSE)</f>
        <v>0.24</v>
      </c>
      <c r="G46" s="210">
        <f t="shared" si="0"/>
        <v>0.72</v>
      </c>
      <c r="H46" s="523">
        <f t="shared" si="1"/>
        <v>1.2E-2</v>
      </c>
      <c r="I46" s="908"/>
    </row>
    <row r="47" spans="1:9" s="501" customFormat="1" x14ac:dyDescent="0.3">
      <c r="A47" s="143" t="s">
        <v>205</v>
      </c>
      <c r="B47" s="134" t="s">
        <v>375</v>
      </c>
      <c r="C47" s="520">
        <f>Zones!H41</f>
        <v>600.05999999999995</v>
      </c>
      <c r="D47" s="520"/>
      <c r="E47" s="521">
        <f>Zones!L41</f>
        <v>3</v>
      </c>
      <c r="F47" s="524">
        <f>VLOOKUP(Zones!C41,'Water Heater'!$A$182:$F$200,6,FALSE)</f>
        <v>0.24</v>
      </c>
      <c r="G47" s="210">
        <f t="shared" si="0"/>
        <v>0.72</v>
      </c>
      <c r="H47" s="523">
        <f t="shared" si="1"/>
        <v>1.2E-2</v>
      </c>
      <c r="I47" s="908"/>
    </row>
    <row r="48" spans="1:9" s="501" customFormat="1" x14ac:dyDescent="0.3">
      <c r="A48" s="143" t="s">
        <v>206</v>
      </c>
      <c r="B48" s="134" t="s">
        <v>375</v>
      </c>
      <c r="C48" s="520">
        <f>Zones!H42</f>
        <v>2400.23</v>
      </c>
      <c r="D48" s="520"/>
      <c r="E48" s="521">
        <f>Zones!L42</f>
        <v>12</v>
      </c>
      <c r="F48" s="524">
        <f>VLOOKUP(Zones!C42,'Water Heater'!$A$182:$F$200,6,FALSE)</f>
        <v>0.24</v>
      </c>
      <c r="G48" s="210">
        <f t="shared" si="0"/>
        <v>2.88</v>
      </c>
      <c r="H48" s="523">
        <f t="shared" si="1"/>
        <v>4.8000000000000001E-2</v>
      </c>
      <c r="I48" s="908"/>
    </row>
    <row r="49" spans="1:9" s="501" customFormat="1" x14ac:dyDescent="0.3">
      <c r="A49" s="143" t="s">
        <v>207</v>
      </c>
      <c r="B49" s="134" t="s">
        <v>375</v>
      </c>
      <c r="C49" s="520">
        <f>Zones!H43</f>
        <v>10901.06</v>
      </c>
      <c r="D49" s="520"/>
      <c r="E49" s="521">
        <f>Zones!L43</f>
        <v>16</v>
      </c>
      <c r="F49" s="524">
        <f>VLOOKUP(Zones!C43,'Water Heater'!$A$182:$F$200,6,FALSE)</f>
        <v>0.24</v>
      </c>
      <c r="G49" s="210">
        <f t="shared" si="0"/>
        <v>3.84</v>
      </c>
      <c r="H49" s="523">
        <f t="shared" si="1"/>
        <v>6.4000000000000001E-2</v>
      </c>
      <c r="I49" s="908"/>
    </row>
    <row r="50" spans="1:9" s="501" customFormat="1" x14ac:dyDescent="0.3">
      <c r="A50" s="143" t="s">
        <v>208</v>
      </c>
      <c r="B50" s="134" t="s">
        <v>375</v>
      </c>
      <c r="C50" s="520">
        <f>Zones!H44</f>
        <v>225.02</v>
      </c>
      <c r="D50" s="520"/>
      <c r="E50" s="521">
        <f>Zones!L44</f>
        <v>2</v>
      </c>
      <c r="F50" s="524">
        <f>VLOOKUP(Zones!C44,'Water Heater'!$A$182:$F$200,6,FALSE)</f>
        <v>0.24</v>
      </c>
      <c r="G50" s="210">
        <f t="shared" si="0"/>
        <v>0.48</v>
      </c>
      <c r="H50" s="523">
        <f t="shared" si="1"/>
        <v>8.0000000000000002E-3</v>
      </c>
      <c r="I50" s="908"/>
    </row>
    <row r="51" spans="1:9" s="501" customFormat="1" x14ac:dyDescent="0.3">
      <c r="A51" s="143" t="s">
        <v>213</v>
      </c>
      <c r="B51" s="134" t="s">
        <v>375</v>
      </c>
      <c r="C51" s="520">
        <f>Zones!H45</f>
        <v>225.02</v>
      </c>
      <c r="D51" s="520"/>
      <c r="E51" s="521">
        <f>Zones!L45</f>
        <v>2</v>
      </c>
      <c r="F51" s="524">
        <f>VLOOKUP(Zones!C45,'Water Heater'!$A$182:$F$200,6,FALSE)</f>
        <v>0.24</v>
      </c>
      <c r="G51" s="210">
        <f t="shared" si="0"/>
        <v>0.48</v>
      </c>
      <c r="H51" s="523">
        <f t="shared" si="1"/>
        <v>8.0000000000000002E-3</v>
      </c>
      <c r="I51" s="908"/>
    </row>
    <row r="52" spans="1:9" s="501" customFormat="1" x14ac:dyDescent="0.3">
      <c r="A52" s="143" t="s">
        <v>214</v>
      </c>
      <c r="B52" s="134" t="s">
        <v>375</v>
      </c>
      <c r="C52" s="520">
        <f>Zones!H46</f>
        <v>375.04</v>
      </c>
      <c r="D52" s="520"/>
      <c r="E52" s="521">
        <f>Zones!L46</f>
        <v>2</v>
      </c>
      <c r="F52" s="524">
        <f>VLOOKUP(Zones!C46,'Water Heater'!$A$182:$F$200,6,FALSE)</f>
        <v>0.24</v>
      </c>
      <c r="G52" s="210">
        <f t="shared" si="0"/>
        <v>0.48</v>
      </c>
      <c r="H52" s="523">
        <f t="shared" si="1"/>
        <v>8.0000000000000002E-3</v>
      </c>
      <c r="I52" s="908"/>
    </row>
    <row r="53" spans="1:9" s="501" customFormat="1" x14ac:dyDescent="0.3">
      <c r="A53" s="143" t="s">
        <v>215</v>
      </c>
      <c r="B53" s="134" t="s">
        <v>375</v>
      </c>
      <c r="C53" s="520">
        <f>Zones!H47</f>
        <v>375.04</v>
      </c>
      <c r="D53" s="520"/>
      <c r="E53" s="521">
        <f>Zones!L47</f>
        <v>2</v>
      </c>
      <c r="F53" s="524">
        <f>VLOOKUP(Zones!C47,'Water Heater'!$A$182:$F$200,6,FALSE)</f>
        <v>0.24</v>
      </c>
      <c r="G53" s="210">
        <f t="shared" si="0"/>
        <v>0.48</v>
      </c>
      <c r="H53" s="523">
        <f t="shared" si="1"/>
        <v>8.0000000000000002E-3</v>
      </c>
      <c r="I53" s="908"/>
    </row>
    <row r="54" spans="1:9" s="501" customFormat="1" x14ac:dyDescent="0.3">
      <c r="A54" s="143" t="s">
        <v>216</v>
      </c>
      <c r="B54" s="134" t="s">
        <v>375</v>
      </c>
      <c r="C54" s="520">
        <f>Zones!H48</f>
        <v>217.54</v>
      </c>
      <c r="D54" s="520"/>
      <c r="E54" s="521">
        <f>Zones!L48</f>
        <v>2</v>
      </c>
      <c r="F54" s="524">
        <f>VLOOKUP(Zones!C48,'Water Heater'!$A$182:$F$200,6,FALSE)</f>
        <v>0.24</v>
      </c>
      <c r="G54" s="210">
        <f t="shared" si="0"/>
        <v>0.48</v>
      </c>
      <c r="H54" s="523">
        <f t="shared" si="1"/>
        <v>8.0000000000000002E-3</v>
      </c>
      <c r="I54" s="908"/>
    </row>
    <row r="55" spans="1:9" s="501" customFormat="1" x14ac:dyDescent="0.3">
      <c r="A55" s="143" t="s">
        <v>217</v>
      </c>
      <c r="B55" s="134" t="s">
        <v>375</v>
      </c>
      <c r="C55" s="520">
        <f>Zones!H49</f>
        <v>217.54</v>
      </c>
      <c r="D55" s="520"/>
      <c r="E55" s="521">
        <f>Zones!L49</f>
        <v>2</v>
      </c>
      <c r="F55" s="524">
        <f>VLOOKUP(Zones!C49,'Water Heater'!$A$182:$F$200,6,FALSE)</f>
        <v>0.24</v>
      </c>
      <c r="G55" s="210">
        <f t="shared" si="0"/>
        <v>0.48</v>
      </c>
      <c r="H55" s="523">
        <f t="shared" si="1"/>
        <v>8.0000000000000002E-3</v>
      </c>
      <c r="I55" s="908"/>
    </row>
    <row r="56" spans="1:9" s="501" customFormat="1" x14ac:dyDescent="0.3">
      <c r="A56" s="143" t="s">
        <v>218</v>
      </c>
      <c r="B56" s="134" t="s">
        <v>375</v>
      </c>
      <c r="C56" s="520">
        <f>Zones!H50</f>
        <v>375.04</v>
      </c>
      <c r="D56" s="520"/>
      <c r="E56" s="521">
        <f>Zones!L50</f>
        <v>2</v>
      </c>
      <c r="F56" s="524">
        <f>VLOOKUP(Zones!C50,'Water Heater'!$A$182:$F$200,6,FALSE)</f>
        <v>0.24</v>
      </c>
      <c r="G56" s="210">
        <f t="shared" si="0"/>
        <v>0.48</v>
      </c>
      <c r="H56" s="523">
        <f t="shared" si="1"/>
        <v>8.0000000000000002E-3</v>
      </c>
      <c r="I56" s="908"/>
    </row>
    <row r="57" spans="1:9" s="501" customFormat="1" x14ac:dyDescent="0.3">
      <c r="A57" s="143" t="s">
        <v>219</v>
      </c>
      <c r="B57" s="134" t="s">
        <v>375</v>
      </c>
      <c r="C57" s="520">
        <f>Zones!H51</f>
        <v>375.04</v>
      </c>
      <c r="D57" s="520"/>
      <c r="E57" s="521">
        <f>Zones!L51</f>
        <v>2</v>
      </c>
      <c r="F57" s="524">
        <f>VLOOKUP(Zones!C51,'Water Heater'!$A$182:$F$200,6,FALSE)</f>
        <v>0.24</v>
      </c>
      <c r="G57" s="210">
        <f t="shared" si="0"/>
        <v>0.48</v>
      </c>
      <c r="H57" s="523">
        <f t="shared" si="1"/>
        <v>8.0000000000000002E-3</v>
      </c>
      <c r="I57" s="908"/>
    </row>
    <row r="58" spans="1:9" s="501" customFormat="1" x14ac:dyDescent="0.3">
      <c r="A58" s="143" t="s">
        <v>220</v>
      </c>
      <c r="B58" s="134" t="s">
        <v>375</v>
      </c>
      <c r="C58" s="520">
        <f>Zones!H52</f>
        <v>225.02</v>
      </c>
      <c r="D58" s="520"/>
      <c r="E58" s="521">
        <f>Zones!L52</f>
        <v>2</v>
      </c>
      <c r="F58" s="524">
        <f>VLOOKUP(Zones!C52,'Water Heater'!$A$182:$F$200,6,FALSE)</f>
        <v>0.24</v>
      </c>
      <c r="G58" s="210">
        <f t="shared" si="0"/>
        <v>0.48</v>
      </c>
      <c r="H58" s="523">
        <f t="shared" si="1"/>
        <v>8.0000000000000002E-3</v>
      </c>
      <c r="I58" s="908"/>
    </row>
    <row r="59" spans="1:9" s="501" customFormat="1" x14ac:dyDescent="0.3">
      <c r="A59" s="143" t="s">
        <v>221</v>
      </c>
      <c r="B59" s="134" t="s">
        <v>375</v>
      </c>
      <c r="C59" s="520">
        <f>Zones!H53</f>
        <v>225.02</v>
      </c>
      <c r="D59" s="520"/>
      <c r="E59" s="521">
        <f>Zones!L53</f>
        <v>2</v>
      </c>
      <c r="F59" s="524">
        <f>VLOOKUP(Zones!C53,'Water Heater'!$A$182:$F$200,6,FALSE)</f>
        <v>0.24</v>
      </c>
      <c r="G59" s="210">
        <f t="shared" si="0"/>
        <v>0.48</v>
      </c>
      <c r="H59" s="523">
        <f t="shared" si="1"/>
        <v>8.0000000000000002E-3</v>
      </c>
      <c r="I59" s="908"/>
    </row>
    <row r="60" spans="1:9" s="501" customFormat="1" x14ac:dyDescent="0.3">
      <c r="A60" s="143" t="s">
        <v>222</v>
      </c>
      <c r="B60" s="134" t="s">
        <v>375</v>
      </c>
      <c r="C60" s="520">
        <f>Zones!H54</f>
        <v>300.02999999999997</v>
      </c>
      <c r="D60" s="520"/>
      <c r="E60" s="521">
        <f>Zones!L54</f>
        <v>2</v>
      </c>
      <c r="F60" s="524">
        <f>VLOOKUP(Zones!C54,'Water Heater'!$A$182:$F$200,6,FALSE)</f>
        <v>0.24</v>
      </c>
      <c r="G60" s="210">
        <f t="shared" si="0"/>
        <v>0.48</v>
      </c>
      <c r="H60" s="523">
        <f t="shared" si="1"/>
        <v>8.0000000000000002E-3</v>
      </c>
      <c r="I60" s="908"/>
    </row>
    <row r="61" spans="1:9" s="501" customFormat="1" x14ac:dyDescent="0.3">
      <c r="A61" s="143" t="s">
        <v>223</v>
      </c>
      <c r="B61" s="134" t="s">
        <v>375</v>
      </c>
      <c r="C61" s="520">
        <f>Zones!H55</f>
        <v>300.02999999999997</v>
      </c>
      <c r="D61" s="520"/>
      <c r="E61" s="521">
        <f>Zones!L55</f>
        <v>2</v>
      </c>
      <c r="F61" s="524">
        <f>VLOOKUP(Zones!C55,'Water Heater'!$A$182:$F$200,6,FALSE)</f>
        <v>0.24</v>
      </c>
      <c r="G61" s="210">
        <f t="shared" si="0"/>
        <v>0.48</v>
      </c>
      <c r="H61" s="523">
        <f t="shared" si="1"/>
        <v>8.0000000000000002E-3</v>
      </c>
      <c r="I61" s="908"/>
    </row>
    <row r="62" spans="1:9" s="501" customFormat="1" x14ac:dyDescent="0.3">
      <c r="A62" s="143" t="s">
        <v>224</v>
      </c>
      <c r="B62" s="134" t="s">
        <v>375</v>
      </c>
      <c r="C62" s="520">
        <f>Zones!H56</f>
        <v>217.54</v>
      </c>
      <c r="D62" s="520"/>
      <c r="E62" s="521">
        <f>Zones!L56</f>
        <v>2</v>
      </c>
      <c r="F62" s="524">
        <f>VLOOKUP(Zones!C56,'Water Heater'!$A$182:$F$200,6,FALSE)</f>
        <v>0.24</v>
      </c>
      <c r="G62" s="210">
        <f t="shared" si="0"/>
        <v>0.48</v>
      </c>
      <c r="H62" s="523">
        <f t="shared" si="1"/>
        <v>8.0000000000000002E-3</v>
      </c>
      <c r="I62" s="908"/>
    </row>
    <row r="63" spans="1:9" s="501" customFormat="1" x14ac:dyDescent="0.3">
      <c r="A63" s="143" t="s">
        <v>225</v>
      </c>
      <c r="B63" s="134" t="s">
        <v>375</v>
      </c>
      <c r="C63" s="520">
        <f>Zones!H57</f>
        <v>217.54</v>
      </c>
      <c r="D63" s="520"/>
      <c r="E63" s="521">
        <f>Zones!L57</f>
        <v>2</v>
      </c>
      <c r="F63" s="524">
        <f>VLOOKUP(Zones!C57,'Water Heater'!$A$182:$F$200,6,FALSE)</f>
        <v>0.24</v>
      </c>
      <c r="G63" s="210">
        <f t="shared" si="0"/>
        <v>0.48</v>
      </c>
      <c r="H63" s="523">
        <f t="shared" si="1"/>
        <v>8.0000000000000002E-3</v>
      </c>
      <c r="I63" s="908"/>
    </row>
    <row r="64" spans="1:9" s="501" customFormat="1" x14ac:dyDescent="0.3">
      <c r="A64" s="143" t="s">
        <v>226</v>
      </c>
      <c r="B64" s="134" t="s">
        <v>375</v>
      </c>
      <c r="C64" s="520">
        <f>Zones!H58</f>
        <v>300.02999999999997</v>
      </c>
      <c r="D64" s="520"/>
      <c r="E64" s="521">
        <f>Zones!L58</f>
        <v>2</v>
      </c>
      <c r="F64" s="524">
        <f>VLOOKUP(Zones!C58,'Water Heater'!$A$182:$F$200,6,FALSE)</f>
        <v>0.24</v>
      </c>
      <c r="G64" s="210">
        <f t="shared" si="0"/>
        <v>0.48</v>
      </c>
      <c r="H64" s="523">
        <f t="shared" si="1"/>
        <v>8.0000000000000002E-3</v>
      </c>
      <c r="I64" s="908"/>
    </row>
    <row r="65" spans="1:13" s="501" customFormat="1" x14ac:dyDescent="0.3">
      <c r="A65" s="143" t="s">
        <v>227</v>
      </c>
      <c r="B65" s="134" t="s">
        <v>375</v>
      </c>
      <c r="C65" s="520">
        <f>Zones!H59</f>
        <v>300.02999999999997</v>
      </c>
      <c r="D65" s="520"/>
      <c r="E65" s="521">
        <f>Zones!L59</f>
        <v>2</v>
      </c>
      <c r="F65" s="524">
        <f>VLOOKUP(Zones!C59,'Water Heater'!$A$182:$F$200,6,FALSE)</f>
        <v>0.24</v>
      </c>
      <c r="G65" s="210">
        <f t="shared" si="0"/>
        <v>0.48</v>
      </c>
      <c r="H65" s="523">
        <f t="shared" si="1"/>
        <v>8.0000000000000002E-3</v>
      </c>
      <c r="I65" s="908"/>
    </row>
    <row r="66" spans="1:13" s="501" customFormat="1" x14ac:dyDescent="0.3">
      <c r="A66" s="143" t="s">
        <v>228</v>
      </c>
      <c r="B66" s="134" t="s">
        <v>375</v>
      </c>
      <c r="C66" s="520">
        <f>Zones!H60</f>
        <v>5250.51</v>
      </c>
      <c r="D66" s="520"/>
      <c r="E66" s="521">
        <f>Zones!L60</f>
        <v>26</v>
      </c>
      <c r="F66" s="524">
        <f>VLOOKUP(Zones!C60,'Water Heater'!$A$182:$F$200,6,FALSE)</f>
        <v>0.24</v>
      </c>
      <c r="G66" s="210">
        <f t="shared" si="0"/>
        <v>6.24</v>
      </c>
      <c r="H66" s="523">
        <f t="shared" si="1"/>
        <v>0.10400000000000001</v>
      </c>
      <c r="I66" s="908"/>
    </row>
    <row r="67" spans="1:13" s="501" customFormat="1" x14ac:dyDescent="0.3">
      <c r="A67" s="143" t="s">
        <v>230</v>
      </c>
      <c r="B67" s="134" t="s">
        <v>375</v>
      </c>
      <c r="C67" s="520">
        <f>Zones!H61</f>
        <v>5250.51</v>
      </c>
      <c r="D67" s="520"/>
      <c r="E67" s="521">
        <f>Zones!L61</f>
        <v>26</v>
      </c>
      <c r="F67" s="524">
        <f>VLOOKUP(Zones!C61,'Water Heater'!$A$182:$F$200,6,FALSE)</f>
        <v>0.24</v>
      </c>
      <c r="G67" s="210">
        <f t="shared" si="0"/>
        <v>6.24</v>
      </c>
      <c r="H67" s="523">
        <f t="shared" si="1"/>
        <v>0.10400000000000001</v>
      </c>
      <c r="I67" s="908"/>
    </row>
    <row r="68" spans="1:13" ht="19.95" customHeight="1" x14ac:dyDescent="0.25">
      <c r="A68" s="463" t="s">
        <v>487</v>
      </c>
      <c r="B68" s="464" t="s">
        <v>375</v>
      </c>
      <c r="C68" s="465" t="s">
        <v>468</v>
      </c>
      <c r="D68" s="465"/>
      <c r="E68" s="466" t="s">
        <v>468</v>
      </c>
      <c r="F68" s="464">
        <v>2</v>
      </c>
      <c r="G68" s="467">
        <f>F68*100</f>
        <v>200</v>
      </c>
      <c r="H68" s="468">
        <f t="shared" si="1"/>
        <v>3.3333333333333335</v>
      </c>
      <c r="I68" s="909"/>
    </row>
    <row r="69" spans="1:13" ht="20.25" customHeight="1" x14ac:dyDescent="0.25">
      <c r="A69" s="423" t="s">
        <v>397</v>
      </c>
      <c r="B69" s="910" t="s">
        <v>488</v>
      </c>
      <c r="C69" s="911"/>
      <c r="D69" s="911"/>
      <c r="E69" s="911"/>
      <c r="F69" s="912"/>
      <c r="G69" s="519">
        <f>_xlfn.LET(
  _xlpm.g,SUMIF($B$9:$B$68,"Gas*",$G$9:$G$68),
  _xlpm.e,SUMIF($B$9:$B$68,"Electric*",$G$9:$G$68),
  IF(AND(_xlpm.g&gt;0,_xlpm.e&gt;0),_xlpm.g,IF(_xlpm.g&gt;0,MAX(75,_xlpm.g),0)))</f>
        <v>461.44199999999984</v>
      </c>
      <c r="H69" s="424"/>
      <c r="I69" s="913" t="s">
        <v>489</v>
      </c>
    </row>
    <row r="70" spans="1:13" ht="19.5" customHeight="1" x14ac:dyDescent="0.25">
      <c r="A70" s="423" t="s">
        <v>490</v>
      </c>
      <c r="B70" s="910" t="s">
        <v>491</v>
      </c>
      <c r="C70" s="911"/>
      <c r="D70" s="911"/>
      <c r="E70" s="911"/>
      <c r="F70" s="912"/>
      <c r="G70" s="519">
        <f>_xlfn.LET(
  _xlpm.g,SUMIF($B$9:$B$68,"Gas*",$G$9:$G$68),
  _xlpm.e,SUMIF($B$9:$B$68,"Electric*",$G$9:$G$68),
  IF(AND(_xlpm.g&gt;0,_xlpm.e&gt;0),_xlpm.e,IF(_xlpm.e&gt;0,MAX(75,_xlpm.e),0)))</f>
        <v>0</v>
      </c>
      <c r="H70" s="424"/>
      <c r="I70" s="914"/>
    </row>
    <row r="71" spans="1:13" ht="19.5" customHeight="1" x14ac:dyDescent="0.25">
      <c r="A71" s="526"/>
      <c r="B71" s="527"/>
      <c r="C71" s="527"/>
      <c r="D71" s="527"/>
      <c r="E71" s="527"/>
      <c r="F71" s="527"/>
      <c r="G71" s="528"/>
      <c r="H71" s="529"/>
      <c r="I71" s="530"/>
    </row>
    <row r="72" spans="1:13" s="425" customFormat="1" ht="14.4" x14ac:dyDescent="0.3">
      <c r="A72" s="745" t="s">
        <v>492</v>
      </c>
      <c r="B72" s="745">
        <f>MAX(1,ROUNDUP(MAX(30,$G$69*$B$78)/MAX($F$102:$F$120),0))</f>
        <v>2</v>
      </c>
      <c r="C72"/>
      <c r="D72"/>
      <c r="E72"/>
      <c r="F72"/>
      <c r="G72"/>
      <c r="H72"/>
      <c r="I72"/>
      <c r="J72"/>
      <c r="K72"/>
    </row>
    <row r="73" spans="1:13" s="425" customFormat="1" ht="14.4" x14ac:dyDescent="0.3">
      <c r="A73"/>
      <c r="B73"/>
      <c r="C73"/>
      <c r="D73"/>
      <c r="E73"/>
      <c r="F73"/>
      <c r="G73"/>
      <c r="H73"/>
      <c r="I73"/>
      <c r="J73"/>
      <c r="K73"/>
    </row>
    <row r="74" spans="1:13" s="425" customFormat="1" ht="14.4" x14ac:dyDescent="0.3">
      <c r="A74"/>
      <c r="B74"/>
      <c r="C74"/>
      <c r="D74"/>
      <c r="E74"/>
      <c r="F74"/>
      <c r="G74"/>
      <c r="H74"/>
      <c r="I74"/>
      <c r="J74"/>
      <c r="K74"/>
    </row>
    <row r="75" spans="1:13" s="425" customFormat="1" ht="15" customHeight="1" x14ac:dyDescent="0.3">
      <c r="A75" s="426" t="s">
        <v>493</v>
      </c>
      <c r="B75" s="427">
        <v>135</v>
      </c>
      <c r="C75" s="428" t="s">
        <v>494</v>
      </c>
      <c r="D75" s="428"/>
      <c r="E75" s="429"/>
      <c r="F75" s="429"/>
      <c r="G75"/>
      <c r="H75"/>
      <c r="I75"/>
      <c r="J75"/>
      <c r="K75"/>
    </row>
    <row r="76" spans="1:13" s="425" customFormat="1" ht="15" customHeight="1" x14ac:dyDescent="0.3">
      <c r="A76" s="429" t="s">
        <v>495</v>
      </c>
      <c r="B76" s="430">
        <v>0.6</v>
      </c>
      <c r="C76" s="428" t="s">
        <v>496</v>
      </c>
      <c r="D76" s="428"/>
      <c r="E76" s="431"/>
      <c r="F76" s="431"/>
      <c r="G76"/>
      <c r="H76"/>
      <c r="I76"/>
      <c r="J76"/>
      <c r="K76"/>
    </row>
    <row r="77" spans="1:13" s="425" customFormat="1" ht="14.4" x14ac:dyDescent="0.3">
      <c r="A77" s="432" t="s">
        <v>497</v>
      </c>
      <c r="B77" s="433">
        <v>8.2876999999999992</v>
      </c>
      <c r="C77" s="428" t="s">
        <v>496</v>
      </c>
      <c r="D77" s="428"/>
      <c r="E77" s="428"/>
      <c r="F77" s="428"/>
      <c r="G77"/>
      <c r="H77"/>
      <c r="I77"/>
      <c r="J77"/>
      <c r="K77"/>
    </row>
    <row r="78" spans="1:13" s="425" customFormat="1" ht="14.4" x14ac:dyDescent="0.3">
      <c r="A78" s="425" t="s">
        <v>498</v>
      </c>
      <c r="B78" s="434">
        <v>0.4</v>
      </c>
      <c r="C78" s="435" t="s">
        <v>499</v>
      </c>
      <c r="D78" s="435"/>
      <c r="E78" s="435"/>
      <c r="G78" s="435"/>
      <c r="H78" s="435"/>
    </row>
    <row r="79" spans="1:13" s="425" customFormat="1" ht="26.1" customHeight="1" x14ac:dyDescent="0.25">
      <c r="A79" s="916" t="s">
        <v>500</v>
      </c>
      <c r="B79" s="917"/>
      <c r="C79" s="917"/>
      <c r="D79" s="917"/>
      <c r="E79" s="917"/>
      <c r="F79" s="917"/>
      <c r="G79" s="917"/>
      <c r="H79" s="917"/>
      <c r="I79" s="917"/>
      <c r="J79" s="917"/>
      <c r="K79" s="917"/>
      <c r="L79" s="917"/>
    </row>
    <row r="80" spans="1:13" s="425" customFormat="1" ht="48.75" customHeight="1" x14ac:dyDescent="0.3">
      <c r="A80" s="436" t="s">
        <v>501</v>
      </c>
      <c r="B80" s="436" t="s">
        <v>502</v>
      </c>
      <c r="C80" s="436" t="s">
        <v>503</v>
      </c>
      <c r="D80" s="436"/>
      <c r="E80" s="436" t="s">
        <v>504</v>
      </c>
      <c r="F80" s="436" t="s">
        <v>505</v>
      </c>
      <c r="G80" s="436" t="s">
        <v>506</v>
      </c>
      <c r="H80" s="918" t="s">
        <v>507</v>
      </c>
      <c r="I80" s="919"/>
      <c r="J80" s="920" t="s">
        <v>508</v>
      </c>
      <c r="K80" s="920"/>
      <c r="L80" s="437" t="s">
        <v>509</v>
      </c>
      <c r="M80"/>
    </row>
    <row r="81" spans="1:12" s="425" customFormat="1" ht="18.75" customHeight="1" x14ac:dyDescent="0.25">
      <c r="A81" s="438" t="s">
        <v>510</v>
      </c>
      <c r="B81" s="439">
        <v>47.9</v>
      </c>
      <c r="C81" s="486">
        <f>$G$69/$B$72*($B$75-B81)*$B$77</f>
        <v>166547.95420106992</v>
      </c>
      <c r="D81" s="486"/>
      <c r="E81" s="440">
        <f t="shared" ref="E81:E96" si="2">C81*$B$76</f>
        <v>99928.772520641956</v>
      </c>
      <c r="F81" s="486">
        <f>_xlfn.LET(_xlpm.x,_xlfn.XLOOKUP(E81/$C$3,$A$102:$A$132,$A$102:$A$132,"",1),IF(_xlpm.x="",ROUNDUP(E81/$C$3,0),_xlpm.x))</f>
        <v>125000</v>
      </c>
      <c r="G81" s="486">
        <f>_xlfn.LET(_xlpm.v,MAX(30,$G$69/$B$72*$B$78),_xlpm.x,_xlfn.XLOOKUP(_xlpm.v,$F$102:$F$120,$F$102:$F$120,"",1),IF(_xlpm.x="",ROUNDUP(_xlpm.v,0),_xlpm.x))</f>
        <v>100</v>
      </c>
      <c r="H81" s="486">
        <f>(F81/800)+110*SQRT(G81)</f>
        <v>1256.25</v>
      </c>
      <c r="I81" s="440" t="s">
        <v>511</v>
      </c>
      <c r="J81" s="496">
        <f>H81/70</f>
        <v>17.946428571428573</v>
      </c>
      <c r="K81" s="441" t="s">
        <v>512</v>
      </c>
      <c r="L81" s="921" t="s">
        <v>513</v>
      </c>
    </row>
    <row r="82" spans="1:12" s="425" customFormat="1" ht="18.75" customHeight="1" x14ac:dyDescent="0.25">
      <c r="A82" s="438" t="s">
        <v>514</v>
      </c>
      <c r="B82" s="439">
        <v>50.8</v>
      </c>
      <c r="C82" s="486">
        <f t="shared" ref="C82:C96" si="3">$G$69/$B$72*($B$75-B82)*$B$77</f>
        <v>161002.72954913994</v>
      </c>
      <c r="D82" s="486"/>
      <c r="E82" s="440">
        <f t="shared" si="2"/>
        <v>96601.637729483962</v>
      </c>
      <c r="F82" s="486">
        <f t="shared" ref="F82:F96" si="4">_xlfn.LET(_xlpm.x,_xlfn.XLOOKUP(E82/$C$3,$A$102:$A$132,$A$102:$A$132,"",1),IF(_xlpm.x="",ROUNDUP(E82/$C$3,0),_xlpm.x))</f>
        <v>125000</v>
      </c>
      <c r="G82" s="486">
        <f t="shared" ref="G82:G96" si="5">_xlfn.LET(_xlpm.v,MAX(30,$G$69/$B$72*$B$78),_xlpm.x,_xlfn.XLOOKUP(_xlpm.v,$F$102:$F$120,$F$102:$F$120,"",1),IF(_xlpm.x="",ROUNDUP(_xlpm.v,0),_xlpm.x))</f>
        <v>100</v>
      </c>
      <c r="H82" s="486">
        <f t="shared" ref="H82:H96" si="6">(F82/800)+110*SQRT(G82)</f>
        <v>1256.25</v>
      </c>
      <c r="I82" s="440" t="s">
        <v>511</v>
      </c>
      <c r="J82" s="496">
        <f t="shared" ref="J82:J96" si="7">H82/70</f>
        <v>17.946428571428573</v>
      </c>
      <c r="K82" s="441" t="s">
        <v>512</v>
      </c>
      <c r="L82" s="922"/>
    </row>
    <row r="83" spans="1:12" s="425" customFormat="1" ht="18.75" customHeight="1" x14ac:dyDescent="0.25">
      <c r="A83" s="438" t="s">
        <v>515</v>
      </c>
      <c r="B83" s="439">
        <v>52.2</v>
      </c>
      <c r="C83" s="486">
        <f t="shared" si="3"/>
        <v>158325.7245447599</v>
      </c>
      <c r="D83" s="486"/>
      <c r="E83" s="440">
        <f t="shared" si="2"/>
        <v>94995.434726855936</v>
      </c>
      <c r="F83" s="486">
        <f t="shared" si="4"/>
        <v>120000</v>
      </c>
      <c r="G83" s="486">
        <f t="shared" si="5"/>
        <v>100</v>
      </c>
      <c r="H83" s="486">
        <f t="shared" si="6"/>
        <v>1250</v>
      </c>
      <c r="I83" s="440" t="s">
        <v>511</v>
      </c>
      <c r="J83" s="496">
        <f t="shared" si="7"/>
        <v>17.857142857142858</v>
      </c>
      <c r="K83" s="441" t="s">
        <v>512</v>
      </c>
      <c r="L83" s="922"/>
    </row>
    <row r="84" spans="1:12" s="425" customFormat="1" ht="18.75" customHeight="1" x14ac:dyDescent="0.25">
      <c r="A84" s="438" t="s">
        <v>516</v>
      </c>
      <c r="B84" s="439">
        <v>52.7</v>
      </c>
      <c r="C84" s="486">
        <f t="shared" si="3"/>
        <v>157369.65132890991</v>
      </c>
      <c r="D84" s="486"/>
      <c r="E84" s="440">
        <f t="shared" si="2"/>
        <v>94421.790797345937</v>
      </c>
      <c r="F84" s="486">
        <f t="shared" si="4"/>
        <v>120000</v>
      </c>
      <c r="G84" s="486">
        <f t="shared" si="5"/>
        <v>100</v>
      </c>
      <c r="H84" s="486">
        <f t="shared" si="6"/>
        <v>1250</v>
      </c>
      <c r="I84" s="440" t="s">
        <v>511</v>
      </c>
      <c r="J84" s="496">
        <f t="shared" si="7"/>
        <v>17.857142857142858</v>
      </c>
      <c r="K84" s="441" t="s">
        <v>512</v>
      </c>
      <c r="L84" s="922"/>
    </row>
    <row r="85" spans="1:12" s="425" customFormat="1" ht="18.75" customHeight="1" x14ac:dyDescent="0.25">
      <c r="A85" s="438" t="s">
        <v>517</v>
      </c>
      <c r="B85" s="439">
        <v>51.6</v>
      </c>
      <c r="C85" s="486">
        <f t="shared" si="3"/>
        <v>159473.01240377995</v>
      </c>
      <c r="D85" s="486"/>
      <c r="E85" s="440">
        <f t="shared" si="2"/>
        <v>95683.807442267964</v>
      </c>
      <c r="F85" s="486">
        <f t="shared" si="4"/>
        <v>120000</v>
      </c>
      <c r="G85" s="486">
        <f t="shared" si="5"/>
        <v>100</v>
      </c>
      <c r="H85" s="486">
        <f t="shared" si="6"/>
        <v>1250</v>
      </c>
      <c r="I85" s="440" t="s">
        <v>511</v>
      </c>
      <c r="J85" s="496">
        <f t="shared" si="7"/>
        <v>17.857142857142858</v>
      </c>
      <c r="K85" s="441" t="s">
        <v>512</v>
      </c>
      <c r="L85" s="922"/>
    </row>
    <row r="86" spans="1:12" s="425" customFormat="1" ht="18.75" customHeight="1" x14ac:dyDescent="0.25">
      <c r="A86" s="438" t="s">
        <v>518</v>
      </c>
      <c r="B86" s="439">
        <v>56.8</v>
      </c>
      <c r="C86" s="486">
        <f t="shared" si="3"/>
        <v>149529.85095893993</v>
      </c>
      <c r="D86" s="486"/>
      <c r="E86" s="440">
        <f t="shared" si="2"/>
        <v>89717.91057536396</v>
      </c>
      <c r="F86" s="486">
        <f t="shared" si="4"/>
        <v>120000</v>
      </c>
      <c r="G86" s="486">
        <f t="shared" si="5"/>
        <v>100</v>
      </c>
      <c r="H86" s="486">
        <f t="shared" si="6"/>
        <v>1250</v>
      </c>
      <c r="I86" s="440" t="s">
        <v>511</v>
      </c>
      <c r="J86" s="496">
        <f t="shared" si="7"/>
        <v>17.857142857142858</v>
      </c>
      <c r="K86" s="441" t="s">
        <v>512</v>
      </c>
      <c r="L86" s="922"/>
    </row>
    <row r="87" spans="1:12" s="425" customFormat="1" ht="18.75" customHeight="1" x14ac:dyDescent="0.25">
      <c r="A87" s="438" t="s">
        <v>519</v>
      </c>
      <c r="B87" s="439">
        <v>58.4</v>
      </c>
      <c r="C87" s="486">
        <f t="shared" si="3"/>
        <v>146470.4166682199</v>
      </c>
      <c r="D87" s="486"/>
      <c r="E87" s="440">
        <f t="shared" si="2"/>
        <v>87882.250000931934</v>
      </c>
      <c r="F87" s="486">
        <f t="shared" si="4"/>
        <v>120000</v>
      </c>
      <c r="G87" s="486">
        <f t="shared" si="5"/>
        <v>100</v>
      </c>
      <c r="H87" s="486">
        <f t="shared" si="6"/>
        <v>1250</v>
      </c>
      <c r="I87" s="440" t="s">
        <v>511</v>
      </c>
      <c r="J87" s="496">
        <f t="shared" si="7"/>
        <v>17.857142857142858</v>
      </c>
      <c r="K87" s="441" t="s">
        <v>512</v>
      </c>
      <c r="L87" s="922"/>
    </row>
    <row r="88" spans="1:12" s="425" customFormat="1" ht="18.75" customHeight="1" x14ac:dyDescent="0.25">
      <c r="A88" s="438" t="s">
        <v>520</v>
      </c>
      <c r="B88" s="439">
        <v>58.4</v>
      </c>
      <c r="C88" s="486">
        <f t="shared" si="3"/>
        <v>146470.4166682199</v>
      </c>
      <c r="D88" s="486"/>
      <c r="E88" s="440">
        <f t="shared" si="2"/>
        <v>87882.250000931934</v>
      </c>
      <c r="F88" s="486">
        <f t="shared" si="4"/>
        <v>120000</v>
      </c>
      <c r="G88" s="486">
        <f t="shared" si="5"/>
        <v>100</v>
      </c>
      <c r="H88" s="486">
        <f t="shared" si="6"/>
        <v>1250</v>
      </c>
      <c r="I88" s="440" t="s">
        <v>511</v>
      </c>
      <c r="J88" s="496">
        <f t="shared" si="7"/>
        <v>17.857142857142858</v>
      </c>
      <c r="K88" s="441" t="s">
        <v>512</v>
      </c>
      <c r="L88" s="922"/>
    </row>
    <row r="89" spans="1:12" s="425" customFormat="1" ht="18.75" customHeight="1" x14ac:dyDescent="0.25">
      <c r="A89" s="438" t="s">
        <v>521</v>
      </c>
      <c r="B89" s="439">
        <v>57.6</v>
      </c>
      <c r="C89" s="486">
        <f t="shared" si="3"/>
        <v>148000.13381357995</v>
      </c>
      <c r="D89" s="486"/>
      <c r="E89" s="440">
        <f t="shared" si="2"/>
        <v>88800.080288147961</v>
      </c>
      <c r="F89" s="486">
        <f t="shared" si="4"/>
        <v>120000</v>
      </c>
      <c r="G89" s="486">
        <f t="shared" si="5"/>
        <v>100</v>
      </c>
      <c r="H89" s="486">
        <f t="shared" si="6"/>
        <v>1250</v>
      </c>
      <c r="I89" s="440" t="s">
        <v>511</v>
      </c>
      <c r="J89" s="496">
        <f t="shared" si="7"/>
        <v>17.857142857142858</v>
      </c>
      <c r="K89" s="441" t="s">
        <v>512</v>
      </c>
      <c r="L89" s="922"/>
    </row>
    <row r="90" spans="1:12" s="425" customFormat="1" ht="18.75" customHeight="1" x14ac:dyDescent="0.25">
      <c r="A90" s="438" t="s">
        <v>257</v>
      </c>
      <c r="B90" s="439">
        <v>57.1</v>
      </c>
      <c r="C90" s="486">
        <f t="shared" si="3"/>
        <v>148956.20702942996</v>
      </c>
      <c r="D90" s="486"/>
      <c r="E90" s="440">
        <f t="shared" si="2"/>
        <v>89373.724217657975</v>
      </c>
      <c r="F90" s="486">
        <f t="shared" si="4"/>
        <v>120000</v>
      </c>
      <c r="G90" s="486">
        <f t="shared" si="5"/>
        <v>100</v>
      </c>
      <c r="H90" s="486">
        <f t="shared" si="6"/>
        <v>1250</v>
      </c>
      <c r="I90" s="440" t="s">
        <v>511</v>
      </c>
      <c r="J90" s="496">
        <f t="shared" si="7"/>
        <v>17.857142857142858</v>
      </c>
      <c r="K90" s="441" t="s">
        <v>512</v>
      </c>
      <c r="L90" s="922"/>
    </row>
    <row r="91" spans="1:12" s="425" customFormat="1" ht="18.75" customHeight="1" x14ac:dyDescent="0.25">
      <c r="A91" s="438" t="s">
        <v>258</v>
      </c>
      <c r="B91" s="439">
        <v>50.5</v>
      </c>
      <c r="C91" s="486">
        <f t="shared" si="3"/>
        <v>161576.37347864994</v>
      </c>
      <c r="D91" s="486"/>
      <c r="E91" s="440">
        <f t="shared" si="2"/>
        <v>96945.824087189962</v>
      </c>
      <c r="F91" s="486">
        <f t="shared" si="4"/>
        <v>125000</v>
      </c>
      <c r="G91" s="486">
        <f t="shared" si="5"/>
        <v>100</v>
      </c>
      <c r="H91" s="486">
        <f t="shared" si="6"/>
        <v>1256.25</v>
      </c>
      <c r="I91" s="440" t="s">
        <v>511</v>
      </c>
      <c r="J91" s="496">
        <f t="shared" si="7"/>
        <v>17.946428571428573</v>
      </c>
      <c r="K91" s="441" t="s">
        <v>512</v>
      </c>
      <c r="L91" s="922"/>
    </row>
    <row r="92" spans="1:12" s="425" customFormat="1" ht="18.75" customHeight="1" x14ac:dyDescent="0.25">
      <c r="A92" s="438" t="s">
        <v>259</v>
      </c>
      <c r="B92" s="439">
        <v>51.4</v>
      </c>
      <c r="C92" s="486">
        <f t="shared" si="3"/>
        <v>159855.44169011994</v>
      </c>
      <c r="D92" s="486"/>
      <c r="E92" s="440">
        <f t="shared" si="2"/>
        <v>95913.265014071963</v>
      </c>
      <c r="F92" s="486">
        <f t="shared" si="4"/>
        <v>120000</v>
      </c>
      <c r="G92" s="486">
        <f t="shared" si="5"/>
        <v>100</v>
      </c>
      <c r="H92" s="486">
        <f t="shared" si="6"/>
        <v>1250</v>
      </c>
      <c r="I92" s="440" t="s">
        <v>511</v>
      </c>
      <c r="J92" s="496">
        <f t="shared" si="7"/>
        <v>17.857142857142858</v>
      </c>
      <c r="K92" s="441" t="s">
        <v>512</v>
      </c>
      <c r="L92" s="922"/>
    </row>
    <row r="93" spans="1:12" s="425" customFormat="1" ht="18.75" customHeight="1" x14ac:dyDescent="0.25">
      <c r="A93" s="438" t="s">
        <v>260</v>
      </c>
      <c r="B93" s="439">
        <v>51.7</v>
      </c>
      <c r="C93" s="486">
        <f t="shared" si="3"/>
        <v>159281.79776060994</v>
      </c>
      <c r="D93" s="486"/>
      <c r="E93" s="440">
        <f t="shared" si="2"/>
        <v>95569.078656365964</v>
      </c>
      <c r="F93" s="486">
        <f t="shared" si="4"/>
        <v>120000</v>
      </c>
      <c r="G93" s="486">
        <f t="shared" si="5"/>
        <v>100</v>
      </c>
      <c r="H93" s="486">
        <f t="shared" si="6"/>
        <v>1250</v>
      </c>
      <c r="I93" s="440" t="s">
        <v>511</v>
      </c>
      <c r="J93" s="496">
        <f t="shared" si="7"/>
        <v>17.857142857142858</v>
      </c>
      <c r="K93" s="441" t="s">
        <v>512</v>
      </c>
      <c r="L93" s="922"/>
    </row>
    <row r="94" spans="1:12" s="425" customFormat="1" ht="18.75" customHeight="1" x14ac:dyDescent="0.25">
      <c r="A94" s="438" t="s">
        <v>261</v>
      </c>
      <c r="B94" s="439">
        <v>50.1</v>
      </c>
      <c r="C94" s="486">
        <f t="shared" si="3"/>
        <v>162341.23205132995</v>
      </c>
      <c r="D94" s="486"/>
      <c r="E94" s="440">
        <f t="shared" si="2"/>
        <v>97404.739230797961</v>
      </c>
      <c r="F94" s="486">
        <f t="shared" si="4"/>
        <v>125000</v>
      </c>
      <c r="G94" s="486">
        <f t="shared" si="5"/>
        <v>100</v>
      </c>
      <c r="H94" s="486">
        <f t="shared" si="6"/>
        <v>1256.25</v>
      </c>
      <c r="I94" s="440" t="s">
        <v>511</v>
      </c>
      <c r="J94" s="496">
        <f t="shared" si="7"/>
        <v>17.946428571428573</v>
      </c>
      <c r="K94" s="441" t="s">
        <v>512</v>
      </c>
      <c r="L94" s="922"/>
    </row>
    <row r="95" spans="1:12" s="425" customFormat="1" ht="18.75" customHeight="1" x14ac:dyDescent="0.25">
      <c r="A95" s="438" t="s">
        <v>262</v>
      </c>
      <c r="B95" s="439">
        <v>63.2</v>
      </c>
      <c r="C95" s="486">
        <f t="shared" si="3"/>
        <v>137292.11379605994</v>
      </c>
      <c r="D95" s="486"/>
      <c r="E95" s="440">
        <f t="shared" si="2"/>
        <v>82375.268277635958</v>
      </c>
      <c r="F95" s="486">
        <f t="shared" si="4"/>
        <v>120000</v>
      </c>
      <c r="G95" s="486">
        <f t="shared" si="5"/>
        <v>100</v>
      </c>
      <c r="H95" s="486">
        <f t="shared" si="6"/>
        <v>1250</v>
      </c>
      <c r="I95" s="440" t="s">
        <v>511</v>
      </c>
      <c r="J95" s="496">
        <f t="shared" si="7"/>
        <v>17.857142857142858</v>
      </c>
      <c r="K95" s="441" t="s">
        <v>512</v>
      </c>
      <c r="L95" s="922"/>
    </row>
    <row r="96" spans="1:12" s="425" customFormat="1" ht="18.75" customHeight="1" x14ac:dyDescent="0.25">
      <c r="A96" s="438" t="s">
        <v>263</v>
      </c>
      <c r="B96" s="439">
        <v>41.4</v>
      </c>
      <c r="C96" s="486">
        <f t="shared" si="3"/>
        <v>178976.90600711992</v>
      </c>
      <c r="D96" s="486"/>
      <c r="E96" s="440">
        <f t="shared" si="2"/>
        <v>107386.14360427194</v>
      </c>
      <c r="F96" s="486">
        <f t="shared" si="4"/>
        <v>145000</v>
      </c>
      <c r="G96" s="486">
        <f t="shared" si="5"/>
        <v>100</v>
      </c>
      <c r="H96" s="486">
        <f t="shared" si="6"/>
        <v>1281.25</v>
      </c>
      <c r="I96" s="440" t="s">
        <v>511</v>
      </c>
      <c r="J96" s="496">
        <f t="shared" si="7"/>
        <v>18.303571428571427</v>
      </c>
      <c r="K96" s="441" t="s">
        <v>512</v>
      </c>
      <c r="L96" s="923"/>
    </row>
    <row r="97" spans="1:10" s="425" customFormat="1" ht="14.4" x14ac:dyDescent="0.3">
      <c r="C97" s="435"/>
      <c r="D97" s="435"/>
      <c r="E97" s="435"/>
      <c r="G97" s="435"/>
      <c r="H97" s="435"/>
    </row>
    <row r="98" spans="1:10" s="425" customFormat="1" ht="14.4" x14ac:dyDescent="0.3">
      <c r="C98" s="435"/>
      <c r="D98" s="435"/>
      <c r="E98" s="435"/>
      <c r="G98" s="435"/>
      <c r="H98" s="435"/>
    </row>
    <row r="99" spans="1:10" s="425" customFormat="1" ht="14.4" x14ac:dyDescent="0.3">
      <c r="C99" s="435"/>
      <c r="D99" s="435"/>
      <c r="E99" s="435"/>
      <c r="G99" s="435"/>
      <c r="H99" s="435"/>
    </row>
    <row r="100" spans="1:10" s="425" customFormat="1" ht="24.75" customHeight="1" x14ac:dyDescent="0.25">
      <c r="A100" s="904" t="s">
        <v>522</v>
      </c>
      <c r="B100" s="905"/>
      <c r="C100" s="818"/>
      <c r="D100" s="818"/>
      <c r="E100" s="818"/>
      <c r="F100" s="818"/>
      <c r="G100" s="818"/>
      <c r="H100" s="818"/>
      <c r="I100" s="818"/>
    </row>
    <row r="101" spans="1:10" s="443" customFormat="1" ht="23.25" customHeight="1" x14ac:dyDescent="0.25">
      <c r="A101" s="480" t="s">
        <v>523</v>
      </c>
      <c r="B101" s="490" t="s">
        <v>524</v>
      </c>
      <c r="C101" s="491" t="s">
        <v>525</v>
      </c>
      <c r="D101" s="492"/>
      <c r="E101" s="492" t="s">
        <v>526</v>
      </c>
      <c r="F101" s="493" t="s">
        <v>527</v>
      </c>
      <c r="G101" s="492" t="s">
        <v>528</v>
      </c>
      <c r="H101" s="494" t="s">
        <v>529</v>
      </c>
      <c r="I101" s="495" t="s">
        <v>530</v>
      </c>
      <c r="J101" s="442" t="str">
        <f>HYPERLINK("#'Note'!A1","Sources and links → Note tab")</f>
        <v>Sources and links → Note tab</v>
      </c>
    </row>
    <row r="102" spans="1:10" s="425" customFormat="1" ht="13.8" x14ac:dyDescent="0.25">
      <c r="A102" s="627">
        <v>60000</v>
      </c>
      <c r="B102" s="481" t="s">
        <v>531</v>
      </c>
      <c r="C102" s="633">
        <v>1.5</v>
      </c>
      <c r="D102" s="634"/>
      <c r="E102" s="635">
        <v>5118</v>
      </c>
      <c r="F102" s="634">
        <v>34</v>
      </c>
      <c r="G102" s="634" t="s">
        <v>532</v>
      </c>
      <c r="H102" s="634">
        <v>6</v>
      </c>
      <c r="I102" s="636" t="s">
        <v>531</v>
      </c>
    </row>
    <row r="103" spans="1:10" s="425" customFormat="1" ht="13.8" x14ac:dyDescent="0.25">
      <c r="A103" s="628">
        <v>75100</v>
      </c>
      <c r="B103" s="482" t="s">
        <v>531</v>
      </c>
      <c r="C103" s="637">
        <v>2</v>
      </c>
      <c r="D103" s="631"/>
      <c r="E103" s="485">
        <v>6824</v>
      </c>
      <c r="F103" s="631">
        <v>35</v>
      </c>
      <c r="G103" s="631" t="s">
        <v>531</v>
      </c>
      <c r="H103" s="631">
        <v>10</v>
      </c>
      <c r="I103" s="638" t="s">
        <v>531</v>
      </c>
    </row>
    <row r="104" spans="1:10" s="425" customFormat="1" ht="13.8" x14ac:dyDescent="0.25">
      <c r="A104" s="628">
        <v>76000</v>
      </c>
      <c r="B104" s="482" t="s">
        <v>533</v>
      </c>
      <c r="C104" s="637">
        <v>3</v>
      </c>
      <c r="D104" s="631"/>
      <c r="E104" s="485">
        <v>10236</v>
      </c>
      <c r="F104" s="631">
        <v>48</v>
      </c>
      <c r="G104" s="631" t="s">
        <v>531</v>
      </c>
      <c r="H104" s="631">
        <v>15</v>
      </c>
      <c r="I104" s="638" t="s">
        <v>531</v>
      </c>
    </row>
    <row r="105" spans="1:10" s="425" customFormat="1" ht="13.8" x14ac:dyDescent="0.25">
      <c r="A105" s="628">
        <v>80000</v>
      </c>
      <c r="B105" s="482" t="s">
        <v>531</v>
      </c>
      <c r="C105" s="637">
        <v>4.5</v>
      </c>
      <c r="D105" s="631"/>
      <c r="E105" s="485">
        <v>15355</v>
      </c>
      <c r="F105" s="631">
        <v>50</v>
      </c>
      <c r="G105" s="631" t="s">
        <v>533</v>
      </c>
      <c r="H105" s="631">
        <v>20</v>
      </c>
      <c r="I105" s="638" t="s">
        <v>531</v>
      </c>
    </row>
    <row r="106" spans="1:10" s="425" customFormat="1" ht="13.8" x14ac:dyDescent="0.25">
      <c r="A106" s="628">
        <v>99900</v>
      </c>
      <c r="B106" s="482" t="s">
        <v>532</v>
      </c>
      <c r="C106" s="637">
        <v>6</v>
      </c>
      <c r="D106" s="631"/>
      <c r="E106" s="485">
        <v>20473</v>
      </c>
      <c r="F106" s="631">
        <v>55</v>
      </c>
      <c r="G106" s="631" t="s">
        <v>532</v>
      </c>
      <c r="H106" s="631">
        <v>28</v>
      </c>
      <c r="I106" s="638" t="s">
        <v>531</v>
      </c>
    </row>
    <row r="107" spans="1:10" s="425" customFormat="1" ht="13.8" x14ac:dyDescent="0.25">
      <c r="A107" s="628">
        <v>100000</v>
      </c>
      <c r="B107" s="482" t="s">
        <v>533</v>
      </c>
      <c r="C107" s="637">
        <v>8</v>
      </c>
      <c r="D107" s="631"/>
      <c r="E107" s="485">
        <v>27297</v>
      </c>
      <c r="F107" s="631">
        <v>60</v>
      </c>
      <c r="G107" s="631" t="s">
        <v>532</v>
      </c>
      <c r="H107" s="631">
        <v>30</v>
      </c>
      <c r="I107" s="638" t="s">
        <v>531</v>
      </c>
    </row>
    <row r="108" spans="1:10" s="425" customFormat="1" ht="13.8" x14ac:dyDescent="0.25">
      <c r="A108" s="628">
        <v>120000</v>
      </c>
      <c r="B108" s="482" t="s">
        <v>532</v>
      </c>
      <c r="C108" s="637">
        <v>9</v>
      </c>
      <c r="D108" s="631"/>
      <c r="E108" s="485">
        <v>30709</v>
      </c>
      <c r="F108" s="631">
        <v>65</v>
      </c>
      <c r="G108" s="631" t="s">
        <v>533</v>
      </c>
      <c r="H108" s="631">
        <v>36</v>
      </c>
      <c r="I108" s="638" t="s">
        <v>531</v>
      </c>
    </row>
    <row r="109" spans="1:10" s="425" customFormat="1" ht="13.8" x14ac:dyDescent="0.25">
      <c r="A109" s="628">
        <v>125000</v>
      </c>
      <c r="B109" s="482" t="s">
        <v>533</v>
      </c>
      <c r="C109" s="637">
        <v>10</v>
      </c>
      <c r="D109" s="631"/>
      <c r="E109" s="631">
        <v>34121</v>
      </c>
      <c r="F109" s="631">
        <v>72</v>
      </c>
      <c r="G109" s="631" t="s">
        <v>531</v>
      </c>
      <c r="H109" s="631">
        <v>40</v>
      </c>
      <c r="I109" s="638" t="s">
        <v>531</v>
      </c>
    </row>
    <row r="110" spans="1:10" s="425" customFormat="1" ht="13.8" x14ac:dyDescent="0.25">
      <c r="A110" s="628">
        <v>130000</v>
      </c>
      <c r="B110" s="482" t="s">
        <v>533</v>
      </c>
      <c r="C110" s="637">
        <v>12</v>
      </c>
      <c r="D110" s="631"/>
      <c r="E110" s="631">
        <v>40946</v>
      </c>
      <c r="F110" s="631">
        <v>75</v>
      </c>
      <c r="G110" s="631" t="s">
        <v>533</v>
      </c>
      <c r="H110" s="631">
        <v>47</v>
      </c>
      <c r="I110" s="638"/>
    </row>
    <row r="111" spans="1:10" s="425" customFormat="1" ht="13.8" x14ac:dyDescent="0.25">
      <c r="A111" s="628">
        <v>145000</v>
      </c>
      <c r="B111" s="482" t="s">
        <v>532</v>
      </c>
      <c r="C111" s="637">
        <v>12.1</v>
      </c>
      <c r="D111" s="631"/>
      <c r="E111" s="631">
        <v>41287</v>
      </c>
      <c r="F111" s="631">
        <v>76</v>
      </c>
      <c r="G111" s="631" t="s">
        <v>531</v>
      </c>
      <c r="H111" s="631">
        <v>50</v>
      </c>
      <c r="I111" s="638"/>
    </row>
    <row r="112" spans="1:10" s="425" customFormat="1" ht="13.8" x14ac:dyDescent="0.25">
      <c r="A112" s="628">
        <v>150000</v>
      </c>
      <c r="B112" s="482" t="s">
        <v>532</v>
      </c>
      <c r="C112" s="637">
        <v>18</v>
      </c>
      <c r="D112" s="631"/>
      <c r="E112" s="631">
        <v>61419</v>
      </c>
      <c r="F112" s="631">
        <v>80</v>
      </c>
      <c r="G112" s="631" t="s">
        <v>533</v>
      </c>
      <c r="H112" s="631">
        <v>65</v>
      </c>
      <c r="I112" s="638"/>
    </row>
    <row r="113" spans="1:9" s="425" customFormat="1" x14ac:dyDescent="0.25">
      <c r="A113" s="628">
        <v>156000</v>
      </c>
      <c r="B113" s="483" t="s">
        <v>531</v>
      </c>
      <c r="C113" s="637">
        <v>24</v>
      </c>
      <c r="D113" s="631"/>
      <c r="E113" s="631">
        <v>81891</v>
      </c>
      <c r="F113" s="631">
        <v>82</v>
      </c>
      <c r="G113" s="631" t="s">
        <v>531</v>
      </c>
      <c r="H113" s="631">
        <v>80</v>
      </c>
      <c r="I113" s="638"/>
    </row>
    <row r="114" spans="1:9" s="425" customFormat="1" x14ac:dyDescent="0.25">
      <c r="A114" s="628">
        <v>160000</v>
      </c>
      <c r="B114" s="483" t="s">
        <v>533</v>
      </c>
      <c r="C114" s="637">
        <v>27</v>
      </c>
      <c r="D114" s="631"/>
      <c r="E114" s="631">
        <v>92128</v>
      </c>
      <c r="F114" s="631">
        <v>85</v>
      </c>
      <c r="G114" s="631" t="s">
        <v>531</v>
      </c>
      <c r="H114" s="631">
        <v>85</v>
      </c>
      <c r="I114" s="638"/>
    </row>
    <row r="115" spans="1:9" s="425" customFormat="1" x14ac:dyDescent="0.25">
      <c r="A115" s="628">
        <v>175000</v>
      </c>
      <c r="B115" s="483" t="s">
        <v>532</v>
      </c>
      <c r="C115" s="637">
        <v>36</v>
      </c>
      <c r="D115" s="631"/>
      <c r="E115" s="631">
        <v>122837</v>
      </c>
      <c r="F115" s="631">
        <v>90</v>
      </c>
      <c r="G115" s="631" t="s">
        <v>533</v>
      </c>
      <c r="H115" s="631">
        <v>105</v>
      </c>
      <c r="I115" s="638"/>
    </row>
    <row r="116" spans="1:9" s="425" customFormat="1" x14ac:dyDescent="0.25">
      <c r="A116" s="628">
        <v>180000</v>
      </c>
      <c r="B116" s="483" t="s">
        <v>531</v>
      </c>
      <c r="C116" s="637">
        <v>54</v>
      </c>
      <c r="D116" s="631"/>
      <c r="E116" s="631">
        <v>184256</v>
      </c>
      <c r="F116" s="631">
        <v>91</v>
      </c>
      <c r="G116" s="631" t="s">
        <v>531</v>
      </c>
      <c r="H116" s="631">
        <v>120</v>
      </c>
      <c r="I116" s="638"/>
    </row>
    <row r="117" spans="1:9" s="425" customFormat="1" x14ac:dyDescent="0.25">
      <c r="A117" s="628">
        <v>199000</v>
      </c>
      <c r="B117" s="483" t="s">
        <v>532</v>
      </c>
      <c r="C117" s="637"/>
      <c r="D117" s="631"/>
      <c r="E117" s="631"/>
      <c r="F117" s="631">
        <v>100</v>
      </c>
      <c r="G117" s="631" t="s">
        <v>533</v>
      </c>
      <c r="H117" s="631"/>
      <c r="I117" s="638"/>
    </row>
    <row r="118" spans="1:9" s="425" customFormat="1" x14ac:dyDescent="0.25">
      <c r="A118" s="628">
        <v>199900</v>
      </c>
      <c r="B118" s="483" t="s">
        <v>533</v>
      </c>
      <c r="C118" s="637"/>
      <c r="D118" s="631"/>
      <c r="E118" s="631"/>
      <c r="F118" s="631">
        <v>110</v>
      </c>
      <c r="G118" s="631" t="s">
        <v>532</v>
      </c>
      <c r="H118" s="631"/>
      <c r="I118" s="638"/>
    </row>
    <row r="119" spans="1:9" s="425" customFormat="1" x14ac:dyDescent="0.25">
      <c r="A119" s="628">
        <v>200000</v>
      </c>
      <c r="B119" s="632" t="s">
        <v>532</v>
      </c>
      <c r="C119" s="637"/>
      <c r="D119" s="631"/>
      <c r="E119" s="631"/>
      <c r="F119" s="631">
        <v>119</v>
      </c>
      <c r="G119" s="631" t="s">
        <v>533</v>
      </c>
      <c r="H119" s="631"/>
      <c r="I119" s="638"/>
    </row>
    <row r="120" spans="1:9" s="425" customFormat="1" x14ac:dyDescent="0.25">
      <c r="A120" s="628">
        <v>250000</v>
      </c>
      <c r="B120" s="483" t="s">
        <v>533</v>
      </c>
      <c r="C120" s="639"/>
      <c r="D120" s="640"/>
      <c r="E120" s="640"/>
      <c r="F120" s="640">
        <v>125</v>
      </c>
      <c r="G120" s="640" t="s">
        <v>532</v>
      </c>
      <c r="H120" s="640"/>
      <c r="I120" s="641"/>
    </row>
    <row r="121" spans="1:9" s="425" customFormat="1" ht="14.4" x14ac:dyDescent="0.25">
      <c r="A121" s="628">
        <v>251000</v>
      </c>
      <c r="B121" s="483" t="s">
        <v>532</v>
      </c>
      <c r="C121" s="445"/>
      <c r="D121" s="445"/>
      <c r="E121" s="445"/>
      <c r="F121" s="446"/>
      <c r="G121" s="445"/>
      <c r="H121" s="445"/>
    </row>
    <row r="122" spans="1:9" s="425" customFormat="1" ht="14.4" x14ac:dyDescent="0.25">
      <c r="A122" s="628">
        <v>270000</v>
      </c>
      <c r="B122" s="484" t="s">
        <v>531</v>
      </c>
      <c r="C122" s="445"/>
      <c r="D122" s="445"/>
      <c r="E122" s="445"/>
      <c r="F122" s="446"/>
      <c r="G122" s="445"/>
      <c r="H122" s="445"/>
    </row>
    <row r="123" spans="1:9" s="425" customFormat="1" ht="14.4" x14ac:dyDescent="0.25">
      <c r="A123" s="628">
        <v>285000</v>
      </c>
      <c r="B123" s="484" t="s">
        <v>532</v>
      </c>
      <c r="C123" s="445"/>
      <c r="D123" s="445"/>
      <c r="E123" s="445"/>
      <c r="F123" s="446"/>
      <c r="G123" s="445"/>
      <c r="H123" s="445"/>
    </row>
    <row r="124" spans="1:9" s="425" customFormat="1" ht="14.4" x14ac:dyDescent="0.25">
      <c r="A124" s="628">
        <v>300000</v>
      </c>
      <c r="B124" s="484" t="s">
        <v>533</v>
      </c>
      <c r="C124" s="445"/>
      <c r="D124" s="445"/>
      <c r="E124" s="445"/>
      <c r="F124" s="446"/>
      <c r="G124" s="445"/>
      <c r="H124" s="445"/>
    </row>
    <row r="125" spans="1:9" s="425" customFormat="1" ht="14.4" x14ac:dyDescent="0.25">
      <c r="A125" s="628">
        <v>320000</v>
      </c>
      <c r="B125" s="484" t="s">
        <v>532</v>
      </c>
      <c r="C125" s="445"/>
      <c r="D125" s="445"/>
      <c r="E125" s="445"/>
      <c r="F125" s="446"/>
      <c r="G125" s="445"/>
      <c r="H125" s="445"/>
    </row>
    <row r="126" spans="1:9" s="425" customFormat="1" ht="14.4" x14ac:dyDescent="0.25">
      <c r="A126" s="628">
        <v>360000</v>
      </c>
      <c r="B126" s="484" t="s">
        <v>531</v>
      </c>
      <c r="C126" s="445"/>
      <c r="D126" s="445"/>
      <c r="E126" s="445"/>
      <c r="F126" s="446"/>
      <c r="G126" s="445"/>
      <c r="H126" s="445"/>
    </row>
    <row r="127" spans="1:9" s="425" customFormat="1" ht="14.4" x14ac:dyDescent="0.25">
      <c r="A127" s="628">
        <v>398000</v>
      </c>
      <c r="B127" s="484" t="s">
        <v>532</v>
      </c>
      <c r="C127" s="445"/>
      <c r="D127" s="445"/>
      <c r="E127" s="445"/>
      <c r="F127" s="446"/>
      <c r="G127" s="445"/>
      <c r="H127" s="445"/>
    </row>
    <row r="128" spans="1:9" s="425" customFormat="1" ht="14.4" x14ac:dyDescent="0.25">
      <c r="A128" s="628">
        <v>399000</v>
      </c>
      <c r="B128" s="484" t="s">
        <v>532</v>
      </c>
      <c r="C128" s="445"/>
      <c r="D128" s="445"/>
      <c r="E128" s="445"/>
      <c r="F128" s="446"/>
      <c r="G128" s="445"/>
      <c r="H128" s="445"/>
    </row>
    <row r="129" spans="1:10" s="425" customFormat="1" ht="14.4" x14ac:dyDescent="0.25">
      <c r="A129" s="628">
        <v>399900</v>
      </c>
      <c r="B129" s="484" t="s">
        <v>533</v>
      </c>
      <c r="C129" s="445"/>
      <c r="D129" s="445"/>
      <c r="E129" s="445"/>
      <c r="F129" s="446"/>
      <c r="G129" s="445"/>
      <c r="H129" s="445"/>
    </row>
    <row r="130" spans="1:10" s="425" customFormat="1" ht="14.4" x14ac:dyDescent="0.25">
      <c r="A130" s="628">
        <v>499900</v>
      </c>
      <c r="B130" s="484" t="s">
        <v>531</v>
      </c>
      <c r="C130" s="445"/>
      <c r="D130" s="445"/>
      <c r="E130" s="445"/>
      <c r="F130" s="446"/>
      <c r="G130" s="445"/>
      <c r="H130" s="445"/>
    </row>
    <row r="131" spans="1:10" s="425" customFormat="1" ht="14.4" x14ac:dyDescent="0.25">
      <c r="A131" s="628">
        <v>550000</v>
      </c>
      <c r="B131" s="484" t="s">
        <v>531</v>
      </c>
      <c r="C131" s="445"/>
      <c r="D131" s="445"/>
      <c r="E131" s="445"/>
      <c r="F131" s="446"/>
      <c r="G131" s="445"/>
      <c r="H131" s="445"/>
    </row>
    <row r="132" spans="1:10" s="425" customFormat="1" ht="14.4" x14ac:dyDescent="0.25">
      <c r="A132" s="628">
        <v>715000</v>
      </c>
      <c r="B132" s="484" t="s">
        <v>531</v>
      </c>
      <c r="C132" s="445"/>
      <c r="D132" s="445"/>
      <c r="E132" s="445"/>
      <c r="F132" s="446"/>
      <c r="G132" s="445"/>
      <c r="H132" s="445"/>
    </row>
    <row r="133" spans="1:10" s="425" customFormat="1" ht="14.4" x14ac:dyDescent="0.25">
      <c r="A133" s="629"/>
      <c r="B133" s="444"/>
      <c r="C133" s="445"/>
      <c r="D133" s="445"/>
      <c r="E133" s="445"/>
      <c r="F133" s="446"/>
      <c r="G133" s="445"/>
      <c r="H133" s="445"/>
    </row>
    <row r="134" spans="1:10" s="425" customFormat="1" ht="14.4" x14ac:dyDescent="0.25">
      <c r="A134" s="629"/>
      <c r="B134" s="444"/>
      <c r="C134" s="445"/>
      <c r="D134" s="445"/>
      <c r="E134" s="445"/>
      <c r="F134" s="446"/>
      <c r="G134" s="445"/>
      <c r="H134" s="445"/>
    </row>
    <row r="135" spans="1:10" s="425" customFormat="1" ht="14.4" x14ac:dyDescent="0.25">
      <c r="A135" s="629"/>
      <c r="B135" s="444"/>
      <c r="C135" s="445"/>
      <c r="D135" s="445"/>
      <c r="E135" s="445"/>
      <c r="F135" s="446"/>
      <c r="G135" s="445"/>
      <c r="H135" s="445"/>
    </row>
    <row r="136" spans="1:10" s="425" customFormat="1" ht="14.4" x14ac:dyDescent="0.25">
      <c r="A136" s="629"/>
      <c r="B136" s="444"/>
      <c r="C136" s="445"/>
      <c r="D136" s="445"/>
      <c r="E136" s="445"/>
      <c r="F136" s="446"/>
      <c r="G136" s="445"/>
      <c r="H136" s="445"/>
    </row>
    <row r="137" spans="1:10" s="425" customFormat="1" ht="14.4" x14ac:dyDescent="0.25">
      <c r="A137" s="629"/>
      <c r="B137" s="444"/>
      <c r="C137" s="445"/>
      <c r="D137" s="445"/>
      <c r="E137" s="445"/>
      <c r="F137" s="446"/>
      <c r="G137" s="445"/>
      <c r="H137" s="445"/>
    </row>
    <row r="138" spans="1:10" s="425" customFormat="1" ht="14.4" x14ac:dyDescent="0.25">
      <c r="A138" s="630"/>
      <c r="B138" s="447"/>
      <c r="C138" s="445"/>
      <c r="D138" s="445"/>
      <c r="E138" s="445"/>
      <c r="F138" s="446"/>
      <c r="G138" s="445"/>
      <c r="H138" s="445"/>
    </row>
    <row r="139" spans="1:10" customFormat="1" ht="14.4" x14ac:dyDescent="0.3"/>
    <row r="140" spans="1:10" customFormat="1" ht="14.4" x14ac:dyDescent="0.3"/>
    <row r="141" spans="1:10" customFormat="1" ht="14.4" x14ac:dyDescent="0.3"/>
    <row r="142" spans="1:10" ht="19.95" hidden="1" customHeight="1" x14ac:dyDescent="0.25">
      <c r="I142" s="81"/>
      <c r="J142" s="81"/>
    </row>
    <row r="143" spans="1:10" s="103" customFormat="1" hidden="1" x14ac:dyDescent="0.3"/>
    <row r="144" spans="1:10" ht="14.4" hidden="1" x14ac:dyDescent="0.25">
      <c r="A144" s="86"/>
    </row>
    <row r="145" spans="1:1" ht="14.4" hidden="1" x14ac:dyDescent="0.25">
      <c r="A145" s="85"/>
    </row>
    <row r="146" spans="1:1" ht="14.4" hidden="1" x14ac:dyDescent="0.25">
      <c r="A146" s="86"/>
    </row>
    <row r="147" spans="1:1" ht="14.4" hidden="1" x14ac:dyDescent="0.25">
      <c r="A147" s="85"/>
    </row>
    <row r="148" spans="1:1" ht="14.4" hidden="1" x14ac:dyDescent="0.25">
      <c r="A148" s="84"/>
    </row>
    <row r="149" spans="1:1" ht="14.4" hidden="1" x14ac:dyDescent="0.25">
      <c r="A149" s="85"/>
    </row>
    <row r="150" spans="1:1" ht="14.4" hidden="1" x14ac:dyDescent="0.25">
      <c r="A150" s="84"/>
    </row>
    <row r="151" spans="1:1" ht="14.4" hidden="1" x14ac:dyDescent="0.25">
      <c r="A151" s="84"/>
    </row>
    <row r="152" spans="1:1" ht="14.4" hidden="1" x14ac:dyDescent="0.25">
      <c r="A152" s="86"/>
    </row>
    <row r="153" spans="1:1" ht="14.4" hidden="1" x14ac:dyDescent="0.25">
      <c r="A153" s="86"/>
    </row>
    <row r="154" spans="1:1" ht="14.4" hidden="1" x14ac:dyDescent="0.25">
      <c r="A154" s="86"/>
    </row>
    <row r="155" spans="1:1" ht="14.4" hidden="1" x14ac:dyDescent="0.25">
      <c r="A155" s="86"/>
    </row>
    <row r="156" spans="1:1" ht="14.4" hidden="1" x14ac:dyDescent="0.25">
      <c r="A156" s="86"/>
    </row>
    <row r="157" spans="1:1" ht="14.4" hidden="1" x14ac:dyDescent="0.25">
      <c r="A157" s="86"/>
    </row>
    <row r="158" spans="1:1" ht="14.4" hidden="1" x14ac:dyDescent="0.25">
      <c r="A158" s="84"/>
    </row>
    <row r="159" spans="1:1" ht="14.4" hidden="1" x14ac:dyDescent="0.25">
      <c r="A159" s="85"/>
    </row>
    <row r="160" spans="1:1" ht="14.4" hidden="1" x14ac:dyDescent="0.25">
      <c r="A160" s="84"/>
    </row>
    <row r="161" spans="1:1" ht="14.4" hidden="1" x14ac:dyDescent="0.25">
      <c r="A161" s="84"/>
    </row>
    <row r="162" spans="1:1" ht="14.4" hidden="1" x14ac:dyDescent="0.25">
      <c r="A162" s="86"/>
    </row>
    <row r="163" spans="1:1" ht="14.4" hidden="1" x14ac:dyDescent="0.25">
      <c r="A163" s="86"/>
    </row>
    <row r="164" spans="1:1" ht="14.4" hidden="1" x14ac:dyDescent="0.25">
      <c r="A164" s="84"/>
    </row>
    <row r="165" spans="1:1" ht="14.4" hidden="1" x14ac:dyDescent="0.25">
      <c r="A165" s="85"/>
    </row>
    <row r="166" spans="1:1" ht="14.4" hidden="1" x14ac:dyDescent="0.25">
      <c r="A166" s="84"/>
    </row>
    <row r="167" spans="1:1" ht="14.4" hidden="1" x14ac:dyDescent="0.25">
      <c r="A167" s="84"/>
    </row>
    <row r="168" spans="1:1" ht="14.4" hidden="1" x14ac:dyDescent="0.25">
      <c r="A168" s="86"/>
    </row>
    <row r="169" spans="1:1" ht="14.4" hidden="1" x14ac:dyDescent="0.25">
      <c r="A169" s="86"/>
    </row>
    <row r="170" spans="1:1" ht="14.4" hidden="1" x14ac:dyDescent="0.25">
      <c r="A170" s="86"/>
    </row>
    <row r="171" spans="1:1" ht="14.4" hidden="1" x14ac:dyDescent="0.25">
      <c r="A171" s="86"/>
    </row>
    <row r="172" spans="1:1" ht="14.4" hidden="1" x14ac:dyDescent="0.25">
      <c r="A172" s="86"/>
    </row>
    <row r="173" spans="1:1" ht="14.4" hidden="1" x14ac:dyDescent="0.25">
      <c r="A173" s="86"/>
    </row>
    <row r="174" spans="1:1" ht="14.4" hidden="1" x14ac:dyDescent="0.25">
      <c r="A174" s="86"/>
    </row>
    <row r="175" spans="1:1" ht="14.4" hidden="1" x14ac:dyDescent="0.25">
      <c r="A175" s="86"/>
    </row>
    <row r="176" spans="1:1" ht="14.4" hidden="1" x14ac:dyDescent="0.25">
      <c r="A176" s="84"/>
    </row>
    <row r="177" spans="1:8" ht="14.4" hidden="1" x14ac:dyDescent="0.25">
      <c r="A177" s="85"/>
    </row>
    <row r="178" spans="1:8" ht="14.4" hidden="1" x14ac:dyDescent="0.25">
      <c r="A178" s="84"/>
    </row>
    <row r="179" spans="1:8" ht="14.4" hidden="1" x14ac:dyDescent="0.25">
      <c r="A179" s="84"/>
    </row>
    <row r="180" spans="1:8" ht="15.6" hidden="1" x14ac:dyDescent="0.25">
      <c r="A180" s="852" t="s">
        <v>480</v>
      </c>
      <c r="B180" s="852"/>
      <c r="C180" s="852"/>
      <c r="D180" s="852"/>
      <c r="E180" s="852"/>
      <c r="F180" s="852"/>
      <c r="G180" s="852"/>
      <c r="H180" s="852"/>
    </row>
    <row r="181" spans="1:8" ht="52.8" hidden="1" x14ac:dyDescent="0.25">
      <c r="A181" s="131" t="s">
        <v>376</v>
      </c>
      <c r="B181" s="131" t="s">
        <v>534</v>
      </c>
      <c r="C181" s="131" t="s">
        <v>123</v>
      </c>
      <c r="D181" s="131"/>
      <c r="E181" s="131" t="s">
        <v>124</v>
      </c>
      <c r="F181" s="131" t="s">
        <v>483</v>
      </c>
      <c r="G181" s="131" t="s">
        <v>484</v>
      </c>
      <c r="H181" s="131" t="s">
        <v>485</v>
      </c>
    </row>
    <row r="182" spans="1:8" hidden="1" x14ac:dyDescent="0.25">
      <c r="A182" s="140" t="str">
        <f>Ventilation!O3</f>
        <v>Electrical, Mechanical, Telephone Rooms</v>
      </c>
      <c r="B182" s="134" t="s">
        <v>535</v>
      </c>
      <c r="C182" s="161">
        <f>Ventilation!P3</f>
        <v>5250.6900000000005</v>
      </c>
      <c r="D182" s="161"/>
      <c r="E182" s="162">
        <f>Ventilation!R3</f>
        <v>0</v>
      </c>
      <c r="F182" s="163">
        <v>0.18</v>
      </c>
      <c r="G182" s="210">
        <f>F182*E182</f>
        <v>0</v>
      </c>
      <c r="H182" s="211">
        <f>G182/60</f>
        <v>0</v>
      </c>
    </row>
    <row r="183" spans="1:8" hidden="1" x14ac:dyDescent="0.25">
      <c r="A183" s="140" t="str">
        <f>Ventilation!O9</f>
        <v>Corridor Area</v>
      </c>
      <c r="B183" s="134" t="s">
        <v>535</v>
      </c>
      <c r="C183" s="161">
        <f>Ventilation!P9</f>
        <v>48092.13</v>
      </c>
      <c r="D183" s="161"/>
      <c r="E183" s="162">
        <f>Ventilation!R9</f>
        <v>0</v>
      </c>
      <c r="F183" s="162">
        <v>0</v>
      </c>
      <c r="G183" s="210">
        <f t="shared" ref="G183:G194" si="8">F183*E183</f>
        <v>0</v>
      </c>
      <c r="H183" s="211">
        <f t="shared" ref="H183:H199" si="9">G183/60</f>
        <v>0</v>
      </c>
    </row>
    <row r="184" spans="1:8" hidden="1" x14ac:dyDescent="0.25">
      <c r="A184" s="140" t="str">
        <f>Ventilation!O10</f>
        <v>Dining Area (Cafeteria/Fast Food)</v>
      </c>
      <c r="B184" s="134" t="s">
        <v>375</v>
      </c>
      <c r="C184" s="161">
        <f>Ventilation!P10</f>
        <v>7500.73</v>
      </c>
      <c r="D184" s="161"/>
      <c r="E184" s="162">
        <f>Ventilation!R10</f>
        <v>247.52409</v>
      </c>
      <c r="F184" s="164">
        <v>0.57799999999999996</v>
      </c>
      <c r="G184" s="210">
        <f t="shared" si="8"/>
        <v>143.06892402</v>
      </c>
      <c r="H184" s="211">
        <f t="shared" si="9"/>
        <v>2.384482067</v>
      </c>
    </row>
    <row r="185" spans="1:8" ht="26.4" hidden="1" x14ac:dyDescent="0.25">
      <c r="A185" s="140" t="str">
        <f>Ventilation!O11</f>
        <v>Healthcare Facility and Hospitals (Exam/Treatment Room)</v>
      </c>
      <c r="B185" s="134" t="s">
        <v>535</v>
      </c>
      <c r="C185" s="161">
        <f>Ventilation!P11</f>
        <v>4200.4199999999992</v>
      </c>
      <c r="D185" s="161"/>
      <c r="E185" s="162">
        <f>Ventilation!R11</f>
        <v>21.002099999999999</v>
      </c>
      <c r="F185" s="164">
        <v>0.24</v>
      </c>
      <c r="G185" s="210">
        <f t="shared" si="8"/>
        <v>5.0405039999999994</v>
      </c>
      <c r="H185" s="211">
        <f t="shared" si="9"/>
        <v>8.4008399999999997E-2</v>
      </c>
    </row>
    <row r="186" spans="1:8" ht="26.4" hidden="1" x14ac:dyDescent="0.25">
      <c r="A186" s="140" t="str">
        <f>Ventilation!O12</f>
        <v>Healthcare Facility and Hospitals (Nurse's Station)</v>
      </c>
      <c r="B186" s="134" t="s">
        <v>375</v>
      </c>
      <c r="C186" s="161">
        <f>Ventilation!P12</f>
        <v>62104.61</v>
      </c>
      <c r="D186" s="161"/>
      <c r="E186" s="162">
        <f>Ventilation!R12</f>
        <v>93.156914999999998</v>
      </c>
      <c r="F186" s="164">
        <v>0.24</v>
      </c>
      <c r="G186" s="210">
        <f>F186*E186</f>
        <v>22.357659599999998</v>
      </c>
      <c r="H186" s="211">
        <f t="shared" si="9"/>
        <v>0.37262765999999997</v>
      </c>
    </row>
    <row r="187" spans="1:8" ht="26.4" hidden="1" x14ac:dyDescent="0.25">
      <c r="A187" s="140" t="str">
        <f>Ventilation!O13</f>
        <v>Healthcare Facility and Hospitals (Recovery Room)</v>
      </c>
      <c r="B187" s="134" t="s">
        <v>375</v>
      </c>
      <c r="C187" s="161">
        <f>Ventilation!P13</f>
        <v>9427.61</v>
      </c>
      <c r="D187" s="161"/>
      <c r="E187" s="162">
        <f>Ventilation!R13</f>
        <v>47.138050000000007</v>
      </c>
      <c r="F187" s="164">
        <v>0.24</v>
      </c>
      <c r="G187" s="210">
        <f t="shared" si="8"/>
        <v>11.313132000000001</v>
      </c>
      <c r="H187" s="211">
        <f t="shared" si="9"/>
        <v>0.18855220000000003</v>
      </c>
    </row>
    <row r="188" spans="1:8" hidden="1" x14ac:dyDescent="0.25">
      <c r="A188" s="140" t="str">
        <f>Ventilation!O14</f>
        <v>Laboratory, Scientific</v>
      </c>
      <c r="B188" s="134" t="s">
        <v>375</v>
      </c>
      <c r="C188" s="161">
        <f>Ventilation!P14</f>
        <v>5700.56</v>
      </c>
      <c r="D188" s="161"/>
      <c r="E188" s="162">
        <f>Ventilation!R14</f>
        <v>28.502800000000001</v>
      </c>
      <c r="F188" s="164">
        <v>0.18</v>
      </c>
      <c r="G188" s="210">
        <f t="shared" si="8"/>
        <v>5.1305040000000002</v>
      </c>
      <c r="H188" s="211">
        <f t="shared" si="9"/>
        <v>8.5508399999999998E-2</v>
      </c>
    </row>
    <row r="189" spans="1:8" ht="26.4" hidden="1" x14ac:dyDescent="0.25">
      <c r="A189" s="140" t="str">
        <f>Ventilation!O15</f>
        <v>Healthcare Facility and Hospitals (Operating Room)</v>
      </c>
      <c r="B189" s="134" t="s">
        <v>375</v>
      </c>
      <c r="C189" s="161">
        <f>Ventilation!P15</f>
        <v>6600.65</v>
      </c>
      <c r="D189" s="161"/>
      <c r="E189" s="162">
        <f>Ventilation!R15</f>
        <v>33.003250000000001</v>
      </c>
      <c r="F189" s="164">
        <v>0.24</v>
      </c>
      <c r="G189" s="210">
        <f t="shared" si="8"/>
        <v>7.9207799999999997</v>
      </c>
      <c r="H189" s="211">
        <f t="shared" si="9"/>
        <v>0.13201299999999999</v>
      </c>
    </row>
    <row r="190" spans="1:8" ht="26.4" hidden="1" x14ac:dyDescent="0.25">
      <c r="A190" s="140" t="str">
        <f>Ventilation!O16</f>
        <v>Healthcare Facility and Hospitals (Physical Therapy Room)</v>
      </c>
      <c r="B190" s="134" t="s">
        <v>535</v>
      </c>
      <c r="C190" s="161">
        <f>Ventilation!P16</f>
        <v>5250.51</v>
      </c>
      <c r="D190" s="161"/>
      <c r="E190" s="162">
        <f>Ventilation!R16</f>
        <v>26.252549999999999</v>
      </c>
      <c r="F190" s="164">
        <v>0.24</v>
      </c>
      <c r="G190" s="210">
        <f t="shared" si="8"/>
        <v>6.3006119999999992</v>
      </c>
      <c r="H190" s="211">
        <f t="shared" si="9"/>
        <v>0.10501019999999998</v>
      </c>
    </row>
    <row r="191" spans="1:8" ht="26.4" hidden="1" x14ac:dyDescent="0.25">
      <c r="A191" s="140" t="str">
        <f>Ventilation!O17</f>
        <v>Healthcare Facility and Hospitals (Imaging Room)</v>
      </c>
      <c r="B191" s="134" t="s">
        <v>375</v>
      </c>
      <c r="C191" s="161">
        <f>Ventilation!P17</f>
        <v>5250.51</v>
      </c>
      <c r="D191" s="161"/>
      <c r="E191" s="162">
        <f>Ventilation!R17</f>
        <v>26.252549999999999</v>
      </c>
      <c r="F191" s="164">
        <v>0.24</v>
      </c>
      <c r="G191" s="210">
        <f t="shared" si="8"/>
        <v>6.3006119999999992</v>
      </c>
      <c r="H191" s="211">
        <f t="shared" si="9"/>
        <v>0.10501019999999998</v>
      </c>
    </row>
    <row r="192" spans="1:8" ht="26.4" hidden="1" x14ac:dyDescent="0.25">
      <c r="A192" s="140" t="str">
        <f>Ventilation!O18</f>
        <v>Healthcare Facility and Hospitals (Patient Room)</v>
      </c>
      <c r="B192" s="134" t="s">
        <v>375</v>
      </c>
      <c r="C192" s="161">
        <f>Ventilation!P18</f>
        <v>20402.680000000004</v>
      </c>
      <c r="D192" s="161"/>
      <c r="E192" s="162">
        <f>Ventilation!R18</f>
        <v>102.01340000000002</v>
      </c>
      <c r="F192" s="164">
        <v>0.24</v>
      </c>
      <c r="G192" s="210">
        <f>F192*E192</f>
        <v>24.483216000000002</v>
      </c>
      <c r="H192" s="211">
        <f t="shared" si="9"/>
        <v>0.40805360000000002</v>
      </c>
    </row>
    <row r="193" spans="1:8" ht="26.4" hidden="1" x14ac:dyDescent="0.25">
      <c r="A193" s="140" t="str">
        <f>Zones!C7</f>
        <v>Healthcare Facility and Hospitals (Medical Supply Room)</v>
      </c>
      <c r="B193" s="134" t="s">
        <v>375</v>
      </c>
      <c r="C193" s="161">
        <f>Zones!H7</f>
        <v>2818</v>
      </c>
      <c r="D193" s="161"/>
      <c r="E193" s="162">
        <f>Zones!L7</f>
        <v>14</v>
      </c>
      <c r="F193" s="164">
        <v>0.24</v>
      </c>
      <c r="G193" s="210">
        <f>F193*E193</f>
        <v>3.36</v>
      </c>
      <c r="H193" s="211">
        <f t="shared" si="9"/>
        <v>5.6000000000000001E-2</v>
      </c>
    </row>
    <row r="194" spans="1:8" hidden="1" x14ac:dyDescent="0.25">
      <c r="A194" s="140" t="str">
        <f>Ventilation!O19</f>
        <v>Lobby, Main Entry</v>
      </c>
      <c r="B194" s="134" t="s">
        <v>535</v>
      </c>
      <c r="C194" s="161">
        <f>Ventilation!P19</f>
        <v>15876.28</v>
      </c>
      <c r="D194" s="161"/>
      <c r="E194" s="162">
        <f>Ventilation!R19</f>
        <v>79.381400000000014</v>
      </c>
      <c r="F194" s="164">
        <v>0.09</v>
      </c>
      <c r="G194" s="210">
        <f t="shared" si="8"/>
        <v>7.1443260000000013</v>
      </c>
      <c r="H194" s="211">
        <f t="shared" si="9"/>
        <v>0.11907210000000003</v>
      </c>
    </row>
    <row r="195" spans="1:8" hidden="1" x14ac:dyDescent="0.25">
      <c r="A195" s="140" t="str">
        <f>Ventilation!O20</f>
        <v>Kitchen/Food Preparation Area</v>
      </c>
      <c r="B195" s="134" t="s">
        <v>375</v>
      </c>
      <c r="C195" s="161">
        <f>Ventilation!P20</f>
        <v>10000.98</v>
      </c>
      <c r="D195" s="161"/>
      <c r="E195" s="162">
        <f>Ventilation!R20</f>
        <v>30.002940000000002</v>
      </c>
      <c r="F195" s="164">
        <v>0.57799999999999996</v>
      </c>
      <c r="G195" s="210">
        <f>F195*E195</f>
        <v>17.34169932</v>
      </c>
      <c r="H195" s="211">
        <f t="shared" si="9"/>
        <v>0.289028322</v>
      </c>
    </row>
    <row r="196" spans="1:8" hidden="1" x14ac:dyDescent="0.25">
      <c r="A196" s="140" t="str">
        <f>Zones!C6</f>
        <v>Computer Room (EPD 20)</v>
      </c>
      <c r="B196" s="134" t="s">
        <v>535</v>
      </c>
      <c r="C196" s="161">
        <f>Zones!H6</f>
        <v>3220</v>
      </c>
      <c r="D196" s="161"/>
      <c r="E196" s="162">
        <f>Zones!L6</f>
        <v>16</v>
      </c>
      <c r="F196" s="163">
        <v>0.18</v>
      </c>
      <c r="G196" s="210">
        <f>F196*E196</f>
        <v>2.88</v>
      </c>
      <c r="H196" s="211">
        <f t="shared" si="9"/>
        <v>4.8000000000000001E-2</v>
      </c>
    </row>
    <row r="197" spans="1:8" hidden="1" x14ac:dyDescent="0.25">
      <c r="A197" s="140" t="str">
        <f>Zones!C4</f>
        <v xml:space="preserve">Laundry Area </v>
      </c>
      <c r="B197" s="134" t="s">
        <v>375</v>
      </c>
      <c r="C197" s="161">
        <f>Zones!H4</f>
        <v>7245</v>
      </c>
      <c r="D197" s="161"/>
      <c r="E197" s="162">
        <f>Zones!L4</f>
        <v>36</v>
      </c>
      <c r="F197" s="164">
        <v>0.57799999999999996</v>
      </c>
      <c r="G197" s="210">
        <f>F197*E197</f>
        <v>20.808</v>
      </c>
      <c r="H197" s="211">
        <f t="shared" si="9"/>
        <v>0.3468</v>
      </c>
    </row>
    <row r="198" spans="1:8" hidden="1" x14ac:dyDescent="0.25">
      <c r="A198" s="140" t="str">
        <f>Zones!C34</f>
        <v>Office Area (&gt;250 square feet)</v>
      </c>
      <c r="B198" s="134" t="s">
        <v>535</v>
      </c>
      <c r="C198" s="161">
        <v>1500</v>
      </c>
      <c r="D198" s="161"/>
      <c r="E198" s="162">
        <v>8</v>
      </c>
      <c r="F198" s="163">
        <v>0.18</v>
      </c>
      <c r="G198" s="210">
        <f t="shared" ref="G198:G199" si="10">F198*E198</f>
        <v>1.44</v>
      </c>
      <c r="H198" s="211">
        <f t="shared" si="9"/>
        <v>2.4E-2</v>
      </c>
    </row>
    <row r="199" spans="1:8" hidden="1" x14ac:dyDescent="0.25">
      <c r="A199" s="140" t="str">
        <f>Zones!C35</f>
        <v>Office Area (&lt;250 square feet)</v>
      </c>
      <c r="B199" s="134" t="s">
        <v>535</v>
      </c>
      <c r="C199" s="161">
        <v>300</v>
      </c>
      <c r="D199" s="161"/>
      <c r="E199" s="162">
        <v>2</v>
      </c>
      <c r="F199" s="163">
        <v>0.18</v>
      </c>
      <c r="G199" s="210">
        <f t="shared" si="10"/>
        <v>0.36</v>
      </c>
      <c r="H199" s="211">
        <f t="shared" si="9"/>
        <v>6.0000000000000001E-3</v>
      </c>
    </row>
    <row r="200" spans="1:8" ht="38.25" hidden="1" customHeight="1" x14ac:dyDescent="0.25">
      <c r="A200" s="143" t="s">
        <v>397</v>
      </c>
      <c r="B200" s="134"/>
      <c r="C200" s="212">
        <f>SUM(C182:C195)</f>
        <v>208476.36000000002</v>
      </c>
      <c r="D200" s="212"/>
      <c r="E200" s="212">
        <f>SUM(E182:E195)</f>
        <v>748.2300449999999</v>
      </c>
      <c r="F200" s="212"/>
      <c r="G200" s="165">
        <f>SUM(G182:G195)</f>
        <v>259.76196894000003</v>
      </c>
      <c r="H200" s="211">
        <f>G200/60</f>
        <v>4.3293661490000002</v>
      </c>
    </row>
    <row r="201" spans="1:8" hidden="1" x14ac:dyDescent="0.25"/>
  </sheetData>
  <mergeCells count="13">
    <mergeCell ref="A180:H180"/>
    <mergeCell ref="A1:G1"/>
    <mergeCell ref="A5:H5"/>
    <mergeCell ref="I9:I68"/>
    <mergeCell ref="B69:F69"/>
    <mergeCell ref="I69:I70"/>
    <mergeCell ref="B70:F70"/>
    <mergeCell ref="A7:I7"/>
    <mergeCell ref="A79:L79"/>
    <mergeCell ref="H80:I80"/>
    <mergeCell ref="J80:K80"/>
    <mergeCell ref="L81:L96"/>
    <mergeCell ref="A100:I10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43"/>
  <sheetViews>
    <sheetView zoomScaleNormal="100" workbookViewId="0">
      <selection sqref="A1:H1"/>
    </sheetView>
  </sheetViews>
  <sheetFormatPr defaultColWidth="8.6640625" defaultRowHeight="13.2" x14ac:dyDescent="0.25"/>
  <cols>
    <col min="1" max="1" width="49.6640625" style="3" bestFit="1" customWidth="1"/>
    <col min="2" max="2" width="21.44140625" style="3" bestFit="1" customWidth="1"/>
    <col min="3" max="3" width="30.109375" style="3" bestFit="1" customWidth="1"/>
    <col min="4" max="4" width="21.44140625" style="3" customWidth="1"/>
    <col min="5" max="5" width="17" style="3" customWidth="1"/>
    <col min="6" max="6" width="24.33203125" style="3" customWidth="1"/>
    <col min="7" max="7" width="21.44140625" style="3" customWidth="1"/>
    <col min="8" max="8" width="47.6640625" style="3" customWidth="1"/>
    <col min="9" max="9" width="11.44140625" style="3" customWidth="1"/>
    <col min="10" max="10" width="10.5546875" style="3" customWidth="1"/>
    <col min="11" max="11" width="13.33203125" style="3" customWidth="1"/>
    <col min="12" max="12" width="9.6640625" style="3" customWidth="1"/>
    <col min="13" max="13" width="9.44140625" style="3" customWidth="1"/>
    <col min="14" max="14" width="12.6640625" style="3" customWidth="1"/>
    <col min="15" max="15" width="14.6640625" style="3" customWidth="1"/>
    <col min="16" max="16" width="20.6640625" style="3" customWidth="1"/>
    <col min="17" max="17" width="19.6640625" style="3" customWidth="1"/>
    <col min="18" max="23" width="8.6640625" style="3"/>
    <col min="24" max="24" width="13.6640625" style="3" bestFit="1" customWidth="1"/>
    <col min="25" max="16384" width="8.6640625" style="3"/>
  </cols>
  <sheetData>
    <row r="1" spans="1:8" ht="25.95" customHeight="1" x14ac:dyDescent="0.25">
      <c r="A1" s="915" t="str">
        <f>"Interior Lighting - "&amp;Prototype!B4</f>
        <v>Interior Lighting - Hospital</v>
      </c>
      <c r="B1" s="818"/>
      <c r="C1" s="818"/>
      <c r="D1" s="818"/>
      <c r="E1" s="818"/>
      <c r="F1" s="818"/>
      <c r="G1" s="818"/>
      <c r="H1" s="818"/>
    </row>
    <row r="2" spans="1:8" ht="19.95" customHeight="1" x14ac:dyDescent="0.25">
      <c r="A2" s="927" t="s">
        <v>376</v>
      </c>
      <c r="B2" s="927" t="s">
        <v>536</v>
      </c>
      <c r="C2" s="927"/>
      <c r="D2" s="927"/>
      <c r="E2" s="927" t="s">
        <v>278</v>
      </c>
      <c r="F2" s="927"/>
      <c r="G2" s="927"/>
      <c r="H2" s="926" t="s">
        <v>297</v>
      </c>
    </row>
    <row r="3" spans="1:8" ht="36" customHeight="1" x14ac:dyDescent="0.25">
      <c r="A3" s="928"/>
      <c r="B3" s="393" t="s">
        <v>537</v>
      </c>
      <c r="C3" s="477" t="s">
        <v>538</v>
      </c>
      <c r="D3" s="393" t="s">
        <v>71</v>
      </c>
      <c r="E3" s="393" t="s">
        <v>539</v>
      </c>
      <c r="F3" s="477" t="s">
        <v>538</v>
      </c>
      <c r="G3" s="772" t="s">
        <v>71</v>
      </c>
      <c r="H3" s="926"/>
    </row>
    <row r="4" spans="1:8" x14ac:dyDescent="0.25">
      <c r="A4" s="564" t="str">
        <f>Ventilation!O3</f>
        <v>Electrical, Mechanical, Telephone Rooms</v>
      </c>
      <c r="B4" s="769">
        <v>0.6</v>
      </c>
      <c r="C4" s="781"/>
      <c r="D4" s="924" t="s">
        <v>540</v>
      </c>
      <c r="E4" s="769">
        <v>1</v>
      </c>
      <c r="F4" s="478"/>
      <c r="G4" s="925" t="s">
        <v>541</v>
      </c>
      <c r="H4" s="515"/>
    </row>
    <row r="5" spans="1:8" x14ac:dyDescent="0.25">
      <c r="A5" s="410" t="str">
        <f>Ventilation!O9</f>
        <v>Corridor Area</v>
      </c>
      <c r="B5" s="768">
        <v>0.4</v>
      </c>
      <c r="C5" s="781">
        <f>0.25</f>
        <v>0.25</v>
      </c>
      <c r="D5" s="924"/>
      <c r="E5" s="769">
        <v>0.6</v>
      </c>
      <c r="F5" s="478"/>
      <c r="G5" s="925"/>
      <c r="H5" s="515" t="s">
        <v>542</v>
      </c>
    </row>
    <row r="6" spans="1:8" ht="39.6" x14ac:dyDescent="0.25">
      <c r="A6" s="410" t="str">
        <f>Ventilation!O10</f>
        <v>Dining Area (Cafeteria/Fast Food)</v>
      </c>
      <c r="B6" s="768">
        <v>0.45</v>
      </c>
      <c r="C6" s="781">
        <f>0.25*0.5</f>
        <v>0.125</v>
      </c>
      <c r="D6" s="924"/>
      <c r="E6" s="769">
        <v>1</v>
      </c>
      <c r="F6" s="781">
        <f>0.5*0.5</f>
        <v>0.25</v>
      </c>
      <c r="G6" s="925"/>
      <c r="H6" s="515" t="s">
        <v>543</v>
      </c>
    </row>
    <row r="7" spans="1:8" ht="27" customHeight="1" x14ac:dyDescent="0.25">
      <c r="A7" s="410" t="str">
        <f>Ventilation!O11</f>
        <v>Healthcare Facility and Hospitals (Exam/Treatment Room)</v>
      </c>
      <c r="B7" s="768">
        <v>1.1499999999999999</v>
      </c>
      <c r="C7" s="409"/>
      <c r="D7" s="924"/>
      <c r="E7" s="781">
        <v>1.2</v>
      </c>
      <c r="F7" s="478"/>
      <c r="G7" s="925"/>
      <c r="H7" s="515"/>
    </row>
    <row r="8" spans="1:8" x14ac:dyDescent="0.25">
      <c r="A8" s="410" t="str">
        <f>Ventilation!O12</f>
        <v>Healthcare Facility and Hospitals (Nurse's Station)</v>
      </c>
      <c r="B8" s="768">
        <v>0.85</v>
      </c>
      <c r="C8" s="781">
        <v>0.2</v>
      </c>
      <c r="D8" s="924"/>
      <c r="E8" s="781">
        <v>1.2</v>
      </c>
      <c r="F8" s="478"/>
      <c r="G8" s="925"/>
      <c r="H8" s="515" t="s">
        <v>544</v>
      </c>
    </row>
    <row r="9" spans="1:8" x14ac:dyDescent="0.25">
      <c r="A9" s="410" t="str">
        <f>Ventilation!O13</f>
        <v>Healthcare Facility and Hospitals (Recovery Room)</v>
      </c>
      <c r="B9" s="768">
        <v>0.9</v>
      </c>
      <c r="C9" s="781">
        <v>0.1</v>
      </c>
      <c r="D9" s="924"/>
      <c r="E9" s="781">
        <v>1.2</v>
      </c>
      <c r="F9" s="478"/>
      <c r="G9" s="925"/>
      <c r="H9" s="515" t="s">
        <v>545</v>
      </c>
    </row>
    <row r="10" spans="1:8" x14ac:dyDescent="0.25">
      <c r="A10" s="410" t="str">
        <f>Ventilation!O14</f>
        <v>Laboratory, Scientific</v>
      </c>
      <c r="B10" s="768">
        <v>0.9</v>
      </c>
      <c r="C10" s="781">
        <v>0.35</v>
      </c>
      <c r="D10" s="924"/>
      <c r="E10" s="781">
        <v>1.4</v>
      </c>
      <c r="F10" s="781">
        <v>0.1</v>
      </c>
      <c r="G10" s="925"/>
      <c r="H10" s="515" t="s">
        <v>546</v>
      </c>
    </row>
    <row r="11" spans="1:8" x14ac:dyDescent="0.25">
      <c r="A11" s="410" t="str">
        <f>Ventilation!O15</f>
        <v>Healthcare Facility and Hospitals (Operating Room)</v>
      </c>
      <c r="B11" s="768">
        <v>1.9</v>
      </c>
      <c r="C11" s="409"/>
      <c r="D11" s="924"/>
      <c r="E11" s="781">
        <v>1.2</v>
      </c>
      <c r="F11" s="478"/>
      <c r="G11" s="925"/>
    </row>
    <row r="12" spans="1:8" ht="21.75" customHeight="1" x14ac:dyDescent="0.25">
      <c r="A12" s="410" t="str">
        <f>Ventilation!O16</f>
        <v>Healthcare Facility and Hospitals (Physical Therapy Room)</v>
      </c>
      <c r="B12" s="768">
        <v>0.75</v>
      </c>
      <c r="C12" s="781">
        <v>0.1</v>
      </c>
      <c r="D12" s="924"/>
      <c r="E12" s="781">
        <v>1.2</v>
      </c>
      <c r="F12" s="478"/>
      <c r="G12" s="925"/>
      <c r="H12" s="515" t="s">
        <v>545</v>
      </c>
    </row>
    <row r="13" spans="1:8" x14ac:dyDescent="0.25">
      <c r="A13" s="410" t="str">
        <f>Ventilation!O17</f>
        <v>Healthcare Facility and Hospitals (Imaging Room)</v>
      </c>
      <c r="B13" s="768">
        <v>0.6</v>
      </c>
      <c r="C13" s="781">
        <v>0.2</v>
      </c>
      <c r="D13" s="924"/>
      <c r="E13" s="781">
        <v>1.2</v>
      </c>
      <c r="F13" s="478"/>
      <c r="G13" s="925"/>
      <c r="H13" s="515" t="s">
        <v>544</v>
      </c>
    </row>
    <row r="14" spans="1:8" x14ac:dyDescent="0.25">
      <c r="A14" s="410" t="str">
        <f>Ventilation!O18</f>
        <v>Healthcare Facility and Hospitals (Patient Room)</v>
      </c>
      <c r="B14" s="768">
        <v>0.7</v>
      </c>
      <c r="C14" s="781">
        <v>0.15</v>
      </c>
      <c r="D14" s="924"/>
      <c r="E14" s="781">
        <v>1.2</v>
      </c>
      <c r="F14" s="478"/>
      <c r="G14" s="925"/>
      <c r="H14" s="515" t="s">
        <v>547</v>
      </c>
    </row>
    <row r="15" spans="1:8" x14ac:dyDescent="0.25">
      <c r="A15" s="410" t="str">
        <f>Zones!C7</f>
        <v>Healthcare Facility and Hospitals (Medical Supply Room)</v>
      </c>
      <c r="B15" s="768">
        <v>0.55000000000000004</v>
      </c>
      <c r="C15" s="409"/>
      <c r="D15" s="924"/>
      <c r="E15" s="781">
        <v>1.2</v>
      </c>
      <c r="F15" s="478"/>
      <c r="G15" s="925"/>
    </row>
    <row r="16" spans="1:8" x14ac:dyDescent="0.25">
      <c r="A16" s="410" t="str">
        <f>Ventilation!O19</f>
        <v>Lobby, Main Entry</v>
      </c>
      <c r="B16" s="768">
        <v>0.7</v>
      </c>
      <c r="C16" s="781">
        <v>0.25</v>
      </c>
      <c r="D16" s="924"/>
      <c r="E16" s="769">
        <v>0.95</v>
      </c>
      <c r="F16" s="781">
        <v>0.5</v>
      </c>
      <c r="G16" s="925"/>
      <c r="H16" s="515" t="s">
        <v>548</v>
      </c>
    </row>
    <row r="17" spans="1:8" x14ac:dyDescent="0.25">
      <c r="A17" s="410" t="str">
        <f>Ventilation!O20</f>
        <v>Kitchen/Food Preparation Area</v>
      </c>
      <c r="B17" s="768">
        <v>0.95</v>
      </c>
      <c r="C17" s="409"/>
      <c r="D17" s="924"/>
      <c r="E17" s="769">
        <v>1.2</v>
      </c>
      <c r="F17" s="478"/>
      <c r="G17" s="925"/>
    </row>
    <row r="18" spans="1:8" ht="39.6" x14ac:dyDescent="0.25">
      <c r="A18" s="79" t="str">
        <f>Zones!C35</f>
        <v>Office Area (&lt;250 square feet)</v>
      </c>
      <c r="B18" s="768">
        <v>0.65</v>
      </c>
      <c r="C18" s="781">
        <f>0.2*0.5</f>
        <v>0.1</v>
      </c>
      <c r="D18" s="924"/>
      <c r="E18" s="769">
        <v>1</v>
      </c>
      <c r="F18" s="478"/>
      <c r="G18" s="925"/>
      <c r="H18" s="515" t="s">
        <v>549</v>
      </c>
    </row>
    <row r="19" spans="1:8" ht="39.6" x14ac:dyDescent="0.25">
      <c r="A19" s="79" t="str">
        <f>Zones!C34</f>
        <v>Office Area (&gt;250 square feet)</v>
      </c>
      <c r="B19" s="768">
        <v>0.6</v>
      </c>
      <c r="C19" s="781">
        <f>0.2*0.5</f>
        <v>0.1</v>
      </c>
      <c r="D19" s="924"/>
      <c r="E19" s="769">
        <v>0.75</v>
      </c>
      <c r="F19" s="478"/>
      <c r="G19" s="925"/>
      <c r="H19" s="515" t="s">
        <v>549</v>
      </c>
    </row>
    <row r="20" spans="1:8" x14ac:dyDescent="0.25">
      <c r="A20" s="469" t="str">
        <f>Zones!C4</f>
        <v xml:space="preserve">Laundry Area </v>
      </c>
      <c r="B20" s="769">
        <v>0.45</v>
      </c>
      <c r="C20" s="409"/>
      <c r="D20" s="924"/>
      <c r="E20" s="769">
        <v>0.7</v>
      </c>
      <c r="F20" s="478"/>
      <c r="G20" s="925"/>
      <c r="H20" s="469"/>
    </row>
    <row r="21" spans="1:8" x14ac:dyDescent="0.25">
      <c r="A21" s="79" t="str">
        <f>Zones!C6</f>
        <v>Computer Room (EPD 20)</v>
      </c>
      <c r="B21" s="768">
        <v>0.75</v>
      </c>
      <c r="C21" s="409"/>
      <c r="D21" s="924"/>
      <c r="E21" s="769">
        <v>1.71</v>
      </c>
      <c r="F21" s="478"/>
      <c r="G21" s="925"/>
      <c r="H21" s="469"/>
    </row>
    <row r="22" spans="1:8" ht="16.95" customHeight="1" x14ac:dyDescent="0.25">
      <c r="C22" s="115"/>
      <c r="E22" s="36"/>
    </row>
    <row r="23" spans="1:8" ht="16.95" customHeight="1" x14ac:dyDescent="0.25">
      <c r="C23" s="115"/>
      <c r="E23" s="36"/>
    </row>
    <row r="24" spans="1:8" ht="16.95" customHeight="1" x14ac:dyDescent="0.25">
      <c r="C24" s="115"/>
      <c r="E24" s="36"/>
    </row>
    <row r="25" spans="1:8" ht="16.95" customHeight="1" x14ac:dyDescent="0.25">
      <c r="C25" s="115"/>
      <c r="E25" s="36"/>
    </row>
    <row r="26" spans="1:8" ht="16.95" customHeight="1" x14ac:dyDescent="0.25">
      <c r="C26" s="115"/>
      <c r="E26" s="36"/>
    </row>
    <row r="27" spans="1:8" ht="16.95" customHeight="1" x14ac:dyDescent="0.25">
      <c r="C27" s="115"/>
      <c r="E27" s="36"/>
    </row>
    <row r="28" spans="1:8" ht="16.95" customHeight="1" x14ac:dyDescent="0.25">
      <c r="C28" s="115"/>
    </row>
    <row r="29" spans="1:8" ht="16.95" customHeight="1" x14ac:dyDescent="0.25">
      <c r="C29" s="115"/>
    </row>
    <row r="30" spans="1:8" ht="16.95" customHeight="1" x14ac:dyDescent="0.25">
      <c r="C30" s="115"/>
    </row>
    <row r="31" spans="1:8" ht="16.95" customHeight="1" x14ac:dyDescent="0.25">
      <c r="C31" s="115"/>
    </row>
    <row r="32" spans="1:8" ht="19.2" customHeight="1" x14ac:dyDescent="0.25">
      <c r="C32" s="115"/>
    </row>
    <row r="33" spans="1:2" ht="13.2" customHeight="1" x14ac:dyDescent="0.25">
      <c r="A33" s="20"/>
      <c r="B33" s="20"/>
    </row>
    <row r="34" spans="1:2" ht="13.2" customHeight="1" x14ac:dyDescent="0.25">
      <c r="A34" s="20"/>
      <c r="B34" s="20"/>
    </row>
    <row r="35" spans="1:2" ht="13.2" customHeight="1" x14ac:dyDescent="0.25">
      <c r="A35" s="20"/>
      <c r="B35" s="20"/>
    </row>
    <row r="36" spans="1:2" ht="13.2" customHeight="1" x14ac:dyDescent="0.25">
      <c r="A36" s="20"/>
      <c r="B36" s="20"/>
    </row>
    <row r="37" spans="1:2" ht="13.2" customHeight="1" x14ac:dyDescent="0.25">
      <c r="A37" s="20"/>
      <c r="B37" s="20"/>
    </row>
    <row r="38" spans="1:2" ht="13.2" customHeight="1" x14ac:dyDescent="0.25">
      <c r="A38" s="20"/>
      <c r="B38" s="20"/>
    </row>
    <row r="39" spans="1:2" ht="13.2" customHeight="1" x14ac:dyDescent="0.25">
      <c r="A39" s="20"/>
      <c r="B39" s="20"/>
    </row>
    <row r="40" spans="1:2" ht="13.2" customHeight="1" x14ac:dyDescent="0.25">
      <c r="A40" s="20"/>
      <c r="B40" s="20"/>
    </row>
    <row r="41" spans="1:2" ht="13.2" customHeight="1" x14ac:dyDescent="0.25">
      <c r="A41" s="20"/>
      <c r="B41" s="20"/>
    </row>
    <row r="42" spans="1:2" ht="13.2" customHeight="1" x14ac:dyDescent="0.25">
      <c r="A42" s="20"/>
      <c r="B42" s="20"/>
    </row>
    <row r="43" spans="1:2" ht="17.7" customHeight="1" x14ac:dyDescent="0.25"/>
  </sheetData>
  <mergeCells count="7">
    <mergeCell ref="D4:D21"/>
    <mergeCell ref="G4:G21"/>
    <mergeCell ref="H2:H3"/>
    <mergeCell ref="A1:H1"/>
    <mergeCell ref="E2:G2"/>
    <mergeCell ref="A2:A3"/>
    <mergeCell ref="B2:D2"/>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30"/>
  <sheetViews>
    <sheetView zoomScale="85" zoomScaleNormal="85" workbookViewId="0">
      <selection sqref="A1:D1"/>
    </sheetView>
  </sheetViews>
  <sheetFormatPr defaultColWidth="8.6640625" defaultRowHeight="13.2" x14ac:dyDescent="0.25"/>
  <cols>
    <col min="1" max="1" width="34.5546875" style="3" customWidth="1"/>
    <col min="2" max="2" width="42.33203125" style="3" customWidth="1"/>
    <col min="3" max="3" width="19.44140625" style="3" customWidth="1"/>
    <col min="4" max="4" width="32.33203125" style="3" customWidth="1"/>
    <col min="5" max="5" width="26.109375" style="3" customWidth="1"/>
    <col min="6" max="6" width="17.109375" style="3" customWidth="1"/>
    <col min="7" max="7" width="17.5546875" style="3" customWidth="1"/>
    <col min="8" max="8" width="15.5546875" style="3" customWidth="1"/>
    <col min="9" max="9" width="13.33203125" style="3" customWidth="1"/>
    <col min="10" max="16384" width="8.6640625" style="3"/>
  </cols>
  <sheetData>
    <row r="1" spans="1:7" ht="25.2" customHeight="1" x14ac:dyDescent="0.25">
      <c r="A1" s="796" t="str">
        <f>"Exterior Lighting - "&amp;Prototype!A2</f>
        <v>Exterior Lighting - Hospital</v>
      </c>
      <c r="B1" s="796"/>
      <c r="C1" s="796"/>
      <c r="D1" s="796"/>
    </row>
    <row r="2" spans="1:7" ht="28.2" customHeight="1" x14ac:dyDescent="0.25">
      <c r="A2" s="773" t="s">
        <v>550</v>
      </c>
      <c r="B2" s="773" t="s">
        <v>551</v>
      </c>
      <c r="C2" s="773" t="s">
        <v>552</v>
      </c>
      <c r="D2" s="773" t="s">
        <v>71</v>
      </c>
    </row>
    <row r="3" spans="1:7" ht="43.2" customHeight="1" x14ac:dyDescent="0.25">
      <c r="A3" s="792">
        <f>G14</f>
        <v>9070.7233333333352</v>
      </c>
      <c r="B3" s="792">
        <f>G15</f>
        <v>2379.4499999999998</v>
      </c>
      <c r="C3" s="132">
        <f>A3+B3</f>
        <v>11450.173333333336</v>
      </c>
      <c r="D3" s="760" t="s">
        <v>553</v>
      </c>
    </row>
    <row r="4" spans="1:7" ht="22.2" customHeight="1" x14ac:dyDescent="0.25">
      <c r="A4" s="48"/>
      <c r="B4" s="48"/>
      <c r="C4" s="48"/>
    </row>
    <row r="5" spans="1:7" ht="14.4" x14ac:dyDescent="0.3">
      <c r="A5"/>
      <c r="C5" s="116"/>
      <c r="E5" s="117"/>
    </row>
    <row r="6" spans="1:7" ht="23.4" customHeight="1" x14ac:dyDescent="0.25">
      <c r="A6" s="796" t="str">
        <f>"Exterior Lighting "</f>
        <v xml:space="preserve">Exterior Lighting </v>
      </c>
      <c r="B6" s="796"/>
      <c r="C6" s="796"/>
      <c r="D6" s="796"/>
      <c r="E6" s="796"/>
      <c r="F6" s="796"/>
      <c r="G6" s="796"/>
    </row>
    <row r="7" spans="1:7" ht="43.2" customHeight="1" x14ac:dyDescent="0.25">
      <c r="A7" s="133" t="s">
        <v>554</v>
      </c>
      <c r="B7" s="797" t="s">
        <v>555</v>
      </c>
      <c r="C7" s="797"/>
      <c r="D7" s="773" t="s">
        <v>556</v>
      </c>
      <c r="E7" s="773" t="s">
        <v>557</v>
      </c>
      <c r="F7" s="773" t="s">
        <v>556</v>
      </c>
      <c r="G7" s="773" t="s">
        <v>558</v>
      </c>
    </row>
    <row r="8" spans="1:7" ht="23.4" customHeight="1" x14ac:dyDescent="0.25">
      <c r="A8" s="134" t="s">
        <v>559</v>
      </c>
      <c r="B8" s="462" t="s">
        <v>560</v>
      </c>
      <c r="C8" s="479"/>
      <c r="D8" s="778"/>
      <c r="E8" s="781">
        <v>350</v>
      </c>
      <c r="F8" s="137" t="s">
        <v>561</v>
      </c>
      <c r="G8" s="135">
        <f>$E8</f>
        <v>350</v>
      </c>
    </row>
    <row r="9" spans="1:7" ht="52.8" x14ac:dyDescent="0.25">
      <c r="A9" s="134" t="s">
        <v>562</v>
      </c>
      <c r="B9" s="516" t="s">
        <v>563</v>
      </c>
      <c r="C9" s="470">
        <f>241500/360*400</f>
        <v>268333.33333333337</v>
      </c>
      <c r="D9" s="759" t="s">
        <v>564</v>
      </c>
      <c r="E9" s="781">
        <v>2.5000000000000001E-2</v>
      </c>
      <c r="F9" s="138" t="s">
        <v>565</v>
      </c>
      <c r="G9" s="135">
        <f>$E9*C9</f>
        <v>6708.3333333333348</v>
      </c>
    </row>
    <row r="10" spans="1:7" ht="21" customHeight="1" x14ac:dyDescent="0.25">
      <c r="A10" s="134" t="s">
        <v>566</v>
      </c>
      <c r="B10" s="517" t="s">
        <v>567</v>
      </c>
      <c r="C10" s="471">
        <v>17</v>
      </c>
      <c r="D10" s="759" t="s">
        <v>568</v>
      </c>
      <c r="E10" s="781">
        <v>19</v>
      </c>
      <c r="F10" s="138" t="s">
        <v>569</v>
      </c>
      <c r="G10" s="135">
        <f>E10*C10</f>
        <v>323</v>
      </c>
    </row>
    <row r="11" spans="1:7" ht="26.4" x14ac:dyDescent="0.25">
      <c r="A11" s="134" t="s">
        <v>570</v>
      </c>
      <c r="B11" s="518" t="s">
        <v>571</v>
      </c>
      <c r="C11" s="472">
        <v>24150</v>
      </c>
      <c r="D11" s="759" t="s">
        <v>564</v>
      </c>
      <c r="E11" s="781">
        <v>1.2999999999999999E-2</v>
      </c>
      <c r="F11" s="138" t="s">
        <v>565</v>
      </c>
      <c r="G11" s="136">
        <f>E11*C11</f>
        <v>313.95</v>
      </c>
    </row>
    <row r="12" spans="1:7" ht="108.75" customHeight="1" x14ac:dyDescent="0.25">
      <c r="A12" s="134" t="s">
        <v>572</v>
      </c>
      <c r="B12" s="139" t="s">
        <v>573</v>
      </c>
      <c r="C12" s="473">
        <f>B21*0.5*30</f>
        <v>12150</v>
      </c>
      <c r="D12" s="759" t="s">
        <v>564</v>
      </c>
      <c r="E12" s="781">
        <v>0.17</v>
      </c>
      <c r="F12" s="138" t="s">
        <v>565</v>
      </c>
      <c r="G12" s="136">
        <f>E12*C12</f>
        <v>2065.5</v>
      </c>
    </row>
    <row r="13" spans="1:7" x14ac:dyDescent="0.25">
      <c r="A13" s="134" t="s">
        <v>574</v>
      </c>
      <c r="B13" s="134"/>
      <c r="C13" s="471">
        <v>6257</v>
      </c>
      <c r="D13" s="759" t="s">
        <v>564</v>
      </c>
      <c r="E13" s="781">
        <v>0.27</v>
      </c>
      <c r="F13" s="138" t="s">
        <v>565</v>
      </c>
      <c r="G13" s="136">
        <f>E13*C13</f>
        <v>1689.39</v>
      </c>
    </row>
    <row r="14" spans="1:7" x14ac:dyDescent="0.25">
      <c r="A14" s="793" t="s">
        <v>550</v>
      </c>
      <c r="B14" s="794"/>
      <c r="C14" s="794"/>
      <c r="D14" s="794"/>
      <c r="E14" s="794"/>
      <c r="F14" s="795"/>
      <c r="G14" s="213">
        <f>G9+G8+G13+G10</f>
        <v>9070.7233333333352</v>
      </c>
    </row>
    <row r="15" spans="1:7" x14ac:dyDescent="0.25">
      <c r="A15" s="793" t="s">
        <v>575</v>
      </c>
      <c r="B15" s="794"/>
      <c r="C15" s="794"/>
      <c r="D15" s="794"/>
      <c r="E15" s="794"/>
      <c r="F15" s="795"/>
      <c r="G15" s="213">
        <f>G11+G12</f>
        <v>2379.4499999999998</v>
      </c>
    </row>
    <row r="16" spans="1:7" x14ac:dyDescent="0.25">
      <c r="A16" s="793" t="s">
        <v>397</v>
      </c>
      <c r="B16" s="794"/>
      <c r="C16" s="794"/>
      <c r="D16" s="794"/>
      <c r="E16" s="794"/>
      <c r="F16" s="795"/>
      <c r="G16" s="213">
        <f>G14+G15</f>
        <v>11450.173333333336</v>
      </c>
    </row>
    <row r="19" spans="1:7" x14ac:dyDescent="0.25">
      <c r="C19" s="3">
        <f>6257/100</f>
        <v>62.57</v>
      </c>
    </row>
    <row r="20" spans="1:7" x14ac:dyDescent="0.25">
      <c r="A20" s="3" t="s">
        <v>576</v>
      </c>
      <c r="B20" s="118" t="str">
        <f>Prototype!B9</f>
        <v>241,521 (230 ft x 175 ft for each floor)</v>
      </c>
      <c r="C20" s="3">
        <f>0.1*241521/6</f>
        <v>4025.3500000000004</v>
      </c>
    </row>
    <row r="21" spans="1:7" x14ac:dyDescent="0.25">
      <c r="A21" s="3" t="s">
        <v>577</v>
      </c>
      <c r="B21" s="119">
        <v>810</v>
      </c>
    </row>
    <row r="22" spans="1:7" x14ac:dyDescent="0.25">
      <c r="A22" s="3" t="s">
        <v>578</v>
      </c>
      <c r="B22" s="3">
        <v>5</v>
      </c>
    </row>
    <row r="25" spans="1:7" x14ac:dyDescent="0.25">
      <c r="A25" s="3" t="s">
        <v>579</v>
      </c>
      <c r="B25" s="3" t="s">
        <v>580</v>
      </c>
    </row>
    <row r="26" spans="1:7" x14ac:dyDescent="0.25">
      <c r="A26" s="3" t="s">
        <v>581</v>
      </c>
      <c r="B26" s="3" t="s">
        <v>582</v>
      </c>
    </row>
    <row r="27" spans="1:7" x14ac:dyDescent="0.25">
      <c r="A27" s="3" t="s">
        <v>583</v>
      </c>
      <c r="B27" s="3" t="s">
        <v>584</v>
      </c>
    </row>
    <row r="28" spans="1:7" x14ac:dyDescent="0.25">
      <c r="A28" s="3" t="s">
        <v>585</v>
      </c>
      <c r="B28" s="3" t="s">
        <v>586</v>
      </c>
    </row>
    <row r="29" spans="1:7" s="4" customFormat="1" ht="13.2" customHeight="1" x14ac:dyDescent="0.25">
      <c r="A29" s="3" t="s">
        <v>587</v>
      </c>
      <c r="B29" s="3" t="s">
        <v>588</v>
      </c>
      <c r="E29" s="642"/>
      <c r="F29" s="643"/>
      <c r="G29" s="644"/>
    </row>
    <row r="30" spans="1:7" x14ac:dyDescent="0.25">
      <c r="A30" s="3" t="s">
        <v>397</v>
      </c>
      <c r="B30" s="3" t="s">
        <v>589</v>
      </c>
    </row>
  </sheetData>
  <mergeCells count="6">
    <mergeCell ref="A16:F16"/>
    <mergeCell ref="A6:G6"/>
    <mergeCell ref="B7:C7"/>
    <mergeCell ref="A1:D1"/>
    <mergeCell ref="A14:F14"/>
    <mergeCell ref="A15:F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dimension ref="A1:L52"/>
  <sheetViews>
    <sheetView topLeftCell="C1" zoomScale="85" zoomScaleNormal="85" workbookViewId="0">
      <selection sqref="A1:F1"/>
    </sheetView>
  </sheetViews>
  <sheetFormatPr defaultColWidth="8.6640625" defaultRowHeight="13.2" x14ac:dyDescent="0.25"/>
  <cols>
    <col min="1" max="1" width="49" style="3" customWidth="1"/>
    <col min="2" max="2" width="23.44140625" style="3" customWidth="1"/>
    <col min="3" max="3" width="23.6640625" style="3" customWidth="1"/>
    <col min="4" max="4" width="27.5546875" style="3" customWidth="1"/>
    <col min="5" max="5" width="28.6640625" style="3" customWidth="1"/>
    <col min="6" max="6" width="59.44140625" style="3" customWidth="1"/>
    <col min="7" max="7" width="16.109375" style="3" customWidth="1"/>
    <col min="8" max="8" width="8.5546875" style="3" customWidth="1"/>
    <col min="9" max="9" width="12.33203125" style="3" customWidth="1"/>
    <col min="10" max="10" width="17.33203125" style="3" customWidth="1"/>
    <col min="11" max="11" width="51.5546875" style="3" customWidth="1"/>
    <col min="12" max="12" width="41.33203125" style="3" customWidth="1"/>
    <col min="13" max="16384" width="8.6640625" style="3"/>
  </cols>
  <sheetData>
    <row r="1" spans="1:7" ht="23.4" customHeight="1" x14ac:dyDescent="0.25">
      <c r="A1" s="796" t="str">
        <f>"Equipment - "&amp;Prototype!A2</f>
        <v>Equipment - Hospital</v>
      </c>
      <c r="B1" s="796"/>
      <c r="C1" s="796"/>
      <c r="D1" s="796"/>
      <c r="E1" s="796"/>
      <c r="F1" s="796"/>
    </row>
    <row r="2" spans="1:7" s="108" customFormat="1" ht="36.6" customHeight="1" x14ac:dyDescent="0.25">
      <c r="A2" s="394" t="s">
        <v>376</v>
      </c>
      <c r="B2" s="395" t="s">
        <v>590</v>
      </c>
      <c r="C2" s="395" t="s">
        <v>591</v>
      </c>
      <c r="D2" s="395" t="s">
        <v>592</v>
      </c>
      <c r="E2" s="394" t="s">
        <v>71</v>
      </c>
      <c r="F2" s="394" t="s">
        <v>297</v>
      </c>
    </row>
    <row r="3" spans="1:7" ht="23.4" customHeight="1" x14ac:dyDescent="0.25">
      <c r="A3" s="562" t="str">
        <f>Ventilation!O3</f>
        <v>Electrical, Mechanical, Telephone Rooms</v>
      </c>
      <c r="B3" s="781">
        <v>0.7</v>
      </c>
      <c r="C3" s="781"/>
      <c r="D3" s="781"/>
      <c r="E3" s="933" t="s">
        <v>593</v>
      </c>
      <c r="F3" s="563" t="s">
        <v>594</v>
      </c>
    </row>
    <row r="4" spans="1:7" ht="23.4" customHeight="1" x14ac:dyDescent="0.25">
      <c r="A4" s="411" t="str">
        <f>Ventilation!O9</f>
        <v>Corridor Area</v>
      </c>
      <c r="B4" s="778">
        <v>0</v>
      </c>
      <c r="C4" s="778"/>
      <c r="D4" s="778"/>
      <c r="E4" s="879"/>
      <c r="F4" s="12"/>
      <c r="G4" s="51"/>
    </row>
    <row r="5" spans="1:7" ht="23.4" customHeight="1" x14ac:dyDescent="0.25">
      <c r="A5" s="411" t="str">
        <f>Ventilation!O10</f>
        <v>Dining Area (Cafeteria/Fast Food)</v>
      </c>
      <c r="B5" s="778">
        <v>0.5</v>
      </c>
      <c r="C5" s="778"/>
      <c r="D5" s="778">
        <v>0.25</v>
      </c>
      <c r="E5" s="879"/>
      <c r="F5" s="12" t="s">
        <v>595</v>
      </c>
      <c r="G5" s="51"/>
    </row>
    <row r="6" spans="1:7" ht="28.95" customHeight="1" x14ac:dyDescent="0.25">
      <c r="A6" s="411" t="str">
        <f>Ventilation!O11</f>
        <v>Healthcare Facility and Hospitals (Exam/Treatment Room)</v>
      </c>
      <c r="B6" s="778">
        <v>1.5</v>
      </c>
      <c r="C6" s="778">
        <v>1.1258999999999999</v>
      </c>
      <c r="D6" s="778"/>
      <c r="E6" s="879"/>
      <c r="F6" s="412" t="s">
        <v>596</v>
      </c>
      <c r="G6" s="51"/>
    </row>
    <row r="7" spans="1:7" ht="23.4" customHeight="1" x14ac:dyDescent="0.25">
      <c r="A7" s="411" t="str">
        <f>Ventilation!O12</f>
        <v>Healthcare Facility and Hospitals (Nurse's Station)</v>
      </c>
      <c r="B7" s="778">
        <v>1.5</v>
      </c>
      <c r="C7" s="778"/>
      <c r="D7" s="778"/>
      <c r="E7" s="879"/>
      <c r="F7" s="413"/>
      <c r="G7" s="51"/>
    </row>
    <row r="8" spans="1:7" ht="23.4" customHeight="1" x14ac:dyDescent="0.25">
      <c r="A8" s="411" t="str">
        <f>Ventilation!O13</f>
        <v>Healthcare Facility and Hospitals (Recovery Room)</v>
      </c>
      <c r="B8" s="778">
        <v>1.5</v>
      </c>
      <c r="C8" s="778"/>
      <c r="D8" s="778"/>
      <c r="E8" s="879"/>
      <c r="F8" s="413"/>
      <c r="G8" s="51"/>
    </row>
    <row r="9" spans="1:7" ht="26.4" customHeight="1" x14ac:dyDescent="0.25">
      <c r="A9" s="411" t="str">
        <f>Ventilation!O14</f>
        <v>Laboratory, Scientific</v>
      </c>
      <c r="B9" s="778">
        <v>2</v>
      </c>
      <c r="C9" s="778"/>
      <c r="D9" s="778"/>
      <c r="E9" s="879"/>
      <c r="F9" s="412" t="s">
        <v>597</v>
      </c>
      <c r="G9" s="51"/>
    </row>
    <row r="10" spans="1:7" ht="26.4" customHeight="1" x14ac:dyDescent="0.25">
      <c r="A10" s="411" t="str">
        <f>Ventilation!O15</f>
        <v>Healthcare Facility and Hospitals (Operating Room)</v>
      </c>
      <c r="B10" s="781">
        <v>4</v>
      </c>
      <c r="C10" s="778"/>
      <c r="D10" s="778"/>
      <c r="E10" s="879"/>
      <c r="F10" s="13" t="s">
        <v>598</v>
      </c>
      <c r="G10" s="51"/>
    </row>
    <row r="11" spans="1:7" ht="23.4" customHeight="1" x14ac:dyDescent="0.25">
      <c r="A11" s="411" t="str">
        <f>Ventilation!O16</f>
        <v>Healthcare Facility and Hospitals (Physical Therapy Room)</v>
      </c>
      <c r="B11" s="778">
        <v>1.5</v>
      </c>
      <c r="C11" s="778"/>
      <c r="D11" s="778"/>
      <c r="E11" s="879"/>
      <c r="F11" s="12"/>
      <c r="G11" s="51"/>
    </row>
    <row r="12" spans="1:7" ht="23.4" customHeight="1" x14ac:dyDescent="0.25">
      <c r="A12" s="411" t="str">
        <f>Ventilation!O17</f>
        <v>Healthcare Facility and Hospitals (Imaging Room)</v>
      </c>
      <c r="B12" s="781">
        <v>10</v>
      </c>
      <c r="C12" s="778"/>
      <c r="D12" s="778"/>
      <c r="E12" s="879"/>
      <c r="F12" s="12" t="s">
        <v>599</v>
      </c>
      <c r="G12" s="51"/>
    </row>
    <row r="13" spans="1:7" ht="23.4" customHeight="1" x14ac:dyDescent="0.25">
      <c r="A13" s="411" t="str">
        <f>Ventilation!O18</f>
        <v>Healthcare Facility and Hospitals (Patient Room)</v>
      </c>
      <c r="B13" s="778">
        <v>1.5</v>
      </c>
      <c r="C13" s="778"/>
      <c r="D13" s="778"/>
      <c r="E13" s="879"/>
      <c r="F13" s="79"/>
      <c r="G13" s="51"/>
    </row>
    <row r="14" spans="1:7" ht="23.4" customHeight="1" x14ac:dyDescent="0.25">
      <c r="A14" s="562" t="str">
        <f>Zones!C7</f>
        <v>Healthcare Facility and Hospitals (Medical Supply Room)</v>
      </c>
      <c r="B14" s="781">
        <v>1.5</v>
      </c>
      <c r="C14" s="778"/>
      <c r="D14" s="778"/>
      <c r="E14" s="879"/>
      <c r="F14" s="79"/>
      <c r="G14" s="51"/>
    </row>
    <row r="15" spans="1:7" ht="23.4" customHeight="1" x14ac:dyDescent="0.25">
      <c r="A15" s="411" t="str">
        <f>Ventilation!O19</f>
        <v>Lobby, Main Entry</v>
      </c>
      <c r="B15" s="778">
        <v>0.5</v>
      </c>
      <c r="C15" s="778"/>
      <c r="D15" s="778"/>
      <c r="E15" s="879"/>
      <c r="F15" s="79"/>
      <c r="G15" s="51"/>
    </row>
    <row r="16" spans="1:7" ht="39" customHeight="1" x14ac:dyDescent="0.25">
      <c r="A16" s="411" t="str">
        <f>Ventilation!O20</f>
        <v>Kitchen/Food Preparation Area</v>
      </c>
      <c r="B16" s="778">
        <v>1.5</v>
      </c>
      <c r="C16" s="778">
        <v>17.54</v>
      </c>
      <c r="D16" s="778">
        <v>1.1200000000000001</v>
      </c>
      <c r="E16" s="879"/>
      <c r="F16" s="412" t="s">
        <v>600</v>
      </c>
      <c r="G16" s="51"/>
    </row>
    <row r="17" spans="1:12" ht="18" customHeight="1" x14ac:dyDescent="0.25">
      <c r="A17" s="411" t="str">
        <f>Zones!C35</f>
        <v>Office Area (&lt;250 square feet)</v>
      </c>
      <c r="B17" s="778">
        <v>0.7</v>
      </c>
      <c r="C17" s="768"/>
      <c r="D17" s="12"/>
      <c r="E17" s="879"/>
      <c r="F17" s="79"/>
    </row>
    <row r="18" spans="1:12" ht="18" customHeight="1" x14ac:dyDescent="0.25">
      <c r="A18" s="411" t="str">
        <f>Zones!C34</f>
        <v>Office Area (&gt;250 square feet)</v>
      </c>
      <c r="B18" s="778">
        <v>0.7</v>
      </c>
      <c r="C18" s="768"/>
      <c r="D18" s="12"/>
      <c r="E18" s="879"/>
      <c r="F18" s="79"/>
    </row>
    <row r="19" spans="1:12" ht="18" customHeight="1" x14ac:dyDescent="0.25">
      <c r="A19" s="562" t="str">
        <f>Zones!C4</f>
        <v xml:space="preserve">Laundry Area </v>
      </c>
      <c r="B19" s="781">
        <v>3</v>
      </c>
      <c r="C19" s="769">
        <v>0.75063999999999997</v>
      </c>
      <c r="D19" s="12"/>
      <c r="E19" s="879"/>
      <c r="F19" s="79"/>
    </row>
    <row r="20" spans="1:12" ht="18" customHeight="1" x14ac:dyDescent="0.25">
      <c r="A20" s="411" t="str">
        <f>Zones!C6</f>
        <v>Computer Room (EPD 20)</v>
      </c>
      <c r="B20" s="778">
        <v>20</v>
      </c>
      <c r="C20" s="768"/>
      <c r="D20" s="12"/>
      <c r="E20" s="880"/>
      <c r="F20" s="79"/>
    </row>
    <row r="21" spans="1:12" ht="27.6" customHeight="1" x14ac:dyDescent="0.25">
      <c r="A21" s="80"/>
      <c r="B21" s="80"/>
      <c r="C21" s="80"/>
      <c r="D21" s="80"/>
      <c r="E21" s="80"/>
      <c r="F21" s="80"/>
      <c r="G21" s="80"/>
      <c r="H21" s="80"/>
      <c r="I21" s="80"/>
    </row>
    <row r="22" spans="1:12" ht="24.75" customHeight="1" x14ac:dyDescent="0.3">
      <c r="A22" s="932" t="s">
        <v>601</v>
      </c>
      <c r="B22" s="932"/>
      <c r="C22" s="932"/>
      <c r="D22" s="932"/>
      <c r="E22" s="932"/>
      <c r="F22" s="932"/>
      <c r="G22" s="932"/>
      <c r="H22" s="932"/>
      <c r="I22" s="932"/>
      <c r="J22" s="932"/>
      <c r="K22" s="932"/>
      <c r="L22"/>
    </row>
    <row r="23" spans="1:12" ht="48.75" customHeight="1" x14ac:dyDescent="0.25">
      <c r="A23" s="450" t="s">
        <v>246</v>
      </c>
      <c r="B23" s="450" t="s">
        <v>602</v>
      </c>
      <c r="C23" s="450" t="s">
        <v>603</v>
      </c>
      <c r="D23" s="450" t="s">
        <v>604</v>
      </c>
      <c r="E23" s="450" t="s">
        <v>605</v>
      </c>
      <c r="F23" s="450" t="s">
        <v>606</v>
      </c>
      <c r="G23" s="450" t="s">
        <v>607</v>
      </c>
      <c r="H23" s="450" t="s">
        <v>608</v>
      </c>
      <c r="I23" s="450" t="s">
        <v>609</v>
      </c>
      <c r="J23" s="450" t="s">
        <v>610</v>
      </c>
      <c r="K23" s="450" t="s">
        <v>297</v>
      </c>
    </row>
    <row r="24" spans="1:12" ht="73.95" customHeight="1" x14ac:dyDescent="0.25">
      <c r="A24" s="774" t="s">
        <v>278</v>
      </c>
      <c r="B24" s="774" t="s">
        <v>611</v>
      </c>
      <c r="C24" s="774">
        <v>8</v>
      </c>
      <c r="D24" s="451">
        <v>1.1399999999999999</v>
      </c>
      <c r="E24" s="451">
        <v>0.33</v>
      </c>
      <c r="F24" s="774" t="s">
        <v>612</v>
      </c>
      <c r="G24" s="451">
        <f>ROUND(INDEX($C:$C,MATCH("Annual energy consumption of the elevator - Existing",$B:$B,0))/INDEX($C:$C,MATCH("Equivalent full load hours",$B:$B,0))*1000,2)</f>
        <v>83546.039999999994</v>
      </c>
      <c r="H24" s="451">
        <f>ROUND(C24*INDEX($C:$C,MATCH("Cab fan airflow",$B:$B,0))*E24,2)</f>
        <v>792</v>
      </c>
      <c r="I24" s="451">
        <f>ROUND(C24*INDEX($C:$C,MATCH("Cab floor area",$B:$B,0))*D24,2)</f>
        <v>376.66</v>
      </c>
      <c r="J24" s="451">
        <f>ROUND(SUM(G24:I24),2)</f>
        <v>84714.7</v>
      </c>
      <c r="K24" s="774" t="s">
        <v>613</v>
      </c>
    </row>
    <row r="25" spans="1:12" ht="77.400000000000006" customHeight="1" x14ac:dyDescent="0.25">
      <c r="A25" s="774" t="s">
        <v>325</v>
      </c>
      <c r="B25" s="774" t="s">
        <v>614</v>
      </c>
      <c r="C25" s="774">
        <v>8</v>
      </c>
      <c r="D25" s="451">
        <v>0.6</v>
      </c>
      <c r="E25" s="451">
        <v>0.33</v>
      </c>
      <c r="F25" s="774" t="s">
        <v>615</v>
      </c>
      <c r="G25" s="451">
        <f>ROUND(INDEX($C:$C,MATCH("Annual energy consumption of the elevator - New Construction",$B:$B,0))/INDEX($C:$C,MATCH("Equivalent full load hours",$B:$B,0))*1000,2)</f>
        <v>50878.38</v>
      </c>
      <c r="H25" s="451">
        <f>ROUND(C25*INDEX($C:$C,MATCH("Cab fan airflow",$B:$B,0))*E25,2)</f>
        <v>792</v>
      </c>
      <c r="I25" s="451">
        <f>ROUND(C25*INDEX($C:$C,MATCH("Cab floor area",$B:$B,0))*D25,2)</f>
        <v>198.24</v>
      </c>
      <c r="J25" s="451">
        <f>ROUND(SUM(G25:I25),2)</f>
        <v>51868.62</v>
      </c>
      <c r="K25" s="774" t="s">
        <v>616</v>
      </c>
    </row>
    <row r="26" spans="1:12" ht="12.6" customHeight="1" x14ac:dyDescent="0.3">
      <c r="A26"/>
      <c r="B26"/>
      <c r="C26"/>
      <c r="D26"/>
      <c r="E26"/>
      <c r="F26"/>
      <c r="G26"/>
      <c r="H26"/>
      <c r="I26"/>
      <c r="J26"/>
      <c r="K26"/>
      <c r="L26"/>
    </row>
    <row r="27" spans="1:12" ht="12.6" customHeight="1" x14ac:dyDescent="0.3">
      <c r="A27"/>
      <c r="B27"/>
      <c r="C27"/>
      <c r="D27"/>
      <c r="E27"/>
      <c r="F27"/>
      <c r="G27"/>
      <c r="H27"/>
      <c r="I27"/>
      <c r="J27"/>
      <c r="K27"/>
      <c r="L27"/>
    </row>
    <row r="28" spans="1:12" ht="18" customHeight="1" x14ac:dyDescent="0.3">
      <c r="A28" s="929" t="s">
        <v>617</v>
      </c>
      <c r="B28" s="930"/>
      <c r="C28" s="930"/>
      <c r="D28" s="930"/>
      <c r="E28" s="930"/>
      <c r="F28"/>
      <c r="G28"/>
      <c r="H28"/>
      <c r="I28"/>
      <c r="J28"/>
      <c r="K28"/>
      <c r="L28"/>
    </row>
    <row r="29" spans="1:12" ht="18.75" customHeight="1" x14ac:dyDescent="0.3">
      <c r="A29" s="450" t="s">
        <v>618</v>
      </c>
      <c r="B29" s="450" t="s">
        <v>619</v>
      </c>
      <c r="C29" s="450" t="s">
        <v>74</v>
      </c>
      <c r="D29" s="450" t="s">
        <v>620</v>
      </c>
      <c r="E29" s="450" t="s">
        <v>71</v>
      </c>
      <c r="F29"/>
      <c r="G29"/>
      <c r="H29"/>
      <c r="I29"/>
      <c r="J29"/>
      <c r="K29"/>
      <c r="L29"/>
    </row>
    <row r="30" spans="1:12" ht="21" customHeight="1" x14ac:dyDescent="0.3">
      <c r="A30" s="931" t="s">
        <v>614</v>
      </c>
      <c r="B30" s="774" t="s">
        <v>621</v>
      </c>
      <c r="C30" s="774">
        <v>278223.35999999999</v>
      </c>
      <c r="D30" s="774" t="s">
        <v>622</v>
      </c>
      <c r="E30" s="774" t="s">
        <v>623</v>
      </c>
      <c r="F30"/>
      <c r="G30"/>
      <c r="H30"/>
      <c r="I30"/>
      <c r="J30"/>
      <c r="K30"/>
      <c r="L30"/>
    </row>
    <row r="31" spans="1:12" ht="57.6" x14ac:dyDescent="0.3">
      <c r="A31" s="931"/>
      <c r="B31" s="774" t="s">
        <v>624</v>
      </c>
      <c r="C31" s="774">
        <v>169434.16</v>
      </c>
      <c r="D31" s="774" t="s">
        <v>622</v>
      </c>
      <c r="E31" s="774" t="s">
        <v>623</v>
      </c>
      <c r="F31"/>
      <c r="G31"/>
      <c r="H31"/>
      <c r="I31"/>
      <c r="J31"/>
      <c r="K31"/>
      <c r="L31"/>
    </row>
    <row r="32" spans="1:12" ht="33.75" customHeight="1" x14ac:dyDescent="0.3">
      <c r="A32" s="774" t="s">
        <v>625</v>
      </c>
      <c r="B32" s="774" t="s">
        <v>626</v>
      </c>
      <c r="C32" s="774" t="s">
        <v>627</v>
      </c>
      <c r="D32" s="774" t="s">
        <v>628</v>
      </c>
      <c r="E32" s="774" t="s">
        <v>629</v>
      </c>
      <c r="F32"/>
      <c r="G32"/>
      <c r="H32"/>
      <c r="I32"/>
      <c r="J32"/>
      <c r="K32"/>
      <c r="L32"/>
    </row>
    <row r="33" spans="1:12" ht="33" customHeight="1" x14ac:dyDescent="0.3">
      <c r="A33" s="774" t="s">
        <v>630</v>
      </c>
      <c r="B33" s="774" t="s">
        <v>631</v>
      </c>
      <c r="C33" s="774" t="s">
        <v>632</v>
      </c>
      <c r="D33" s="774" t="s">
        <v>628</v>
      </c>
      <c r="E33" s="774" t="s">
        <v>629</v>
      </c>
      <c r="F33"/>
      <c r="G33"/>
      <c r="H33"/>
      <c r="I33"/>
      <c r="J33"/>
      <c r="K33"/>
      <c r="L33"/>
    </row>
    <row r="34" spans="1:12" ht="14.4" x14ac:dyDescent="0.3">
      <c r="A34" s="774" t="s">
        <v>633</v>
      </c>
      <c r="B34" s="774" t="s">
        <v>634</v>
      </c>
      <c r="C34" s="774">
        <v>1361</v>
      </c>
      <c r="D34" s="774" t="s">
        <v>635</v>
      </c>
      <c r="E34" s="774" t="s">
        <v>636</v>
      </c>
      <c r="F34"/>
      <c r="G34"/>
      <c r="H34"/>
      <c r="I34"/>
      <c r="J34"/>
      <c r="K34"/>
      <c r="L34"/>
    </row>
    <row r="35" spans="1:12" ht="43.2" x14ac:dyDescent="0.3">
      <c r="A35" s="774" t="s">
        <v>637</v>
      </c>
      <c r="B35" s="774" t="s">
        <v>638</v>
      </c>
      <c r="C35" s="774">
        <v>41.3</v>
      </c>
      <c r="D35" s="774" t="s">
        <v>639</v>
      </c>
      <c r="E35" s="774" t="s">
        <v>640</v>
      </c>
      <c r="F35"/>
      <c r="G35"/>
      <c r="H35"/>
      <c r="I35"/>
      <c r="J35"/>
      <c r="K35"/>
      <c r="L35"/>
    </row>
    <row r="36" spans="1:12" ht="28.8" x14ac:dyDescent="0.3">
      <c r="A36" s="774" t="s">
        <v>641</v>
      </c>
      <c r="B36" s="774" t="s">
        <v>642</v>
      </c>
      <c r="C36" s="774">
        <v>300</v>
      </c>
      <c r="D36" s="774" t="s">
        <v>393</v>
      </c>
      <c r="E36" s="774" t="s">
        <v>643</v>
      </c>
      <c r="F36"/>
      <c r="G36"/>
      <c r="H36"/>
      <c r="I36"/>
      <c r="J36"/>
      <c r="K36"/>
      <c r="L36"/>
    </row>
    <row r="37" spans="1:12" ht="14.4" x14ac:dyDescent="0.3">
      <c r="A37" s="774" t="s">
        <v>644</v>
      </c>
      <c r="B37" s="774" t="s">
        <v>645</v>
      </c>
      <c r="C37" s="774">
        <v>4</v>
      </c>
      <c r="D37" s="774" t="s">
        <v>646</v>
      </c>
      <c r="E37" s="774" t="s">
        <v>647</v>
      </c>
      <c r="F37"/>
      <c r="G37"/>
      <c r="H37"/>
      <c r="I37"/>
      <c r="J37"/>
      <c r="K37"/>
      <c r="L37"/>
    </row>
    <row r="38" spans="1:12" ht="14.4" x14ac:dyDescent="0.3">
      <c r="A38" s="774" t="s">
        <v>648</v>
      </c>
      <c r="B38" s="774" t="s">
        <v>649</v>
      </c>
      <c r="C38" s="774">
        <v>360</v>
      </c>
      <c r="D38" s="774" t="s">
        <v>650</v>
      </c>
      <c r="E38" s="774" t="s">
        <v>647</v>
      </c>
      <c r="F38"/>
      <c r="G38"/>
      <c r="H38"/>
      <c r="I38"/>
      <c r="J38"/>
      <c r="K38"/>
      <c r="L38"/>
    </row>
    <row r="39" spans="1:12" ht="14.4" x14ac:dyDescent="0.3">
      <c r="A39" s="774" t="s">
        <v>651</v>
      </c>
      <c r="B39" s="774" t="s">
        <v>652</v>
      </c>
      <c r="C39" s="774">
        <v>6</v>
      </c>
      <c r="D39" s="774" t="s">
        <v>653</v>
      </c>
      <c r="E39" s="774" t="s">
        <v>654</v>
      </c>
      <c r="F39"/>
      <c r="G39"/>
      <c r="H39"/>
      <c r="I39"/>
      <c r="J39"/>
      <c r="K39"/>
      <c r="L39"/>
    </row>
    <row r="40" spans="1:12" ht="14.4" x14ac:dyDescent="0.3">
      <c r="A40" s="774" t="s">
        <v>655</v>
      </c>
      <c r="B40" s="774" t="s">
        <v>656</v>
      </c>
      <c r="C40" s="774">
        <v>4.2699999999999996</v>
      </c>
      <c r="D40" s="774" t="s">
        <v>657</v>
      </c>
      <c r="E40" s="774" t="s">
        <v>654</v>
      </c>
      <c r="F40"/>
      <c r="G40"/>
      <c r="H40"/>
      <c r="I40"/>
      <c r="J40"/>
      <c r="K40"/>
      <c r="L40"/>
    </row>
    <row r="41" spans="1:12" ht="14.4" x14ac:dyDescent="0.3">
      <c r="A41" s="774" t="s">
        <v>658</v>
      </c>
      <c r="B41" s="774" t="s">
        <v>659</v>
      </c>
      <c r="C41" s="774">
        <v>2.5</v>
      </c>
      <c r="D41" s="774" t="s">
        <v>660</v>
      </c>
      <c r="E41" s="774" t="s">
        <v>647</v>
      </c>
      <c r="F41"/>
      <c r="G41"/>
      <c r="H41"/>
      <c r="I41"/>
      <c r="J41"/>
      <c r="K41"/>
      <c r="L41"/>
    </row>
    <row r="42" spans="1:12" ht="14.4" x14ac:dyDescent="0.3">
      <c r="A42" s="774" t="s">
        <v>661</v>
      </c>
      <c r="B42" s="774" t="s">
        <v>662</v>
      </c>
      <c r="C42" s="774">
        <v>750</v>
      </c>
      <c r="D42" s="774" t="s">
        <v>663</v>
      </c>
      <c r="E42" s="774" t="s">
        <v>647</v>
      </c>
      <c r="F42"/>
      <c r="G42"/>
      <c r="H42"/>
      <c r="I42"/>
      <c r="J42"/>
      <c r="K42"/>
      <c r="L42"/>
    </row>
    <row r="43" spans="1:12" ht="26.25" customHeight="1" x14ac:dyDescent="0.3">
      <c r="A43" s="774" t="s">
        <v>664</v>
      </c>
      <c r="B43" s="774" t="s">
        <v>665</v>
      </c>
      <c r="C43" s="774">
        <v>0.44</v>
      </c>
      <c r="D43" s="774" t="s">
        <v>666</v>
      </c>
      <c r="E43" s="774" t="s">
        <v>667</v>
      </c>
      <c r="F43"/>
      <c r="G43"/>
      <c r="H43"/>
      <c r="I43"/>
      <c r="J43"/>
      <c r="K43"/>
      <c r="L43"/>
    </row>
    <row r="44" spans="1:12" s="22" customFormat="1" ht="20.25" customHeight="1" x14ac:dyDescent="0.3">
      <c r="A44" s="774" t="s">
        <v>668</v>
      </c>
      <c r="B44" s="774" t="s">
        <v>669</v>
      </c>
      <c r="C44" s="774">
        <v>1</v>
      </c>
      <c r="D44" s="774" t="s">
        <v>670</v>
      </c>
      <c r="E44" s="774" t="s">
        <v>671</v>
      </c>
      <c r="F44"/>
      <c r="G44"/>
      <c r="H44"/>
      <c r="I44"/>
      <c r="J44"/>
      <c r="K44"/>
      <c r="L44"/>
    </row>
    <row r="45" spans="1:12" ht="14.4" x14ac:dyDescent="0.3">
      <c r="A45" s="774" t="s">
        <v>672</v>
      </c>
      <c r="B45" s="774" t="s">
        <v>673</v>
      </c>
      <c r="C45" s="774">
        <v>1.25</v>
      </c>
      <c r="D45" s="774" t="s">
        <v>674</v>
      </c>
      <c r="E45" s="774" t="s">
        <v>671</v>
      </c>
      <c r="F45"/>
      <c r="G45"/>
      <c r="H45"/>
      <c r="I45"/>
      <c r="J45"/>
      <c r="K45"/>
      <c r="L45"/>
    </row>
    <row r="46" spans="1:12" ht="14.4" x14ac:dyDescent="0.3">
      <c r="A46" s="774" t="s">
        <v>675</v>
      </c>
      <c r="B46" s="774" t="s">
        <v>676</v>
      </c>
      <c r="C46" s="774">
        <v>8</v>
      </c>
      <c r="D46" s="774" t="s">
        <v>677</v>
      </c>
      <c r="E46" s="774" t="s">
        <v>671</v>
      </c>
      <c r="F46"/>
      <c r="G46"/>
      <c r="H46"/>
      <c r="I46"/>
      <c r="J46"/>
      <c r="K46"/>
      <c r="L46"/>
    </row>
    <row r="47" spans="1:12" ht="28.8" x14ac:dyDescent="0.3">
      <c r="A47" s="774" t="s">
        <v>678</v>
      </c>
      <c r="B47" s="774" t="s">
        <v>679</v>
      </c>
      <c r="C47" s="774">
        <v>11.27</v>
      </c>
      <c r="D47" s="774" t="s">
        <v>680</v>
      </c>
      <c r="E47" s="774" t="s">
        <v>681</v>
      </c>
      <c r="F47"/>
      <c r="G47"/>
      <c r="H47"/>
      <c r="I47"/>
      <c r="J47"/>
      <c r="K47"/>
      <c r="L47"/>
    </row>
    <row r="48" spans="1:12" ht="28.8" x14ac:dyDescent="0.3">
      <c r="A48" s="774" t="s">
        <v>682</v>
      </c>
      <c r="B48" s="774" t="s">
        <v>683</v>
      </c>
      <c r="C48" s="774">
        <v>15.81</v>
      </c>
      <c r="D48" s="774" t="s">
        <v>684</v>
      </c>
      <c r="E48" s="774" t="s">
        <v>685</v>
      </c>
      <c r="F48"/>
      <c r="G48"/>
      <c r="H48"/>
      <c r="I48"/>
      <c r="J48"/>
      <c r="K48"/>
      <c r="L48"/>
    </row>
    <row r="49" spans="1:12" ht="14.4" x14ac:dyDescent="0.3">
      <c r="A49" s="774" t="s">
        <v>686</v>
      </c>
      <c r="B49" s="774" t="s">
        <v>687</v>
      </c>
      <c r="C49" s="774">
        <v>20.71</v>
      </c>
      <c r="D49" s="774" t="s">
        <v>688</v>
      </c>
      <c r="E49" s="774" t="s">
        <v>689</v>
      </c>
      <c r="F49"/>
      <c r="G49"/>
      <c r="H49"/>
      <c r="I49"/>
      <c r="J49"/>
      <c r="K49"/>
      <c r="L49"/>
    </row>
    <row r="50" spans="1:12" ht="14.4" x14ac:dyDescent="0.3">
      <c r="A50" s="774" t="s">
        <v>690</v>
      </c>
      <c r="B50" s="774" t="s">
        <v>691</v>
      </c>
      <c r="C50" s="774">
        <v>7574.32</v>
      </c>
      <c r="D50" s="774" t="s">
        <v>692</v>
      </c>
      <c r="E50" s="774" t="s">
        <v>693</v>
      </c>
      <c r="F50"/>
      <c r="G50"/>
      <c r="H50"/>
      <c r="I50"/>
      <c r="J50"/>
      <c r="K50"/>
      <c r="L50"/>
    </row>
    <row r="51" spans="1:12" ht="14.4" x14ac:dyDescent="0.3">
      <c r="A51" s="774" t="s">
        <v>694</v>
      </c>
      <c r="B51" s="774" t="s">
        <v>694</v>
      </c>
      <c r="C51" s="774">
        <v>40</v>
      </c>
      <c r="D51" s="774" t="s">
        <v>695</v>
      </c>
      <c r="E51" s="774" t="s">
        <v>696</v>
      </c>
      <c r="F51"/>
      <c r="G51"/>
      <c r="H51"/>
      <c r="I51"/>
      <c r="J51"/>
      <c r="K51"/>
      <c r="L51"/>
    </row>
    <row r="52" spans="1:12" ht="28.8" x14ac:dyDescent="0.3">
      <c r="A52" s="774" t="s">
        <v>697</v>
      </c>
      <c r="B52" s="774" t="s">
        <v>698</v>
      </c>
      <c r="C52" s="452">
        <f>Schedules!AD203</f>
        <v>3330.1799999999989</v>
      </c>
      <c r="D52" s="774" t="s">
        <v>699</v>
      </c>
      <c r="E52" s="774" t="s">
        <v>700</v>
      </c>
      <c r="F52"/>
      <c r="G52"/>
      <c r="H52"/>
      <c r="I52"/>
      <c r="J52"/>
      <c r="K52"/>
      <c r="L52"/>
    </row>
  </sheetData>
  <mergeCells count="5">
    <mergeCell ref="A1:F1"/>
    <mergeCell ref="A28:E28"/>
    <mergeCell ref="A30:A31"/>
    <mergeCell ref="A22:K22"/>
    <mergeCell ref="E3:E2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dimension ref="A1:BK332"/>
  <sheetViews>
    <sheetView zoomScale="85" zoomScaleNormal="85" workbookViewId="0">
      <selection sqref="A1:AC1"/>
    </sheetView>
  </sheetViews>
  <sheetFormatPr defaultColWidth="9.33203125" defaultRowHeight="11.4" x14ac:dyDescent="0.3"/>
  <cols>
    <col min="1" max="1" width="25" style="37" customWidth="1"/>
    <col min="2" max="2" width="19.6640625" style="37" customWidth="1"/>
    <col min="3" max="3" width="15.33203125" style="37" customWidth="1"/>
    <col min="4" max="4" width="26.5546875" style="37" customWidth="1"/>
    <col min="5" max="5" width="9.33203125" style="37" customWidth="1"/>
    <col min="6" max="29" width="5.6640625" style="37" customWidth="1"/>
    <col min="30" max="16384" width="9.33203125" style="37"/>
  </cols>
  <sheetData>
    <row r="1" spans="1:63" ht="24" customHeight="1" x14ac:dyDescent="0.3">
      <c r="A1" s="1096" t="str">
        <f>"Schedules - "&amp;Prototype!A2</f>
        <v>Schedules - Hospital</v>
      </c>
      <c r="B1" s="1096"/>
      <c r="C1" s="1096"/>
      <c r="D1" s="1096"/>
      <c r="E1" s="1096"/>
      <c r="F1" s="1096"/>
      <c r="G1" s="1096"/>
      <c r="H1" s="1096"/>
      <c r="I1" s="1096"/>
      <c r="J1" s="1096"/>
      <c r="K1" s="1096"/>
      <c r="L1" s="1096"/>
      <c r="M1" s="1096"/>
      <c r="N1" s="1096"/>
      <c r="O1" s="1096"/>
      <c r="P1" s="1096"/>
      <c r="Q1" s="1096"/>
      <c r="R1" s="1096"/>
      <c r="S1" s="1096"/>
      <c r="T1" s="1096"/>
      <c r="U1" s="1096"/>
      <c r="V1" s="1096"/>
      <c r="W1" s="1096"/>
      <c r="X1" s="1096"/>
      <c r="Y1" s="1096"/>
      <c r="Z1" s="1096"/>
      <c r="AA1" s="1096"/>
      <c r="AB1" s="1096"/>
      <c r="AC1" s="1097"/>
      <c r="AD1" s="38"/>
      <c r="AE1" s="38"/>
      <c r="AF1" s="38"/>
      <c r="AG1" s="38"/>
      <c r="AH1" s="38"/>
      <c r="AI1" s="39"/>
      <c r="AJ1" s="39"/>
      <c r="AK1" s="39"/>
    </row>
    <row r="2" spans="1:63" ht="24" customHeight="1" x14ac:dyDescent="0.3">
      <c r="A2" s="1090" t="s">
        <v>701</v>
      </c>
      <c r="B2" s="1090" t="s">
        <v>117</v>
      </c>
      <c r="C2" s="1090" t="s">
        <v>702</v>
      </c>
      <c r="D2" s="1090" t="s">
        <v>71</v>
      </c>
      <c r="E2" s="1090" t="s">
        <v>703</v>
      </c>
      <c r="F2" s="1098" t="s">
        <v>704</v>
      </c>
      <c r="G2" s="1098"/>
      <c r="H2" s="1098"/>
      <c r="I2" s="1098"/>
      <c r="J2" s="1098"/>
      <c r="K2" s="1098"/>
      <c r="L2" s="1098"/>
      <c r="M2" s="1098"/>
      <c r="N2" s="1098"/>
      <c r="O2" s="1098"/>
      <c r="P2" s="1098"/>
      <c r="Q2" s="1098"/>
      <c r="R2" s="1098"/>
      <c r="S2" s="1098"/>
      <c r="T2" s="1098"/>
      <c r="U2" s="1098"/>
      <c r="V2" s="1098"/>
      <c r="W2" s="1098"/>
      <c r="X2" s="1098"/>
      <c r="Y2" s="1098"/>
      <c r="Z2" s="1098"/>
      <c r="AA2" s="1098"/>
      <c r="AB2" s="1098"/>
      <c r="AC2" s="1098"/>
      <c r="AD2" s="38"/>
      <c r="AE2" s="38"/>
      <c r="AF2" s="38"/>
      <c r="AG2" s="38"/>
      <c r="AH2" s="38"/>
      <c r="AI2" s="39"/>
      <c r="AJ2" s="39"/>
      <c r="AK2" s="39"/>
    </row>
    <row r="3" spans="1:63" ht="25.2" customHeight="1" thickBot="1" x14ac:dyDescent="0.35">
      <c r="A3" s="1091"/>
      <c r="B3" s="1091"/>
      <c r="C3" s="1091"/>
      <c r="D3" s="1091"/>
      <c r="E3" s="1091"/>
      <c r="F3" s="783">
        <v>1</v>
      </c>
      <c r="G3" s="783">
        <v>2</v>
      </c>
      <c r="H3" s="783">
        <v>3</v>
      </c>
      <c r="I3" s="783">
        <v>4</v>
      </c>
      <c r="J3" s="783">
        <v>5</v>
      </c>
      <c r="K3" s="783">
        <v>6</v>
      </c>
      <c r="L3" s="783">
        <v>7</v>
      </c>
      <c r="M3" s="783">
        <v>8</v>
      </c>
      <c r="N3" s="783">
        <v>9</v>
      </c>
      <c r="O3" s="783">
        <v>10</v>
      </c>
      <c r="P3" s="783">
        <v>11</v>
      </c>
      <c r="Q3" s="783">
        <v>12</v>
      </c>
      <c r="R3" s="783">
        <v>13</v>
      </c>
      <c r="S3" s="783">
        <v>14</v>
      </c>
      <c r="T3" s="783">
        <v>15</v>
      </c>
      <c r="U3" s="783">
        <v>16</v>
      </c>
      <c r="V3" s="783">
        <v>17</v>
      </c>
      <c r="W3" s="783">
        <v>18</v>
      </c>
      <c r="X3" s="783">
        <v>19</v>
      </c>
      <c r="Y3" s="783">
        <v>20</v>
      </c>
      <c r="Z3" s="783">
        <v>21</v>
      </c>
      <c r="AA3" s="783">
        <v>22</v>
      </c>
      <c r="AB3" s="783">
        <v>23</v>
      </c>
      <c r="AC3" s="783">
        <v>24</v>
      </c>
      <c r="AD3" s="39"/>
      <c r="AE3" s="39"/>
      <c r="AF3" s="39"/>
      <c r="AG3" s="39"/>
      <c r="AH3" s="39"/>
      <c r="AI3" s="39"/>
      <c r="AJ3" s="39"/>
      <c r="AK3" s="39"/>
      <c r="AM3" s="37" t="s">
        <v>705</v>
      </c>
    </row>
    <row r="4" spans="1:63" ht="25.2" customHeight="1" x14ac:dyDescent="0.3">
      <c r="A4" s="1025" t="s">
        <v>706</v>
      </c>
      <c r="B4" s="990" t="s">
        <v>145</v>
      </c>
      <c r="C4" s="990" t="s">
        <v>707</v>
      </c>
      <c r="D4" s="1020" t="s">
        <v>708</v>
      </c>
      <c r="E4" s="777" t="s">
        <v>442</v>
      </c>
      <c r="F4" s="777">
        <v>0</v>
      </c>
      <c r="G4" s="777">
        <v>0</v>
      </c>
      <c r="H4" s="777">
        <v>0</v>
      </c>
      <c r="I4" s="777">
        <v>0</v>
      </c>
      <c r="J4" s="777">
        <v>0</v>
      </c>
      <c r="K4" s="777">
        <v>0</v>
      </c>
      <c r="L4" s="777">
        <v>0</v>
      </c>
      <c r="M4" s="777">
        <v>0.1</v>
      </c>
      <c r="N4" s="777">
        <v>0.5</v>
      </c>
      <c r="O4" s="777">
        <v>0.8</v>
      </c>
      <c r="P4" s="777">
        <v>0.8</v>
      </c>
      <c r="Q4" s="777">
        <v>0.8</v>
      </c>
      <c r="R4" s="777">
        <v>0.8</v>
      </c>
      <c r="S4" s="777">
        <v>0.8</v>
      </c>
      <c r="T4" s="777">
        <v>0.8</v>
      </c>
      <c r="U4" s="777">
        <v>0.8</v>
      </c>
      <c r="V4" s="777">
        <v>0.8</v>
      </c>
      <c r="W4" s="777">
        <v>0.5</v>
      </c>
      <c r="X4" s="777">
        <v>0.3</v>
      </c>
      <c r="Y4" s="777">
        <v>0.3</v>
      </c>
      <c r="Z4" s="777">
        <v>0.2</v>
      </c>
      <c r="AA4" s="777">
        <v>0.2</v>
      </c>
      <c r="AB4" s="777">
        <v>0</v>
      </c>
      <c r="AC4" s="169">
        <v>0</v>
      </c>
      <c r="AD4" s="39"/>
      <c r="AE4" s="39"/>
      <c r="AF4" s="39"/>
      <c r="AG4" s="39"/>
      <c r="AH4" s="39"/>
      <c r="AI4" s="39"/>
      <c r="AJ4" s="39"/>
      <c r="AK4" s="39"/>
      <c r="AM4"/>
      <c r="AN4" s="37">
        <v>0.34899999999999998</v>
      </c>
      <c r="AO4" s="37">
        <v>0.34899999999999998</v>
      </c>
      <c r="AP4" s="37">
        <v>0.34899999999999998</v>
      </c>
      <c r="AQ4" s="37">
        <v>0.34899999999999998</v>
      </c>
      <c r="AR4" s="37">
        <v>0.34899999999999998</v>
      </c>
      <c r="AS4" s="37">
        <v>0.34899999999999998</v>
      </c>
      <c r="AT4" s="37">
        <v>0.34899999999999998</v>
      </c>
      <c r="AU4" s="37">
        <v>0.68200000000000005</v>
      </c>
      <c r="AV4" s="37">
        <v>0.877</v>
      </c>
      <c r="AW4" s="37">
        <v>0.877</v>
      </c>
      <c r="AX4" s="37">
        <v>0.877</v>
      </c>
      <c r="AY4" s="37">
        <v>0.877</v>
      </c>
      <c r="AZ4" s="37">
        <v>0.877</v>
      </c>
      <c r="BA4" s="37">
        <v>0.877</v>
      </c>
      <c r="BB4" s="37">
        <v>0.877</v>
      </c>
      <c r="BC4" s="37">
        <v>0.877</v>
      </c>
      <c r="BD4" s="37">
        <v>0.58399999999999996</v>
      </c>
      <c r="BE4" s="37">
        <v>0.58399999999999996</v>
      </c>
      <c r="BF4" s="37">
        <v>0.58399999999999996</v>
      </c>
      <c r="BG4" s="37">
        <v>0.58399999999999996</v>
      </c>
      <c r="BH4" s="37">
        <v>0.58399999999999996</v>
      </c>
      <c r="BI4" s="37">
        <v>0.58399999999999996</v>
      </c>
      <c r="BJ4" s="37">
        <v>0.52400000000000002</v>
      </c>
      <c r="BK4" s="37">
        <v>0.34899999999999998</v>
      </c>
    </row>
    <row r="5" spans="1:63" ht="33" customHeight="1" x14ac:dyDescent="0.3">
      <c r="A5" s="1026"/>
      <c r="B5" s="991"/>
      <c r="C5" s="991"/>
      <c r="D5" s="1021"/>
      <c r="E5" s="778" t="s">
        <v>443</v>
      </c>
      <c r="F5" s="778">
        <v>0</v>
      </c>
      <c r="G5" s="778">
        <v>0</v>
      </c>
      <c r="H5" s="778">
        <v>0</v>
      </c>
      <c r="I5" s="778">
        <v>0</v>
      </c>
      <c r="J5" s="778">
        <v>0</v>
      </c>
      <c r="K5" s="778">
        <v>0</v>
      </c>
      <c r="L5" s="778">
        <v>0</v>
      </c>
      <c r="M5" s="778">
        <v>0.1</v>
      </c>
      <c r="N5" s="778">
        <v>0.3</v>
      </c>
      <c r="O5" s="778">
        <v>0.4</v>
      </c>
      <c r="P5" s="778">
        <v>0.4</v>
      </c>
      <c r="Q5" s="778">
        <v>0.4</v>
      </c>
      <c r="R5" s="778">
        <v>0.4</v>
      </c>
      <c r="S5" s="778">
        <v>0.4</v>
      </c>
      <c r="T5" s="778">
        <v>0.4</v>
      </c>
      <c r="U5" s="778">
        <v>0.4</v>
      </c>
      <c r="V5" s="778">
        <v>0.4</v>
      </c>
      <c r="W5" s="778">
        <v>0.1</v>
      </c>
      <c r="X5" s="778">
        <v>0.1</v>
      </c>
      <c r="Y5" s="778">
        <v>0</v>
      </c>
      <c r="Z5" s="778">
        <v>0</v>
      </c>
      <c r="AA5" s="778">
        <v>0</v>
      </c>
      <c r="AB5" s="778">
        <v>0</v>
      </c>
      <c r="AC5" s="170">
        <v>0</v>
      </c>
      <c r="AD5" s="39"/>
      <c r="AE5" s="39"/>
      <c r="AF5" s="39"/>
      <c r="AG5" s="39"/>
      <c r="AH5" s="39"/>
      <c r="AI5" s="39"/>
      <c r="AJ5" s="39"/>
      <c r="AK5" s="39"/>
      <c r="AM5"/>
      <c r="AN5" s="37">
        <v>0.34899999999999998</v>
      </c>
      <c r="AO5" s="37">
        <v>0.34899999999999998</v>
      </c>
      <c r="AP5" s="37">
        <v>0.34899999999999998</v>
      </c>
      <c r="AQ5" s="37">
        <v>0.34899999999999998</v>
      </c>
      <c r="AR5" s="37">
        <v>0.34899999999999998</v>
      </c>
      <c r="AS5" s="37">
        <v>0.34899999999999998</v>
      </c>
      <c r="AT5" s="37">
        <v>0.34899999999999998</v>
      </c>
      <c r="AU5" s="37">
        <v>0.48699999999999999</v>
      </c>
      <c r="AV5" s="37">
        <v>0.63300000000000001</v>
      </c>
      <c r="AW5" s="37">
        <v>0.63300000000000001</v>
      </c>
      <c r="AX5" s="37">
        <v>0.63300000000000001</v>
      </c>
      <c r="AY5" s="37">
        <v>0.63300000000000001</v>
      </c>
      <c r="AZ5" s="37">
        <v>0.63300000000000001</v>
      </c>
      <c r="BA5" s="37">
        <v>0.63300000000000001</v>
      </c>
      <c r="BB5" s="37">
        <v>0.63300000000000001</v>
      </c>
      <c r="BC5" s="37">
        <v>0.63300000000000001</v>
      </c>
      <c r="BD5" s="37">
        <v>0.63300000000000001</v>
      </c>
      <c r="BE5" s="37">
        <v>0.63300000000000001</v>
      </c>
      <c r="BF5" s="37">
        <v>0.34899999999999998</v>
      </c>
      <c r="BG5" s="37">
        <v>0.34899999999999998</v>
      </c>
      <c r="BH5" s="37">
        <v>0.34899999999999998</v>
      </c>
      <c r="BI5" s="37">
        <v>0.34899999999999998</v>
      </c>
      <c r="BJ5" s="37">
        <v>0.34899999999999998</v>
      </c>
      <c r="BK5" s="37">
        <v>0.34899999999999998</v>
      </c>
    </row>
    <row r="6" spans="1:63" ht="33" customHeight="1" x14ac:dyDescent="0.3">
      <c r="A6" s="1027"/>
      <c r="B6" s="992"/>
      <c r="C6" s="992"/>
      <c r="D6" s="1022"/>
      <c r="E6" s="779" t="s">
        <v>444</v>
      </c>
      <c r="F6" s="779">
        <v>0</v>
      </c>
      <c r="G6" s="779">
        <v>0</v>
      </c>
      <c r="H6" s="779">
        <v>0</v>
      </c>
      <c r="I6" s="779">
        <v>0</v>
      </c>
      <c r="J6" s="779">
        <v>0</v>
      </c>
      <c r="K6" s="779">
        <v>0</v>
      </c>
      <c r="L6" s="779">
        <v>0</v>
      </c>
      <c r="M6" s="779">
        <v>0</v>
      </c>
      <c r="N6" s="779">
        <v>0.05</v>
      </c>
      <c r="O6" s="779">
        <v>0.05</v>
      </c>
      <c r="P6" s="779">
        <v>0.05</v>
      </c>
      <c r="Q6" s="779">
        <v>0.05</v>
      </c>
      <c r="R6" s="779">
        <v>0.05</v>
      </c>
      <c r="S6" s="779">
        <v>0.05</v>
      </c>
      <c r="T6" s="779">
        <v>0.05</v>
      </c>
      <c r="U6" s="779">
        <v>0.05</v>
      </c>
      <c r="V6" s="779">
        <v>0</v>
      </c>
      <c r="W6" s="779">
        <v>0</v>
      </c>
      <c r="X6" s="779">
        <v>0</v>
      </c>
      <c r="Y6" s="779">
        <v>0</v>
      </c>
      <c r="Z6" s="779">
        <v>0</v>
      </c>
      <c r="AA6" s="779">
        <v>0</v>
      </c>
      <c r="AB6" s="779">
        <v>0</v>
      </c>
      <c r="AC6" s="171">
        <v>0</v>
      </c>
      <c r="AD6" s="39"/>
      <c r="AE6" s="39"/>
      <c r="AF6" s="39"/>
      <c r="AG6" s="39"/>
      <c r="AH6" s="39"/>
      <c r="AI6" s="39"/>
      <c r="AJ6" s="39"/>
      <c r="AK6" s="39"/>
      <c r="AM6"/>
      <c r="AN6" s="37">
        <v>0.26200000000000001</v>
      </c>
      <c r="AO6" s="37">
        <v>0.26200000000000001</v>
      </c>
      <c r="AP6" s="37">
        <v>0.26200000000000001</v>
      </c>
      <c r="AQ6" s="37">
        <v>0.26200000000000001</v>
      </c>
      <c r="AR6" s="37">
        <v>0.26200000000000001</v>
      </c>
      <c r="AS6" s="37">
        <v>0.26200000000000001</v>
      </c>
      <c r="AT6" s="37">
        <v>0.26200000000000001</v>
      </c>
      <c r="AU6" s="37">
        <v>0.26200000000000001</v>
      </c>
      <c r="AV6" s="37">
        <v>0.34899999999999998</v>
      </c>
      <c r="AW6" s="37">
        <v>0.34899999999999998</v>
      </c>
      <c r="AX6" s="37">
        <v>0.34899999999999998</v>
      </c>
      <c r="AY6" s="37">
        <v>0.34899999999999998</v>
      </c>
      <c r="AZ6" s="37">
        <v>0.34899999999999998</v>
      </c>
      <c r="BA6" s="37">
        <v>0.34899999999999998</v>
      </c>
      <c r="BB6" s="37">
        <v>0.34899999999999998</v>
      </c>
      <c r="BC6" s="37">
        <v>0.34899999999999998</v>
      </c>
      <c r="BD6" s="37">
        <v>0.26200000000000001</v>
      </c>
      <c r="BE6" s="37">
        <v>0.26200000000000001</v>
      </c>
      <c r="BF6" s="37">
        <v>0.26200000000000001</v>
      </c>
      <c r="BG6" s="37">
        <v>0.26200000000000001</v>
      </c>
      <c r="BH6" s="37">
        <v>0.26200000000000001</v>
      </c>
      <c r="BI6" s="37">
        <v>0.26200000000000001</v>
      </c>
      <c r="BJ6" s="37">
        <v>0.26200000000000001</v>
      </c>
      <c r="BK6" s="37">
        <v>0.26200000000000001</v>
      </c>
    </row>
    <row r="7" spans="1:63" ht="38.700000000000003" customHeight="1" x14ac:dyDescent="0.3">
      <c r="A7" s="1025" t="s">
        <v>706</v>
      </c>
      <c r="B7" s="1035" t="s">
        <v>145</v>
      </c>
      <c r="C7" s="1017" t="s">
        <v>709</v>
      </c>
      <c r="D7" s="1092" t="s">
        <v>708</v>
      </c>
      <c r="E7" s="488" t="s">
        <v>442</v>
      </c>
      <c r="F7" s="488">
        <v>0.1</v>
      </c>
      <c r="G7" s="488">
        <v>0.1</v>
      </c>
      <c r="H7" s="488">
        <v>0.1</v>
      </c>
      <c r="I7" s="488">
        <v>0.1</v>
      </c>
      <c r="J7" s="488">
        <v>0.1</v>
      </c>
      <c r="K7" s="488">
        <v>0.1</v>
      </c>
      <c r="L7" s="488">
        <v>0.1</v>
      </c>
      <c r="M7" s="488">
        <v>0.45</v>
      </c>
      <c r="N7" s="488">
        <v>0.8</v>
      </c>
      <c r="O7" s="488">
        <v>0.8</v>
      </c>
      <c r="P7" s="488">
        <v>0.8</v>
      </c>
      <c r="Q7" s="488">
        <v>0.8</v>
      </c>
      <c r="R7" s="488">
        <v>0.8</v>
      </c>
      <c r="S7" s="488">
        <v>0.8</v>
      </c>
      <c r="T7" s="488">
        <v>0.8</v>
      </c>
      <c r="U7" s="488">
        <v>0.8</v>
      </c>
      <c r="V7" s="488">
        <v>0.3</v>
      </c>
      <c r="W7" s="488">
        <v>0.3</v>
      </c>
      <c r="X7" s="488">
        <v>0.3</v>
      </c>
      <c r="Y7" s="488">
        <v>0.3</v>
      </c>
      <c r="Z7" s="488">
        <v>0.3</v>
      </c>
      <c r="AA7" s="488">
        <v>0.3</v>
      </c>
      <c r="AB7" s="488">
        <v>0.3</v>
      </c>
      <c r="AC7" s="172">
        <v>0.1</v>
      </c>
      <c r="AD7" s="39"/>
      <c r="AE7" s="39"/>
      <c r="AF7" s="39"/>
      <c r="AG7" s="39"/>
      <c r="AH7" s="39"/>
      <c r="AI7" s="39"/>
      <c r="AJ7" s="39"/>
      <c r="AK7" s="39"/>
      <c r="AM7" s="50"/>
    </row>
    <row r="8" spans="1:63" ht="38.700000000000003" customHeight="1" x14ac:dyDescent="0.3">
      <c r="A8" s="1026"/>
      <c r="B8" s="991"/>
      <c r="C8" s="1018"/>
      <c r="D8" s="1021"/>
      <c r="E8" s="759" t="s">
        <v>443</v>
      </c>
      <c r="F8" s="759">
        <v>0.1</v>
      </c>
      <c r="G8" s="759">
        <v>0.1</v>
      </c>
      <c r="H8" s="759">
        <v>0.1</v>
      </c>
      <c r="I8" s="759">
        <v>0.1</v>
      </c>
      <c r="J8" s="759">
        <v>0.1</v>
      </c>
      <c r="K8" s="759">
        <v>0.1</v>
      </c>
      <c r="L8" s="759">
        <v>0.1</v>
      </c>
      <c r="M8" s="759">
        <v>0.2</v>
      </c>
      <c r="N8" s="759">
        <v>0.35</v>
      </c>
      <c r="O8" s="759">
        <v>0.35</v>
      </c>
      <c r="P8" s="759">
        <v>0.35</v>
      </c>
      <c r="Q8" s="759">
        <v>0.35</v>
      </c>
      <c r="R8" s="759">
        <v>0.35</v>
      </c>
      <c r="S8" s="759">
        <v>0.35</v>
      </c>
      <c r="T8" s="759">
        <v>0.35</v>
      </c>
      <c r="U8" s="759">
        <v>0.35</v>
      </c>
      <c r="V8" s="759">
        <v>0.35</v>
      </c>
      <c r="W8" s="759">
        <v>0.35</v>
      </c>
      <c r="X8" s="759">
        <v>0.1</v>
      </c>
      <c r="Y8" s="759">
        <v>0.1</v>
      </c>
      <c r="Z8" s="759">
        <v>0.1</v>
      </c>
      <c r="AA8" s="759">
        <v>0.1</v>
      </c>
      <c r="AB8" s="759">
        <v>0.1</v>
      </c>
      <c r="AC8" s="173">
        <v>0.1</v>
      </c>
      <c r="AD8" s="39"/>
      <c r="AE8" s="39"/>
      <c r="AF8" s="39"/>
      <c r="AG8" s="39"/>
      <c r="AH8" s="39"/>
      <c r="AI8" s="39"/>
      <c r="AJ8" s="39"/>
      <c r="AK8" s="39"/>
      <c r="AM8" s="50"/>
    </row>
    <row r="9" spans="1:63" ht="38.700000000000003" customHeight="1" x14ac:dyDescent="0.3">
      <c r="A9" s="1027"/>
      <c r="B9" s="992"/>
      <c r="C9" s="1036"/>
      <c r="D9" s="1093"/>
      <c r="E9" s="174" t="s">
        <v>444</v>
      </c>
      <c r="F9" s="174">
        <v>0.05</v>
      </c>
      <c r="G9" s="174">
        <v>0.05</v>
      </c>
      <c r="H9" s="174">
        <v>0.05</v>
      </c>
      <c r="I9" s="174">
        <v>0.05</v>
      </c>
      <c r="J9" s="174">
        <v>0.05</v>
      </c>
      <c r="K9" s="174">
        <v>0.05</v>
      </c>
      <c r="L9" s="174">
        <v>0.05</v>
      </c>
      <c r="M9" s="174">
        <v>0.05</v>
      </c>
      <c r="N9" s="174">
        <v>0.1</v>
      </c>
      <c r="O9" s="174">
        <v>0.1</v>
      </c>
      <c r="P9" s="174">
        <v>0.1</v>
      </c>
      <c r="Q9" s="174">
        <v>0.1</v>
      </c>
      <c r="R9" s="174">
        <v>0.1</v>
      </c>
      <c r="S9" s="174">
        <v>0.1</v>
      </c>
      <c r="T9" s="174">
        <v>0.1</v>
      </c>
      <c r="U9" s="174">
        <v>0.1</v>
      </c>
      <c r="V9" s="174">
        <v>0.05</v>
      </c>
      <c r="W9" s="174">
        <v>0.05</v>
      </c>
      <c r="X9" s="174">
        <v>0.05</v>
      </c>
      <c r="Y9" s="174">
        <v>0.05</v>
      </c>
      <c r="Z9" s="174">
        <v>0.05</v>
      </c>
      <c r="AA9" s="174">
        <v>0.05</v>
      </c>
      <c r="AB9" s="174">
        <v>0.05</v>
      </c>
      <c r="AC9" s="175">
        <v>0.05</v>
      </c>
      <c r="AD9" s="39"/>
      <c r="AE9" s="39"/>
      <c r="AF9" s="39"/>
      <c r="AG9" s="39"/>
      <c r="AH9" s="39"/>
      <c r="AI9" s="39"/>
      <c r="AJ9" s="39"/>
      <c r="AK9" s="39"/>
      <c r="AM9" s="50"/>
    </row>
    <row r="10" spans="1:63" ht="36" customHeight="1" x14ac:dyDescent="0.3">
      <c r="A10" s="1025" t="s">
        <v>706</v>
      </c>
      <c r="B10" s="990" t="s">
        <v>145</v>
      </c>
      <c r="C10" s="1037" t="s">
        <v>710</v>
      </c>
      <c r="D10" s="1092" t="s">
        <v>708</v>
      </c>
      <c r="E10" s="176" t="s">
        <v>442</v>
      </c>
      <c r="F10" s="177">
        <v>0.1</v>
      </c>
      <c r="G10" s="177">
        <v>0.1</v>
      </c>
      <c r="H10" s="177">
        <v>0.1</v>
      </c>
      <c r="I10" s="177">
        <v>0.1</v>
      </c>
      <c r="J10" s="177">
        <v>0.1</v>
      </c>
      <c r="K10" s="177">
        <v>0.1</v>
      </c>
      <c r="L10" s="177">
        <v>0.1</v>
      </c>
      <c r="M10" s="177">
        <v>0.5</v>
      </c>
      <c r="N10" s="177">
        <v>0.9</v>
      </c>
      <c r="O10" s="177">
        <v>0.9</v>
      </c>
      <c r="P10" s="177">
        <v>0.9</v>
      </c>
      <c r="Q10" s="177">
        <v>0.9</v>
      </c>
      <c r="R10" s="177">
        <v>0.9</v>
      </c>
      <c r="S10" s="177">
        <v>0.9</v>
      </c>
      <c r="T10" s="177">
        <v>0.9</v>
      </c>
      <c r="U10" s="177">
        <v>0.9</v>
      </c>
      <c r="V10" s="177">
        <v>0.3</v>
      </c>
      <c r="W10" s="177">
        <v>0.3</v>
      </c>
      <c r="X10" s="177">
        <v>0.3</v>
      </c>
      <c r="Y10" s="177">
        <v>0.3</v>
      </c>
      <c r="Z10" s="177">
        <v>0.3</v>
      </c>
      <c r="AA10" s="177">
        <v>0.3</v>
      </c>
      <c r="AB10" s="177">
        <v>0.3</v>
      </c>
      <c r="AC10" s="178">
        <v>0.1</v>
      </c>
      <c r="AD10" s="40"/>
      <c r="AE10" s="39"/>
      <c r="AF10" s="39"/>
      <c r="AG10" s="39"/>
      <c r="AH10" s="39"/>
      <c r="AI10" s="39"/>
      <c r="AJ10" s="39"/>
      <c r="AK10" s="39"/>
      <c r="AM10" s="50"/>
      <c r="AN10" s="70">
        <v>0.34899999999999998</v>
      </c>
      <c r="AO10" s="70">
        <v>0.34899999999999998</v>
      </c>
      <c r="AP10" s="70">
        <v>0.34899999999999998</v>
      </c>
      <c r="AQ10" s="70">
        <v>0.34899999999999998</v>
      </c>
      <c r="AR10" s="70">
        <v>0.34899999999999998</v>
      </c>
      <c r="AS10" s="70">
        <v>0.34899999999999998</v>
      </c>
      <c r="AT10" s="70">
        <v>0.34899999999999998</v>
      </c>
      <c r="AU10" s="70">
        <v>0.68200000000000005</v>
      </c>
      <c r="AV10" s="70">
        <v>0.877</v>
      </c>
      <c r="AW10" s="70">
        <v>0.877</v>
      </c>
      <c r="AX10" s="70">
        <v>0.877</v>
      </c>
      <c r="AY10" s="70">
        <v>0.877</v>
      </c>
      <c r="AZ10" s="70">
        <v>0.877</v>
      </c>
      <c r="BA10" s="70">
        <v>0.877</v>
      </c>
      <c r="BB10" s="70">
        <v>0.877</v>
      </c>
      <c r="BC10" s="70">
        <v>0.877</v>
      </c>
      <c r="BD10" s="70">
        <v>0.58399999999999996</v>
      </c>
      <c r="BE10" s="70">
        <v>0.58399999999999996</v>
      </c>
      <c r="BF10" s="70">
        <v>0.58399999999999996</v>
      </c>
      <c r="BG10" s="70">
        <v>0.58399999999999996</v>
      </c>
      <c r="BH10" s="70">
        <v>0.58399999999999996</v>
      </c>
      <c r="BI10" s="70">
        <v>0.58399999999999996</v>
      </c>
      <c r="BJ10" s="70">
        <v>0.52400000000000002</v>
      </c>
      <c r="BK10" s="70">
        <v>0.34899999999999998</v>
      </c>
    </row>
    <row r="11" spans="1:63" ht="36" customHeight="1" x14ac:dyDescent="0.3">
      <c r="A11" s="1026"/>
      <c r="B11" s="991"/>
      <c r="C11" s="1018"/>
      <c r="D11" s="1021"/>
      <c r="E11" s="759" t="s">
        <v>443</v>
      </c>
      <c r="F11" s="179">
        <v>0.1</v>
      </c>
      <c r="G11" s="179">
        <v>0.1</v>
      </c>
      <c r="H11" s="179">
        <v>0.1</v>
      </c>
      <c r="I11" s="179">
        <v>0.1</v>
      </c>
      <c r="J11" s="179">
        <v>0.1</v>
      </c>
      <c r="K11" s="179">
        <v>0.1</v>
      </c>
      <c r="L11" s="179">
        <v>0.1</v>
      </c>
      <c r="M11" s="179">
        <v>0.2</v>
      </c>
      <c r="N11" s="179">
        <v>0.4</v>
      </c>
      <c r="O11" s="179">
        <v>0.4</v>
      </c>
      <c r="P11" s="179">
        <v>0.4</v>
      </c>
      <c r="Q11" s="179">
        <v>0.4</v>
      </c>
      <c r="R11" s="179">
        <v>0.4</v>
      </c>
      <c r="S11" s="179">
        <v>0.4</v>
      </c>
      <c r="T11" s="179">
        <v>0.4</v>
      </c>
      <c r="U11" s="179">
        <v>0.4</v>
      </c>
      <c r="V11" s="179">
        <v>0.4</v>
      </c>
      <c r="W11" s="179">
        <v>0.4</v>
      </c>
      <c r="X11" s="179">
        <v>0.1</v>
      </c>
      <c r="Y11" s="179">
        <v>0.1</v>
      </c>
      <c r="Z11" s="179">
        <v>0.1</v>
      </c>
      <c r="AA11" s="179">
        <v>0.1</v>
      </c>
      <c r="AB11" s="179">
        <v>0.1</v>
      </c>
      <c r="AC11" s="180">
        <v>0.1</v>
      </c>
      <c r="AD11" s="40"/>
      <c r="AE11" s="39"/>
      <c r="AF11" s="39"/>
      <c r="AG11" s="39"/>
      <c r="AH11" s="39"/>
      <c r="AI11" s="39"/>
      <c r="AJ11" s="39"/>
      <c r="AK11" s="39"/>
      <c r="AM11" s="50"/>
      <c r="AN11" s="70">
        <v>0.34899999999999998</v>
      </c>
      <c r="AO11" s="70">
        <v>0.34899999999999998</v>
      </c>
      <c r="AP11" s="70">
        <v>0.34899999999999998</v>
      </c>
      <c r="AQ11" s="70">
        <v>0.34899999999999998</v>
      </c>
      <c r="AR11" s="70">
        <v>0.34899999999999998</v>
      </c>
      <c r="AS11" s="70">
        <v>0.34899999999999998</v>
      </c>
      <c r="AT11" s="70">
        <v>0.34899999999999998</v>
      </c>
      <c r="AU11" s="70">
        <v>0.48699999999999999</v>
      </c>
      <c r="AV11" s="70">
        <v>0.63300000000000001</v>
      </c>
      <c r="AW11" s="70">
        <v>0.63300000000000001</v>
      </c>
      <c r="AX11" s="70">
        <v>0.63300000000000001</v>
      </c>
      <c r="AY11" s="70">
        <v>0.63300000000000001</v>
      </c>
      <c r="AZ11" s="70">
        <v>0.63300000000000001</v>
      </c>
      <c r="BA11" s="70">
        <v>0.63300000000000001</v>
      </c>
      <c r="BB11" s="70">
        <v>0.63300000000000001</v>
      </c>
      <c r="BC11" s="70">
        <v>0.63300000000000001</v>
      </c>
      <c r="BD11" s="70">
        <v>0.63300000000000001</v>
      </c>
      <c r="BE11" s="70">
        <v>0.63300000000000001</v>
      </c>
      <c r="BF11" s="70">
        <v>0.34899999999999998</v>
      </c>
      <c r="BG11" s="70">
        <v>0.34899999999999998</v>
      </c>
      <c r="BH11" s="70">
        <v>0.34899999999999998</v>
      </c>
      <c r="BI11" s="70">
        <v>0.34899999999999998</v>
      </c>
      <c r="BJ11" s="70">
        <v>0.34899999999999998</v>
      </c>
      <c r="BK11" s="70">
        <v>0.34899999999999998</v>
      </c>
    </row>
    <row r="12" spans="1:63" ht="36" customHeight="1" x14ac:dyDescent="0.3">
      <c r="A12" s="1027"/>
      <c r="B12" s="992"/>
      <c r="C12" s="1019"/>
      <c r="D12" s="1093"/>
      <c r="E12" s="174" t="s">
        <v>444</v>
      </c>
      <c r="F12" s="181">
        <v>0.05</v>
      </c>
      <c r="G12" s="181">
        <v>0.05</v>
      </c>
      <c r="H12" s="181">
        <v>0.05</v>
      </c>
      <c r="I12" s="181">
        <v>0.05</v>
      </c>
      <c r="J12" s="181">
        <v>0.05</v>
      </c>
      <c r="K12" s="181">
        <v>0.05</v>
      </c>
      <c r="L12" s="181">
        <v>0.05</v>
      </c>
      <c r="M12" s="181">
        <v>0.05</v>
      </c>
      <c r="N12" s="181">
        <v>0.1</v>
      </c>
      <c r="O12" s="181">
        <v>0.1</v>
      </c>
      <c r="P12" s="181">
        <v>0.1</v>
      </c>
      <c r="Q12" s="181">
        <v>0.1</v>
      </c>
      <c r="R12" s="181">
        <v>0.1</v>
      </c>
      <c r="S12" s="181">
        <v>0.1</v>
      </c>
      <c r="T12" s="181">
        <v>0.1</v>
      </c>
      <c r="U12" s="181">
        <v>0.1</v>
      </c>
      <c r="V12" s="181">
        <v>0.05</v>
      </c>
      <c r="W12" s="181">
        <v>0.05</v>
      </c>
      <c r="X12" s="181">
        <v>0.05</v>
      </c>
      <c r="Y12" s="181">
        <v>0.05</v>
      </c>
      <c r="Z12" s="181">
        <v>0.05</v>
      </c>
      <c r="AA12" s="181">
        <v>0.05</v>
      </c>
      <c r="AB12" s="181">
        <v>0.05</v>
      </c>
      <c r="AC12" s="182">
        <v>0.05</v>
      </c>
      <c r="AD12" s="40"/>
      <c r="AE12" s="39"/>
      <c r="AF12" s="39"/>
      <c r="AG12" s="39"/>
      <c r="AH12" s="39"/>
      <c r="AI12" s="39"/>
      <c r="AJ12" s="39"/>
      <c r="AK12" s="39"/>
      <c r="AM12" s="50"/>
      <c r="AN12" s="70">
        <v>0.26200000000000001</v>
      </c>
      <c r="AO12" s="70">
        <v>0.26200000000000001</v>
      </c>
      <c r="AP12" s="70">
        <v>0.26200000000000001</v>
      </c>
      <c r="AQ12" s="70">
        <v>0.26200000000000001</v>
      </c>
      <c r="AR12" s="70">
        <v>0.26200000000000001</v>
      </c>
      <c r="AS12" s="70">
        <v>0.26200000000000001</v>
      </c>
      <c r="AT12" s="70">
        <v>0.26200000000000001</v>
      </c>
      <c r="AU12" s="70">
        <v>0.26200000000000001</v>
      </c>
      <c r="AV12" s="70">
        <v>0.34899999999999998</v>
      </c>
      <c r="AW12" s="70">
        <v>0.34899999999999998</v>
      </c>
      <c r="AX12" s="70">
        <v>0.34899999999999998</v>
      </c>
      <c r="AY12" s="70">
        <v>0.34899999999999998</v>
      </c>
      <c r="AZ12" s="70">
        <v>0.34899999999999998</v>
      </c>
      <c r="BA12" s="70">
        <v>0.34899999999999998</v>
      </c>
      <c r="BB12" s="70">
        <v>0.34899999999999998</v>
      </c>
      <c r="BC12" s="70">
        <v>0.34899999999999998</v>
      </c>
      <c r="BD12" s="70">
        <v>0.26200000000000001</v>
      </c>
      <c r="BE12" s="70">
        <v>0.26200000000000001</v>
      </c>
      <c r="BF12" s="70">
        <v>0.26200000000000001</v>
      </c>
      <c r="BG12" s="70">
        <v>0.26200000000000001</v>
      </c>
      <c r="BH12" s="70">
        <v>0.26200000000000001</v>
      </c>
      <c r="BI12" s="70">
        <v>0.26200000000000001</v>
      </c>
      <c r="BJ12" s="70">
        <v>0.26200000000000001</v>
      </c>
      <c r="BK12" s="70">
        <v>0.26200000000000001</v>
      </c>
    </row>
    <row r="13" spans="1:63" ht="36" customHeight="1" x14ac:dyDescent="0.3">
      <c r="A13" s="1025" t="s">
        <v>706</v>
      </c>
      <c r="B13" s="990" t="s">
        <v>145</v>
      </c>
      <c r="C13" s="1017" t="s">
        <v>711</v>
      </c>
      <c r="D13" s="1092" t="s">
        <v>708</v>
      </c>
      <c r="E13" s="777" t="s">
        <v>442</v>
      </c>
      <c r="F13" s="777">
        <v>0.01</v>
      </c>
      <c r="G13" s="777">
        <v>0.01</v>
      </c>
      <c r="H13" s="777">
        <v>0.01</v>
      </c>
      <c r="I13" s="777">
        <v>0.01</v>
      </c>
      <c r="J13" s="777">
        <v>0.01</v>
      </c>
      <c r="K13" s="777">
        <v>0.01</v>
      </c>
      <c r="L13" s="777">
        <v>0.01</v>
      </c>
      <c r="M13" s="777">
        <v>0.17</v>
      </c>
      <c r="N13" s="777">
        <v>0.57999999999999996</v>
      </c>
      <c r="O13" s="777">
        <v>0.66</v>
      </c>
      <c r="P13" s="777">
        <v>0.78</v>
      </c>
      <c r="Q13" s="777">
        <v>0.82</v>
      </c>
      <c r="R13" s="777">
        <v>0.71</v>
      </c>
      <c r="S13" s="777">
        <v>0.82</v>
      </c>
      <c r="T13" s="777">
        <v>0.78</v>
      </c>
      <c r="U13" s="777">
        <v>0.74</v>
      </c>
      <c r="V13" s="777">
        <v>0.63</v>
      </c>
      <c r="W13" s="777">
        <v>0.41</v>
      </c>
      <c r="X13" s="777">
        <v>0.18</v>
      </c>
      <c r="Y13" s="777">
        <v>0.18</v>
      </c>
      <c r="Z13" s="777">
        <v>0.18</v>
      </c>
      <c r="AA13" s="777">
        <v>0.1</v>
      </c>
      <c r="AB13" s="777">
        <v>0.01</v>
      </c>
      <c r="AC13" s="169">
        <v>0.01</v>
      </c>
      <c r="AD13" s="39"/>
      <c r="AE13" s="39"/>
      <c r="AF13" s="39"/>
      <c r="AG13" s="39"/>
      <c r="AH13" s="39"/>
      <c r="AI13" s="39"/>
      <c r="AJ13" s="39"/>
      <c r="AK13" s="39"/>
      <c r="AM13" s="50"/>
      <c r="AN13" s="70"/>
    </row>
    <row r="14" spans="1:63" ht="36" customHeight="1" x14ac:dyDescent="0.3">
      <c r="A14" s="1026"/>
      <c r="B14" s="991"/>
      <c r="C14" s="1018"/>
      <c r="D14" s="1021"/>
      <c r="E14" s="778" t="s">
        <v>443</v>
      </c>
      <c r="F14" s="778">
        <v>0.01</v>
      </c>
      <c r="G14" s="778">
        <v>0.01</v>
      </c>
      <c r="H14" s="778">
        <v>0.01</v>
      </c>
      <c r="I14" s="778">
        <v>0.01</v>
      </c>
      <c r="J14" s="778">
        <v>0.01</v>
      </c>
      <c r="K14" s="778">
        <v>0.01</v>
      </c>
      <c r="L14" s="778">
        <v>0.01</v>
      </c>
      <c r="M14" s="778">
        <v>0.01</v>
      </c>
      <c r="N14" s="778">
        <v>0.2</v>
      </c>
      <c r="O14" s="778">
        <v>0.28000000000000003</v>
      </c>
      <c r="P14" s="778">
        <v>0.3</v>
      </c>
      <c r="Q14" s="778">
        <v>0.3</v>
      </c>
      <c r="R14" s="778">
        <v>0.24</v>
      </c>
      <c r="S14" s="778">
        <v>0.24</v>
      </c>
      <c r="T14" s="778">
        <v>0.23</v>
      </c>
      <c r="U14" s="778">
        <v>0.23</v>
      </c>
      <c r="V14" s="778">
        <v>0.23</v>
      </c>
      <c r="W14" s="778">
        <v>0.1</v>
      </c>
      <c r="X14" s="778">
        <v>0.01</v>
      </c>
      <c r="Y14" s="778">
        <v>0.01</v>
      </c>
      <c r="Z14" s="778">
        <v>0.01</v>
      </c>
      <c r="AA14" s="778">
        <v>0.01</v>
      </c>
      <c r="AB14" s="778">
        <v>0.01</v>
      </c>
      <c r="AC14" s="170">
        <v>0.01</v>
      </c>
      <c r="AD14" s="39"/>
      <c r="AE14" s="39"/>
      <c r="AF14" s="39"/>
      <c r="AG14" s="39"/>
      <c r="AH14" s="39"/>
      <c r="AI14" s="39"/>
      <c r="AJ14" s="39"/>
      <c r="AK14" s="39"/>
      <c r="AM14" s="50"/>
      <c r="AN14" s="70"/>
    </row>
    <row r="15" spans="1:63" ht="36" customHeight="1" x14ac:dyDescent="0.3">
      <c r="A15" s="1027"/>
      <c r="B15" s="992"/>
      <c r="C15" s="1019"/>
      <c r="D15" s="1093"/>
      <c r="E15" s="779" t="s">
        <v>444</v>
      </c>
      <c r="F15" s="779">
        <v>0.01</v>
      </c>
      <c r="G15" s="779">
        <v>0.01</v>
      </c>
      <c r="H15" s="779">
        <v>0.01</v>
      </c>
      <c r="I15" s="779">
        <v>0.01</v>
      </c>
      <c r="J15" s="779">
        <v>0.01</v>
      </c>
      <c r="K15" s="779">
        <v>0.01</v>
      </c>
      <c r="L15" s="779">
        <v>0.01</v>
      </c>
      <c r="M15" s="779">
        <v>0.01</v>
      </c>
      <c r="N15" s="779">
        <v>0.01</v>
      </c>
      <c r="O15" s="779">
        <v>0.01</v>
      </c>
      <c r="P15" s="779">
        <v>0.01</v>
      </c>
      <c r="Q15" s="779">
        <v>0.01</v>
      </c>
      <c r="R15" s="779">
        <v>0.01</v>
      </c>
      <c r="S15" s="779">
        <v>0.01</v>
      </c>
      <c r="T15" s="779">
        <v>0.01</v>
      </c>
      <c r="U15" s="779">
        <v>0.01</v>
      </c>
      <c r="V15" s="779">
        <v>0.01</v>
      </c>
      <c r="W15" s="779">
        <v>0.01</v>
      </c>
      <c r="X15" s="779">
        <v>0.01</v>
      </c>
      <c r="Y15" s="779">
        <v>0.01</v>
      </c>
      <c r="Z15" s="779">
        <v>0.01</v>
      </c>
      <c r="AA15" s="779">
        <v>0.01</v>
      </c>
      <c r="AB15" s="779">
        <v>0.01</v>
      </c>
      <c r="AC15" s="171">
        <v>0.01</v>
      </c>
      <c r="AD15" s="39"/>
      <c r="AE15" s="39"/>
      <c r="AF15" s="39"/>
      <c r="AG15" s="39"/>
      <c r="AH15" s="39"/>
      <c r="AI15" s="39"/>
      <c r="AJ15" s="39"/>
      <c r="AK15" s="39"/>
      <c r="AM15" s="50"/>
      <c r="AN15" s="70"/>
    </row>
    <row r="16" spans="1:63" ht="36" customHeight="1" x14ac:dyDescent="0.3">
      <c r="A16" s="1025" t="s">
        <v>706</v>
      </c>
      <c r="B16" s="990" t="s">
        <v>145</v>
      </c>
      <c r="C16" s="1017" t="s">
        <v>712</v>
      </c>
      <c r="D16" s="1092" t="s">
        <v>708</v>
      </c>
      <c r="E16" s="176" t="s">
        <v>442</v>
      </c>
      <c r="F16" s="177">
        <v>0</v>
      </c>
      <c r="G16" s="177">
        <v>0</v>
      </c>
      <c r="H16" s="177">
        <v>0</v>
      </c>
      <c r="I16" s="177">
        <v>0</v>
      </c>
      <c r="J16" s="177">
        <v>0</v>
      </c>
      <c r="K16" s="177">
        <v>0</v>
      </c>
      <c r="L16" s="177">
        <v>0</v>
      </c>
      <c r="M16" s="177">
        <v>0.75</v>
      </c>
      <c r="N16" s="177">
        <v>0.9</v>
      </c>
      <c r="O16" s="177">
        <v>0.9</v>
      </c>
      <c r="P16" s="177">
        <v>0.9</v>
      </c>
      <c r="Q16" s="177">
        <v>0.9</v>
      </c>
      <c r="R16" s="177">
        <v>0.9</v>
      </c>
      <c r="S16" s="177">
        <v>0.9</v>
      </c>
      <c r="T16" s="177">
        <v>0.9</v>
      </c>
      <c r="U16" s="177">
        <v>0.9</v>
      </c>
      <c r="V16" s="177">
        <v>0.9</v>
      </c>
      <c r="W16" s="177">
        <v>0.75</v>
      </c>
      <c r="X16" s="177">
        <v>0.2</v>
      </c>
      <c r="Y16" s="177">
        <v>0.1</v>
      </c>
      <c r="Z16" s="177">
        <v>0</v>
      </c>
      <c r="AA16" s="177">
        <v>0</v>
      </c>
      <c r="AB16" s="177">
        <v>0</v>
      </c>
      <c r="AC16" s="178">
        <v>0</v>
      </c>
      <c r="AD16" s="40"/>
      <c r="AE16" s="39"/>
      <c r="AF16" s="39"/>
      <c r="AG16" s="39"/>
      <c r="AH16" s="39"/>
      <c r="AI16" s="39"/>
      <c r="AJ16" s="39"/>
      <c r="AK16" s="39"/>
      <c r="AM16" s="50"/>
      <c r="AN16" s="70"/>
    </row>
    <row r="17" spans="1:40" ht="36" customHeight="1" x14ac:dyDescent="0.3">
      <c r="A17" s="1026"/>
      <c r="B17" s="991"/>
      <c r="C17" s="1018"/>
      <c r="D17" s="1021"/>
      <c r="E17" s="759" t="s">
        <v>443</v>
      </c>
      <c r="F17" s="179">
        <v>0</v>
      </c>
      <c r="G17" s="179">
        <v>0</v>
      </c>
      <c r="H17" s="179">
        <v>0</v>
      </c>
      <c r="I17" s="179">
        <v>0</v>
      </c>
      <c r="J17" s="179">
        <v>0</v>
      </c>
      <c r="K17" s="179">
        <v>0</v>
      </c>
      <c r="L17" s="179">
        <v>0</v>
      </c>
      <c r="M17" s="179">
        <v>0.3</v>
      </c>
      <c r="N17" s="179">
        <v>0.5</v>
      </c>
      <c r="O17" s="179">
        <v>0.5</v>
      </c>
      <c r="P17" s="179">
        <v>0.5</v>
      </c>
      <c r="Q17" s="179">
        <v>0.5</v>
      </c>
      <c r="R17" s="179">
        <v>0.5</v>
      </c>
      <c r="S17" s="179">
        <v>0.5</v>
      </c>
      <c r="T17" s="179">
        <v>0.5</v>
      </c>
      <c r="U17" s="179">
        <v>0.5</v>
      </c>
      <c r="V17" s="179">
        <v>0.5</v>
      </c>
      <c r="W17" s="179">
        <v>0.3</v>
      </c>
      <c r="X17" s="179">
        <v>0</v>
      </c>
      <c r="Y17" s="179">
        <v>0</v>
      </c>
      <c r="Z17" s="179">
        <v>0</v>
      </c>
      <c r="AA17" s="179">
        <v>0</v>
      </c>
      <c r="AB17" s="179">
        <v>0</v>
      </c>
      <c r="AC17" s="180">
        <v>0</v>
      </c>
      <c r="AD17" s="40"/>
      <c r="AE17" s="39"/>
      <c r="AF17" s="39"/>
      <c r="AG17" s="39"/>
      <c r="AH17" s="39"/>
      <c r="AI17" s="39"/>
      <c r="AJ17" s="39"/>
      <c r="AK17" s="39"/>
      <c r="AM17" s="50"/>
      <c r="AN17" s="70"/>
    </row>
    <row r="18" spans="1:40" ht="36" customHeight="1" x14ac:dyDescent="0.3">
      <c r="A18" s="1027"/>
      <c r="B18" s="1089"/>
      <c r="C18" s="1036"/>
      <c r="D18" s="1065"/>
      <c r="E18" s="174" t="s">
        <v>444</v>
      </c>
      <c r="F18" s="181">
        <v>0</v>
      </c>
      <c r="G18" s="181">
        <v>0</v>
      </c>
      <c r="H18" s="181">
        <v>0</v>
      </c>
      <c r="I18" s="181">
        <v>0</v>
      </c>
      <c r="J18" s="181">
        <v>0</v>
      </c>
      <c r="K18" s="181">
        <v>0</v>
      </c>
      <c r="L18" s="181">
        <v>0</v>
      </c>
      <c r="M18" s="181">
        <v>0</v>
      </c>
      <c r="N18" s="181">
        <v>0</v>
      </c>
      <c r="O18" s="181">
        <v>0</v>
      </c>
      <c r="P18" s="181">
        <v>0</v>
      </c>
      <c r="Q18" s="181">
        <v>0</v>
      </c>
      <c r="R18" s="181">
        <v>0</v>
      </c>
      <c r="S18" s="181">
        <v>0</v>
      </c>
      <c r="T18" s="181">
        <v>0</v>
      </c>
      <c r="U18" s="181">
        <v>0</v>
      </c>
      <c r="V18" s="181">
        <v>0</v>
      </c>
      <c r="W18" s="181">
        <v>0</v>
      </c>
      <c r="X18" s="181">
        <v>0</v>
      </c>
      <c r="Y18" s="181">
        <v>0</v>
      </c>
      <c r="Z18" s="181">
        <v>0</v>
      </c>
      <c r="AA18" s="181">
        <v>0</v>
      </c>
      <c r="AB18" s="181">
        <v>0</v>
      </c>
      <c r="AC18" s="182">
        <v>0</v>
      </c>
      <c r="AD18" s="40"/>
      <c r="AE18" s="39"/>
      <c r="AF18" s="39"/>
      <c r="AG18" s="39"/>
      <c r="AH18" s="39"/>
      <c r="AI18" s="39"/>
      <c r="AJ18" s="39"/>
      <c r="AK18" s="39"/>
      <c r="AM18" s="50"/>
      <c r="AN18" s="70"/>
    </row>
    <row r="19" spans="1:40" ht="36" customHeight="1" x14ac:dyDescent="0.3">
      <c r="A19" s="1025" t="s">
        <v>706</v>
      </c>
      <c r="B19" s="990" t="s">
        <v>145</v>
      </c>
      <c r="C19" s="1015" t="s">
        <v>713</v>
      </c>
      <c r="D19" s="1094" t="s">
        <v>708</v>
      </c>
      <c r="E19" s="176" t="s">
        <v>442</v>
      </c>
      <c r="F19" s="177">
        <v>0.9</v>
      </c>
      <c r="G19" s="177">
        <v>0.9</v>
      </c>
      <c r="H19" s="177">
        <v>0.9</v>
      </c>
      <c r="I19" s="177">
        <v>0.9</v>
      </c>
      <c r="J19" s="177">
        <v>0.9</v>
      </c>
      <c r="K19" s="177">
        <v>0.9</v>
      </c>
      <c r="L19" s="177">
        <v>0.9</v>
      </c>
      <c r="M19" s="177">
        <v>0.9</v>
      </c>
      <c r="N19" s="177">
        <v>0.9</v>
      </c>
      <c r="O19" s="177">
        <v>0.9</v>
      </c>
      <c r="P19" s="177">
        <v>0.9</v>
      </c>
      <c r="Q19" s="177">
        <v>0.9</v>
      </c>
      <c r="R19" s="177">
        <v>0.9</v>
      </c>
      <c r="S19" s="177">
        <v>0.9</v>
      </c>
      <c r="T19" s="177">
        <v>0.9</v>
      </c>
      <c r="U19" s="177">
        <v>0.9</v>
      </c>
      <c r="V19" s="177">
        <v>0.9</v>
      </c>
      <c r="W19" s="177">
        <v>0.9</v>
      </c>
      <c r="X19" s="177">
        <v>0.9</v>
      </c>
      <c r="Y19" s="177">
        <v>0.9</v>
      </c>
      <c r="Z19" s="177">
        <v>0.9</v>
      </c>
      <c r="AA19" s="177">
        <v>0.9</v>
      </c>
      <c r="AB19" s="177">
        <v>0.9</v>
      </c>
      <c r="AC19" s="178">
        <v>0.9</v>
      </c>
      <c r="AD19" s="40"/>
      <c r="AE19" s="39"/>
      <c r="AF19" s="39"/>
      <c r="AG19" s="39"/>
      <c r="AH19" s="39"/>
      <c r="AI19" s="39"/>
      <c r="AJ19" s="39"/>
      <c r="AK19" s="39"/>
      <c r="AM19" s="50"/>
      <c r="AN19" s="70"/>
    </row>
    <row r="20" spans="1:40" ht="36" customHeight="1" x14ac:dyDescent="0.3">
      <c r="A20" s="1026"/>
      <c r="B20" s="991"/>
      <c r="C20" s="924"/>
      <c r="D20" s="1073"/>
      <c r="E20" s="759" t="s">
        <v>443</v>
      </c>
      <c r="F20" s="179">
        <v>0.9</v>
      </c>
      <c r="G20" s="179">
        <v>0.9</v>
      </c>
      <c r="H20" s="179">
        <v>0.9</v>
      </c>
      <c r="I20" s="179">
        <v>0.9</v>
      </c>
      <c r="J20" s="179">
        <v>0.9</v>
      </c>
      <c r="K20" s="179">
        <v>0.9</v>
      </c>
      <c r="L20" s="179">
        <v>0.9</v>
      </c>
      <c r="M20" s="179">
        <v>0.9</v>
      </c>
      <c r="N20" s="179">
        <v>0.9</v>
      </c>
      <c r="O20" s="179">
        <v>0.9</v>
      </c>
      <c r="P20" s="179">
        <v>0.9</v>
      </c>
      <c r="Q20" s="179">
        <v>0.9</v>
      </c>
      <c r="R20" s="179">
        <v>0.9</v>
      </c>
      <c r="S20" s="179">
        <v>0.9</v>
      </c>
      <c r="T20" s="179">
        <v>0.9</v>
      </c>
      <c r="U20" s="179">
        <v>0.9</v>
      </c>
      <c r="V20" s="179">
        <v>0.9</v>
      </c>
      <c r="W20" s="179">
        <v>0.9</v>
      </c>
      <c r="X20" s="179">
        <v>0.9</v>
      </c>
      <c r="Y20" s="179">
        <v>0.9</v>
      </c>
      <c r="Z20" s="179">
        <v>0.9</v>
      </c>
      <c r="AA20" s="179">
        <v>0.9</v>
      </c>
      <c r="AB20" s="179">
        <v>0.9</v>
      </c>
      <c r="AC20" s="180">
        <v>0.9</v>
      </c>
      <c r="AD20" s="40"/>
      <c r="AE20" s="39"/>
      <c r="AF20" s="39"/>
      <c r="AG20" s="39"/>
      <c r="AH20" s="39"/>
      <c r="AI20" s="39"/>
      <c r="AJ20" s="39"/>
      <c r="AK20" s="39"/>
      <c r="AM20" s="50"/>
      <c r="AN20" s="70"/>
    </row>
    <row r="21" spans="1:40" ht="36" customHeight="1" x14ac:dyDescent="0.3">
      <c r="A21" s="1027"/>
      <c r="B21" s="992"/>
      <c r="C21" s="1016"/>
      <c r="D21" s="1095"/>
      <c r="E21" s="487" t="s">
        <v>444</v>
      </c>
      <c r="F21" s="183">
        <v>0.9</v>
      </c>
      <c r="G21" s="183">
        <v>0.9</v>
      </c>
      <c r="H21" s="183">
        <v>0.9</v>
      </c>
      <c r="I21" s="183">
        <v>0.9</v>
      </c>
      <c r="J21" s="183">
        <v>0.9</v>
      </c>
      <c r="K21" s="183">
        <v>0.9</v>
      </c>
      <c r="L21" s="183">
        <v>0.9</v>
      </c>
      <c r="M21" s="183">
        <v>0.9</v>
      </c>
      <c r="N21" s="183">
        <v>0.9</v>
      </c>
      <c r="O21" s="183">
        <v>0.9</v>
      </c>
      <c r="P21" s="183">
        <v>0.9</v>
      </c>
      <c r="Q21" s="183">
        <v>0.9</v>
      </c>
      <c r="R21" s="183">
        <v>0.9</v>
      </c>
      <c r="S21" s="183">
        <v>0.9</v>
      </c>
      <c r="T21" s="183">
        <v>0.9</v>
      </c>
      <c r="U21" s="183">
        <v>0.9</v>
      </c>
      <c r="V21" s="183">
        <v>0.9</v>
      </c>
      <c r="W21" s="183">
        <v>0.9</v>
      </c>
      <c r="X21" s="183">
        <v>0.9</v>
      </c>
      <c r="Y21" s="183">
        <v>0.9</v>
      </c>
      <c r="Z21" s="183">
        <v>0.9</v>
      </c>
      <c r="AA21" s="183">
        <v>0.9</v>
      </c>
      <c r="AB21" s="183">
        <v>0.9</v>
      </c>
      <c r="AC21" s="184">
        <v>0.9</v>
      </c>
      <c r="AD21" s="40"/>
      <c r="AE21" s="39"/>
      <c r="AF21" s="39"/>
      <c r="AG21" s="39"/>
      <c r="AH21" s="39"/>
      <c r="AI21" s="39"/>
      <c r="AJ21" s="39"/>
      <c r="AK21" s="39"/>
      <c r="AM21" s="50"/>
      <c r="AN21" s="70"/>
    </row>
    <row r="22" spans="1:40" ht="36" customHeight="1" x14ac:dyDescent="0.3">
      <c r="A22" s="1025" t="s">
        <v>706</v>
      </c>
      <c r="B22" s="1035" t="s">
        <v>145</v>
      </c>
      <c r="C22" s="1034" t="s">
        <v>299</v>
      </c>
      <c r="D22" s="1072" t="s">
        <v>708</v>
      </c>
      <c r="E22" s="176" t="s">
        <v>442</v>
      </c>
      <c r="F22" s="177">
        <f>IF(F4=0,1,0.25)</f>
        <v>1</v>
      </c>
      <c r="G22" s="177">
        <f t="shared" ref="G22:AC22" si="0">IF(G4=0,1,0.25)</f>
        <v>1</v>
      </c>
      <c r="H22" s="177">
        <f t="shared" si="0"/>
        <v>1</v>
      </c>
      <c r="I22" s="177">
        <f t="shared" si="0"/>
        <v>1</v>
      </c>
      <c r="J22" s="177">
        <f t="shared" si="0"/>
        <v>1</v>
      </c>
      <c r="K22" s="177">
        <f t="shared" si="0"/>
        <v>1</v>
      </c>
      <c r="L22" s="177">
        <f t="shared" si="0"/>
        <v>1</v>
      </c>
      <c r="M22" s="177">
        <f t="shared" si="0"/>
        <v>0.25</v>
      </c>
      <c r="N22" s="177">
        <f t="shared" si="0"/>
        <v>0.25</v>
      </c>
      <c r="O22" s="177">
        <f t="shared" si="0"/>
        <v>0.25</v>
      </c>
      <c r="P22" s="177">
        <f t="shared" si="0"/>
        <v>0.25</v>
      </c>
      <c r="Q22" s="177">
        <f t="shared" si="0"/>
        <v>0.25</v>
      </c>
      <c r="R22" s="177">
        <f t="shared" si="0"/>
        <v>0.25</v>
      </c>
      <c r="S22" s="177">
        <f t="shared" si="0"/>
        <v>0.25</v>
      </c>
      <c r="T22" s="177">
        <f t="shared" si="0"/>
        <v>0.25</v>
      </c>
      <c r="U22" s="177">
        <f t="shared" si="0"/>
        <v>0.25</v>
      </c>
      <c r="V22" s="177">
        <f t="shared" si="0"/>
        <v>0.25</v>
      </c>
      <c r="W22" s="177">
        <f t="shared" si="0"/>
        <v>0.25</v>
      </c>
      <c r="X22" s="177">
        <f t="shared" si="0"/>
        <v>0.25</v>
      </c>
      <c r="Y22" s="177">
        <f t="shared" si="0"/>
        <v>0.25</v>
      </c>
      <c r="Z22" s="177">
        <f t="shared" si="0"/>
        <v>0.25</v>
      </c>
      <c r="AA22" s="177">
        <f t="shared" si="0"/>
        <v>0.25</v>
      </c>
      <c r="AB22" s="177">
        <f t="shared" si="0"/>
        <v>1</v>
      </c>
      <c r="AC22" s="178">
        <f t="shared" si="0"/>
        <v>1</v>
      </c>
      <c r="AD22" s="40"/>
      <c r="AE22" s="39"/>
      <c r="AF22" s="39"/>
      <c r="AG22" s="39"/>
      <c r="AH22" s="39"/>
      <c r="AI22" s="39"/>
      <c r="AJ22" s="39"/>
      <c r="AK22" s="39"/>
      <c r="AM22" s="50"/>
      <c r="AN22" s="70"/>
    </row>
    <row r="23" spans="1:40" ht="36" customHeight="1" x14ac:dyDescent="0.3">
      <c r="A23" s="1026"/>
      <c r="B23" s="991"/>
      <c r="C23" s="924"/>
      <c r="D23" s="1073"/>
      <c r="E23" s="759" t="s">
        <v>443</v>
      </c>
      <c r="F23" s="179">
        <f t="shared" ref="F23:F24" si="1">IF(F5=0,1,0.25)</f>
        <v>1</v>
      </c>
      <c r="G23" s="179">
        <f t="shared" ref="G23:AC23" si="2">IF(G5=0,1,0.25)</f>
        <v>1</v>
      </c>
      <c r="H23" s="179">
        <f t="shared" si="2"/>
        <v>1</v>
      </c>
      <c r="I23" s="179">
        <f t="shared" si="2"/>
        <v>1</v>
      </c>
      <c r="J23" s="179">
        <f t="shared" si="2"/>
        <v>1</v>
      </c>
      <c r="K23" s="179">
        <f t="shared" si="2"/>
        <v>1</v>
      </c>
      <c r="L23" s="179">
        <f t="shared" si="2"/>
        <v>1</v>
      </c>
      <c r="M23" s="179">
        <f t="shared" si="2"/>
        <v>0.25</v>
      </c>
      <c r="N23" s="179">
        <f t="shared" si="2"/>
        <v>0.25</v>
      </c>
      <c r="O23" s="179">
        <f t="shared" si="2"/>
        <v>0.25</v>
      </c>
      <c r="P23" s="179">
        <f t="shared" si="2"/>
        <v>0.25</v>
      </c>
      <c r="Q23" s="179">
        <f t="shared" si="2"/>
        <v>0.25</v>
      </c>
      <c r="R23" s="179">
        <f t="shared" si="2"/>
        <v>0.25</v>
      </c>
      <c r="S23" s="179">
        <f t="shared" si="2"/>
        <v>0.25</v>
      </c>
      <c r="T23" s="179">
        <f t="shared" si="2"/>
        <v>0.25</v>
      </c>
      <c r="U23" s="179">
        <f t="shared" si="2"/>
        <v>0.25</v>
      </c>
      <c r="V23" s="179">
        <f t="shared" si="2"/>
        <v>0.25</v>
      </c>
      <c r="W23" s="179">
        <f t="shared" si="2"/>
        <v>0.25</v>
      </c>
      <c r="X23" s="179">
        <f t="shared" si="2"/>
        <v>0.25</v>
      </c>
      <c r="Y23" s="179">
        <f t="shared" si="2"/>
        <v>1</v>
      </c>
      <c r="Z23" s="179">
        <f t="shared" si="2"/>
        <v>1</v>
      </c>
      <c r="AA23" s="179">
        <f t="shared" si="2"/>
        <v>1</v>
      </c>
      <c r="AB23" s="179">
        <f t="shared" si="2"/>
        <v>1</v>
      </c>
      <c r="AC23" s="180">
        <f t="shared" si="2"/>
        <v>1</v>
      </c>
      <c r="AD23" s="40"/>
      <c r="AE23" s="39"/>
      <c r="AF23" s="39"/>
      <c r="AG23" s="39"/>
      <c r="AH23" s="39"/>
      <c r="AI23" s="39"/>
      <c r="AJ23" s="39"/>
      <c r="AK23" s="39"/>
      <c r="AM23" s="50"/>
      <c r="AN23" s="70"/>
    </row>
    <row r="24" spans="1:40" ht="36" customHeight="1" x14ac:dyDescent="0.3">
      <c r="A24" s="1027"/>
      <c r="B24" s="1089"/>
      <c r="C24" s="1053"/>
      <c r="D24" s="1074"/>
      <c r="E24" s="487" t="s">
        <v>444</v>
      </c>
      <c r="F24" s="183">
        <f t="shared" si="1"/>
        <v>1</v>
      </c>
      <c r="G24" s="183">
        <f t="shared" ref="G24:AC24" si="3">IF(G6=0,1,0.25)</f>
        <v>1</v>
      </c>
      <c r="H24" s="183">
        <f t="shared" si="3"/>
        <v>1</v>
      </c>
      <c r="I24" s="183">
        <f t="shared" si="3"/>
        <v>1</v>
      </c>
      <c r="J24" s="183">
        <f t="shared" si="3"/>
        <v>1</v>
      </c>
      <c r="K24" s="183">
        <f t="shared" si="3"/>
        <v>1</v>
      </c>
      <c r="L24" s="183">
        <f t="shared" si="3"/>
        <v>1</v>
      </c>
      <c r="M24" s="183">
        <f t="shared" si="3"/>
        <v>1</v>
      </c>
      <c r="N24" s="183">
        <f t="shared" si="3"/>
        <v>0.25</v>
      </c>
      <c r="O24" s="183">
        <f t="shared" si="3"/>
        <v>0.25</v>
      </c>
      <c r="P24" s="183">
        <f t="shared" si="3"/>
        <v>0.25</v>
      </c>
      <c r="Q24" s="183">
        <f t="shared" si="3"/>
        <v>0.25</v>
      </c>
      <c r="R24" s="183">
        <f t="shared" si="3"/>
        <v>0.25</v>
      </c>
      <c r="S24" s="183">
        <f t="shared" si="3"/>
        <v>0.25</v>
      </c>
      <c r="T24" s="183">
        <f t="shared" si="3"/>
        <v>0.25</v>
      </c>
      <c r="U24" s="183">
        <f t="shared" si="3"/>
        <v>0.25</v>
      </c>
      <c r="V24" s="183">
        <f t="shared" si="3"/>
        <v>1</v>
      </c>
      <c r="W24" s="183">
        <f t="shared" si="3"/>
        <v>1</v>
      </c>
      <c r="X24" s="183">
        <f t="shared" si="3"/>
        <v>1</v>
      </c>
      <c r="Y24" s="183">
        <f t="shared" si="3"/>
        <v>1</v>
      </c>
      <c r="Z24" s="183">
        <f t="shared" si="3"/>
        <v>1</v>
      </c>
      <c r="AA24" s="183">
        <f t="shared" si="3"/>
        <v>1</v>
      </c>
      <c r="AB24" s="183">
        <f t="shared" si="3"/>
        <v>1</v>
      </c>
      <c r="AC24" s="184">
        <f t="shared" si="3"/>
        <v>1</v>
      </c>
      <c r="AD24" s="40"/>
      <c r="AE24" s="39"/>
      <c r="AF24" s="39"/>
      <c r="AG24" s="39"/>
      <c r="AH24" s="39"/>
      <c r="AI24" s="39"/>
      <c r="AJ24" s="39"/>
      <c r="AK24" s="39"/>
      <c r="AM24" s="50"/>
      <c r="AN24" s="70"/>
    </row>
    <row r="25" spans="1:40" ht="31.2" customHeight="1" x14ac:dyDescent="0.3">
      <c r="A25" s="1025" t="s">
        <v>706</v>
      </c>
      <c r="B25" s="990" t="s">
        <v>145</v>
      </c>
      <c r="C25" s="1015" t="s">
        <v>714</v>
      </c>
      <c r="D25" s="1094" t="s">
        <v>708</v>
      </c>
      <c r="E25" s="254" t="s">
        <v>442</v>
      </c>
      <c r="F25" s="185">
        <v>0</v>
      </c>
      <c r="G25" s="185">
        <v>0</v>
      </c>
      <c r="H25" s="185">
        <v>0</v>
      </c>
      <c r="I25" s="185">
        <v>0</v>
      </c>
      <c r="J25" s="185">
        <v>0</v>
      </c>
      <c r="K25" s="185">
        <v>0</v>
      </c>
      <c r="L25" s="185">
        <v>1</v>
      </c>
      <c r="M25" s="185">
        <v>1</v>
      </c>
      <c r="N25" s="185">
        <v>1</v>
      </c>
      <c r="O25" s="185">
        <v>1</v>
      </c>
      <c r="P25" s="185">
        <v>1</v>
      </c>
      <c r="Q25" s="185">
        <v>1</v>
      </c>
      <c r="R25" s="185">
        <v>1</v>
      </c>
      <c r="S25" s="185">
        <v>1</v>
      </c>
      <c r="T25" s="185">
        <v>1</v>
      </c>
      <c r="U25" s="185">
        <v>1</v>
      </c>
      <c r="V25" s="185">
        <v>1</v>
      </c>
      <c r="W25" s="185">
        <v>1</v>
      </c>
      <c r="X25" s="185">
        <v>1</v>
      </c>
      <c r="Y25" s="185">
        <v>1</v>
      </c>
      <c r="Z25" s="185">
        <v>1</v>
      </c>
      <c r="AA25" s="185">
        <v>1</v>
      </c>
      <c r="AB25" s="185">
        <v>0</v>
      </c>
      <c r="AC25" s="186">
        <v>0</v>
      </c>
      <c r="AN25" s="70"/>
    </row>
    <row r="26" spans="1:40" ht="30" customHeight="1" x14ac:dyDescent="0.3">
      <c r="A26" s="1026"/>
      <c r="B26" s="991"/>
      <c r="C26" s="924"/>
      <c r="D26" s="1073"/>
      <c r="E26" s="255" t="s">
        <v>443</v>
      </c>
      <c r="F26" s="187">
        <v>0</v>
      </c>
      <c r="G26" s="187">
        <v>0</v>
      </c>
      <c r="H26" s="187">
        <v>0</v>
      </c>
      <c r="I26" s="187">
        <v>0</v>
      </c>
      <c r="J26" s="187">
        <v>0</v>
      </c>
      <c r="K26" s="187">
        <v>0</v>
      </c>
      <c r="L26" s="187">
        <v>1</v>
      </c>
      <c r="M26" s="187">
        <v>1</v>
      </c>
      <c r="N26" s="187">
        <v>1</v>
      </c>
      <c r="O26" s="187">
        <v>1</v>
      </c>
      <c r="P26" s="187">
        <v>1</v>
      </c>
      <c r="Q26" s="187">
        <v>1</v>
      </c>
      <c r="R26" s="187">
        <v>1</v>
      </c>
      <c r="S26" s="187">
        <v>1</v>
      </c>
      <c r="T26" s="187">
        <v>1</v>
      </c>
      <c r="U26" s="187">
        <v>1</v>
      </c>
      <c r="V26" s="187">
        <v>1</v>
      </c>
      <c r="W26" s="187">
        <v>1</v>
      </c>
      <c r="X26" s="187">
        <v>1</v>
      </c>
      <c r="Y26" s="187">
        <v>0</v>
      </c>
      <c r="Z26" s="187">
        <v>0</v>
      </c>
      <c r="AA26" s="187">
        <v>0</v>
      </c>
      <c r="AB26" s="187">
        <v>0</v>
      </c>
      <c r="AC26" s="188">
        <v>0</v>
      </c>
      <c r="AN26" s="70"/>
    </row>
    <row r="27" spans="1:40" ht="33" customHeight="1" x14ac:dyDescent="0.3">
      <c r="A27" s="1027"/>
      <c r="B27" s="992"/>
      <c r="C27" s="1016"/>
      <c r="D27" s="1095"/>
      <c r="E27" s="256" t="s">
        <v>444</v>
      </c>
      <c r="F27" s="226">
        <v>0</v>
      </c>
      <c r="G27" s="226">
        <v>0</v>
      </c>
      <c r="H27" s="226">
        <v>0</v>
      </c>
      <c r="I27" s="226">
        <v>0</v>
      </c>
      <c r="J27" s="226">
        <v>0</v>
      </c>
      <c r="K27" s="226">
        <v>0</v>
      </c>
      <c r="L27" s="226">
        <v>0</v>
      </c>
      <c r="M27" s="226">
        <v>1</v>
      </c>
      <c r="N27" s="226">
        <v>1</v>
      </c>
      <c r="O27" s="226">
        <v>1</v>
      </c>
      <c r="P27" s="226">
        <v>1</v>
      </c>
      <c r="Q27" s="226">
        <v>1</v>
      </c>
      <c r="R27" s="226">
        <v>1</v>
      </c>
      <c r="S27" s="226">
        <v>1</v>
      </c>
      <c r="T27" s="226">
        <v>1</v>
      </c>
      <c r="U27" s="226">
        <v>1</v>
      </c>
      <c r="V27" s="226">
        <v>0</v>
      </c>
      <c r="W27" s="226">
        <v>0</v>
      </c>
      <c r="X27" s="226">
        <v>0</v>
      </c>
      <c r="Y27" s="226">
        <v>0</v>
      </c>
      <c r="Z27" s="226">
        <v>0</v>
      </c>
      <c r="AA27" s="226">
        <v>0</v>
      </c>
      <c r="AB27" s="226">
        <v>0</v>
      </c>
      <c r="AC27" s="227">
        <v>0</v>
      </c>
      <c r="AN27" s="70"/>
    </row>
    <row r="28" spans="1:40" ht="22.95" customHeight="1" x14ac:dyDescent="0.3">
      <c r="A28" s="1025" t="s">
        <v>706</v>
      </c>
      <c r="B28" s="990" t="s">
        <v>145</v>
      </c>
      <c r="C28" s="1028" t="s">
        <v>715</v>
      </c>
      <c r="D28" s="1031"/>
      <c r="E28" s="254" t="s">
        <v>442</v>
      </c>
      <c r="F28" s="185">
        <f>IF(F25=0,Thermostat!$B$4,Thermostat!$B$3)</f>
        <v>70</v>
      </c>
      <c r="G28" s="185">
        <f>IF(G25=0,Thermostat!$B$4,Thermostat!$B$3)</f>
        <v>70</v>
      </c>
      <c r="H28" s="185">
        <f>IF(H25=0,Thermostat!$B$4,Thermostat!$B$3)</f>
        <v>70</v>
      </c>
      <c r="I28" s="185">
        <f>IF(I25=0,Thermostat!$B$4,Thermostat!$B$3)</f>
        <v>70</v>
      </c>
      <c r="J28" s="185">
        <f>IF(J25=0,Thermostat!$B$4,Thermostat!$B$3)</f>
        <v>70</v>
      </c>
      <c r="K28" s="185">
        <f>IF(K25=0,Thermostat!$B$4,Thermostat!$B$3)</f>
        <v>70</v>
      </c>
      <c r="L28" s="185">
        <f>IF(L25=0,Thermostat!$B$4,Thermostat!$B$3)</f>
        <v>70</v>
      </c>
      <c r="M28" s="185">
        <f>IF(M25=0,Thermostat!$B$4,Thermostat!$B$3)</f>
        <v>70</v>
      </c>
      <c r="N28" s="185">
        <f>IF(N25=0,Thermostat!$B$4,Thermostat!$B$3)</f>
        <v>70</v>
      </c>
      <c r="O28" s="185">
        <f>IF(O25=0,Thermostat!$B$4,Thermostat!$B$3)</f>
        <v>70</v>
      </c>
      <c r="P28" s="185">
        <f>IF(P25=0,Thermostat!$B$4,Thermostat!$B$3)</f>
        <v>70</v>
      </c>
      <c r="Q28" s="185">
        <f>IF(Q25=0,Thermostat!$B$4,Thermostat!$B$3)</f>
        <v>70</v>
      </c>
      <c r="R28" s="185">
        <f>IF(R25=0,Thermostat!$B$4,Thermostat!$B$3)</f>
        <v>70</v>
      </c>
      <c r="S28" s="185">
        <f>IF(S25=0,Thermostat!$B$4,Thermostat!$B$3)</f>
        <v>70</v>
      </c>
      <c r="T28" s="185">
        <f>IF(T25=0,Thermostat!$B$4,Thermostat!$B$3)</f>
        <v>70</v>
      </c>
      <c r="U28" s="185">
        <f>IF(U25=0,Thermostat!$B$4,Thermostat!$B$3)</f>
        <v>70</v>
      </c>
      <c r="V28" s="185">
        <f>IF(V25=0,Thermostat!$B$4,Thermostat!$B$3)</f>
        <v>70</v>
      </c>
      <c r="W28" s="185">
        <f>IF(W25=0,Thermostat!$B$4,Thermostat!$B$3)</f>
        <v>70</v>
      </c>
      <c r="X28" s="185">
        <f>IF(X25=0,Thermostat!$B$4,Thermostat!$B$3)</f>
        <v>70</v>
      </c>
      <c r="Y28" s="185">
        <f>IF(Y25=0,Thermostat!$B$4,Thermostat!$B$3)</f>
        <v>70</v>
      </c>
      <c r="Z28" s="185">
        <f>IF(Z25=0,Thermostat!$B$4,Thermostat!$B$3)</f>
        <v>70</v>
      </c>
      <c r="AA28" s="185">
        <f>IF(AA25=0,Thermostat!$B$4,Thermostat!$B$3)</f>
        <v>70</v>
      </c>
      <c r="AB28" s="185">
        <f>IF(AB25=0,Thermostat!$B$4,Thermostat!$B$3)</f>
        <v>70</v>
      </c>
      <c r="AC28" s="186">
        <f>IF(AC25=0,Thermostat!$B$4,Thermostat!$B$3)</f>
        <v>70</v>
      </c>
      <c r="AN28" s="70"/>
    </row>
    <row r="29" spans="1:40" ht="22.95" customHeight="1" x14ac:dyDescent="0.3">
      <c r="A29" s="1026"/>
      <c r="B29" s="991"/>
      <c r="C29" s="1029"/>
      <c r="D29" s="1032"/>
      <c r="E29" s="255" t="s">
        <v>443</v>
      </c>
      <c r="F29" s="187">
        <f>IF(F26=0,Thermostat!$B$4,Thermostat!$B$3)</f>
        <v>70</v>
      </c>
      <c r="G29" s="187">
        <f>IF(G26=0,Thermostat!$B$4,Thermostat!$B$3)</f>
        <v>70</v>
      </c>
      <c r="H29" s="187">
        <f>IF(H26=0,Thermostat!$B$4,Thermostat!$B$3)</f>
        <v>70</v>
      </c>
      <c r="I29" s="187">
        <f>IF(I26=0,Thermostat!$B$4,Thermostat!$B$3)</f>
        <v>70</v>
      </c>
      <c r="J29" s="187">
        <f>IF(J26=0,Thermostat!$B$4,Thermostat!$B$3)</f>
        <v>70</v>
      </c>
      <c r="K29" s="187">
        <f>IF(K26=0,Thermostat!$B$4,Thermostat!$B$3)</f>
        <v>70</v>
      </c>
      <c r="L29" s="187">
        <f>IF(L26=0,Thermostat!$B$4,Thermostat!$B$3)</f>
        <v>70</v>
      </c>
      <c r="M29" s="187">
        <f>IF(M26=0,Thermostat!$B$4,Thermostat!$B$3)</f>
        <v>70</v>
      </c>
      <c r="N29" s="187">
        <f>IF(N26=0,Thermostat!$B$4,Thermostat!$B$3)</f>
        <v>70</v>
      </c>
      <c r="O29" s="187">
        <f>IF(O26=0,Thermostat!$B$4,Thermostat!$B$3)</f>
        <v>70</v>
      </c>
      <c r="P29" s="187">
        <f>IF(P26=0,Thermostat!$B$4,Thermostat!$B$3)</f>
        <v>70</v>
      </c>
      <c r="Q29" s="187">
        <f>IF(Q26=0,Thermostat!$B$4,Thermostat!$B$3)</f>
        <v>70</v>
      </c>
      <c r="R29" s="187">
        <f>IF(R26=0,Thermostat!$B$4,Thermostat!$B$3)</f>
        <v>70</v>
      </c>
      <c r="S29" s="187">
        <f>IF(S26=0,Thermostat!$B$4,Thermostat!$B$3)</f>
        <v>70</v>
      </c>
      <c r="T29" s="187">
        <f>IF(T26=0,Thermostat!$B$4,Thermostat!$B$3)</f>
        <v>70</v>
      </c>
      <c r="U29" s="187">
        <f>IF(U26=0,Thermostat!$B$4,Thermostat!$B$3)</f>
        <v>70</v>
      </c>
      <c r="V29" s="187">
        <f>IF(V26=0,Thermostat!$B$4,Thermostat!$B$3)</f>
        <v>70</v>
      </c>
      <c r="W29" s="187">
        <f>IF(W26=0,Thermostat!$B$4,Thermostat!$B$3)</f>
        <v>70</v>
      </c>
      <c r="X29" s="187">
        <f>IF(X26=0,Thermostat!$B$4,Thermostat!$B$3)</f>
        <v>70</v>
      </c>
      <c r="Y29" s="187">
        <f>IF(Y26=0,Thermostat!$B$4,Thermostat!$B$3)</f>
        <v>70</v>
      </c>
      <c r="Z29" s="187">
        <f>IF(Z26=0,Thermostat!$B$4,Thermostat!$B$3)</f>
        <v>70</v>
      </c>
      <c r="AA29" s="187">
        <f>IF(AA26=0,Thermostat!$B$4,Thermostat!$B$3)</f>
        <v>70</v>
      </c>
      <c r="AB29" s="187">
        <f>IF(AB26=0,Thermostat!$B$4,Thermostat!$B$3)</f>
        <v>70</v>
      </c>
      <c r="AC29" s="188">
        <f>IF(AC26=0,Thermostat!$B$4,Thermostat!$B$3)</f>
        <v>70</v>
      </c>
      <c r="AN29" s="70"/>
    </row>
    <row r="30" spans="1:40" ht="22.95" customHeight="1" x14ac:dyDescent="0.3">
      <c r="A30" s="1027"/>
      <c r="B30" s="992"/>
      <c r="C30" s="1030"/>
      <c r="D30" s="1033"/>
      <c r="E30" s="256" t="s">
        <v>444</v>
      </c>
      <c r="F30" s="226">
        <f>IF(F27=0,Thermostat!$B$4,Thermostat!$B$3)</f>
        <v>70</v>
      </c>
      <c r="G30" s="226">
        <f>IF(G27=0,Thermostat!$B$4,Thermostat!$B$3)</f>
        <v>70</v>
      </c>
      <c r="H30" s="226">
        <f>IF(H27=0,Thermostat!$B$4,Thermostat!$B$3)</f>
        <v>70</v>
      </c>
      <c r="I30" s="226">
        <f>IF(I27=0,Thermostat!$B$4,Thermostat!$B$3)</f>
        <v>70</v>
      </c>
      <c r="J30" s="226">
        <f>IF(J27=0,Thermostat!$B$4,Thermostat!$B$3)</f>
        <v>70</v>
      </c>
      <c r="K30" s="226">
        <f>IF(K27=0,Thermostat!$B$4,Thermostat!$B$3)</f>
        <v>70</v>
      </c>
      <c r="L30" s="226">
        <f>IF(L27=0,Thermostat!$B$4,Thermostat!$B$3)</f>
        <v>70</v>
      </c>
      <c r="M30" s="226">
        <f>IF(M27=0,Thermostat!$B$4,Thermostat!$B$3)</f>
        <v>70</v>
      </c>
      <c r="N30" s="226">
        <f>IF(N27=0,Thermostat!$B$4,Thermostat!$B$3)</f>
        <v>70</v>
      </c>
      <c r="O30" s="226">
        <f>IF(O27=0,Thermostat!$B$4,Thermostat!$B$3)</f>
        <v>70</v>
      </c>
      <c r="P30" s="226">
        <f>IF(P27=0,Thermostat!$B$4,Thermostat!$B$3)</f>
        <v>70</v>
      </c>
      <c r="Q30" s="226">
        <f>IF(Q27=0,Thermostat!$B$4,Thermostat!$B$3)</f>
        <v>70</v>
      </c>
      <c r="R30" s="226">
        <f>IF(R27=0,Thermostat!$B$4,Thermostat!$B$3)</f>
        <v>70</v>
      </c>
      <c r="S30" s="226">
        <f>IF(S27=0,Thermostat!$B$4,Thermostat!$B$3)</f>
        <v>70</v>
      </c>
      <c r="T30" s="226">
        <f>IF(T27=0,Thermostat!$B$4,Thermostat!$B$3)</f>
        <v>70</v>
      </c>
      <c r="U30" s="226">
        <f>IF(U27=0,Thermostat!$B$4,Thermostat!$B$3)</f>
        <v>70</v>
      </c>
      <c r="V30" s="226">
        <f>IF(V27=0,Thermostat!$B$4,Thermostat!$B$3)</f>
        <v>70</v>
      </c>
      <c r="W30" s="226">
        <f>IF(W27=0,Thermostat!$B$4,Thermostat!$B$3)</f>
        <v>70</v>
      </c>
      <c r="X30" s="226">
        <f>IF(X27=0,Thermostat!$B$4,Thermostat!$B$3)</f>
        <v>70</v>
      </c>
      <c r="Y30" s="226">
        <f>IF(Y27=0,Thermostat!$B$4,Thermostat!$B$3)</f>
        <v>70</v>
      </c>
      <c r="Z30" s="226">
        <f>IF(Z27=0,Thermostat!$B$4,Thermostat!$B$3)</f>
        <v>70</v>
      </c>
      <c r="AA30" s="226">
        <f>IF(AA27=0,Thermostat!$B$4,Thermostat!$B$3)</f>
        <v>70</v>
      </c>
      <c r="AB30" s="226">
        <f>IF(AB27=0,Thermostat!$B$4,Thermostat!$B$3)</f>
        <v>70</v>
      </c>
      <c r="AC30" s="227">
        <f>IF(AC27=0,Thermostat!$B$4,Thermostat!$B$3)</f>
        <v>70</v>
      </c>
      <c r="AN30" s="70"/>
    </row>
    <row r="31" spans="1:40" ht="22.95" customHeight="1" x14ac:dyDescent="0.3">
      <c r="A31" s="1025" t="s">
        <v>706</v>
      </c>
      <c r="B31" s="990" t="s">
        <v>145</v>
      </c>
      <c r="C31" s="1028" t="s">
        <v>716</v>
      </c>
      <c r="D31" s="1031"/>
      <c r="E31" s="220" t="s">
        <v>442</v>
      </c>
      <c r="F31" s="786">
        <f>IF(F25=1,Thermostat!$B$5,Thermostat!$B$6)</f>
        <v>75</v>
      </c>
      <c r="G31" s="786">
        <f>IF(G25=1,Thermostat!$B$5,Thermostat!$B$6)</f>
        <v>75</v>
      </c>
      <c r="H31" s="786">
        <f>IF(H25=1,Thermostat!$B$5,Thermostat!$B$6)</f>
        <v>75</v>
      </c>
      <c r="I31" s="786">
        <f>IF(I25=1,Thermostat!$B$5,Thermostat!$B$6)</f>
        <v>75</v>
      </c>
      <c r="J31" s="786">
        <f>IF(J25=1,Thermostat!$B$5,Thermostat!$B$6)</f>
        <v>75</v>
      </c>
      <c r="K31" s="786">
        <f>IF(K25=1,Thermostat!$B$5,Thermostat!$B$6)</f>
        <v>75</v>
      </c>
      <c r="L31" s="786">
        <f>IF(L25=1,Thermostat!$B$5,Thermostat!$B$6)</f>
        <v>75</v>
      </c>
      <c r="M31" s="786">
        <f>IF(M25=1,Thermostat!$B$5,Thermostat!$B$6)</f>
        <v>75</v>
      </c>
      <c r="N31" s="786">
        <f>IF(N25=1,Thermostat!$B$5,Thermostat!$B$6)</f>
        <v>75</v>
      </c>
      <c r="O31" s="786">
        <f>IF(O25=1,Thermostat!$B$5,Thermostat!$B$6)</f>
        <v>75</v>
      </c>
      <c r="P31" s="786">
        <f>IF(P25=1,Thermostat!$B$5,Thermostat!$B$6)</f>
        <v>75</v>
      </c>
      <c r="Q31" s="786">
        <f>IF(Q25=1,Thermostat!$B$5,Thermostat!$B$6)</f>
        <v>75</v>
      </c>
      <c r="R31" s="786">
        <f>IF(R25=1,Thermostat!$B$5,Thermostat!$B$6)</f>
        <v>75</v>
      </c>
      <c r="S31" s="786">
        <f>IF(S25=1,Thermostat!$B$5,Thermostat!$B$6)</f>
        <v>75</v>
      </c>
      <c r="T31" s="786">
        <f>IF(T25=1,Thermostat!$B$5,Thermostat!$B$6)</f>
        <v>75</v>
      </c>
      <c r="U31" s="786">
        <f>IF(U25=1,Thermostat!$B$5,Thermostat!$B$6)</f>
        <v>75</v>
      </c>
      <c r="V31" s="786">
        <f>IF(V25=1,Thermostat!$B$5,Thermostat!$B$6)</f>
        <v>75</v>
      </c>
      <c r="W31" s="786">
        <f>IF(W25=1,Thermostat!$B$5,Thermostat!$B$6)</f>
        <v>75</v>
      </c>
      <c r="X31" s="786">
        <f>IF(X25=1,Thermostat!$B$5,Thermostat!$B$6)</f>
        <v>75</v>
      </c>
      <c r="Y31" s="786">
        <f>IF(Y25=1,Thermostat!$B$5,Thermostat!$B$6)</f>
        <v>75</v>
      </c>
      <c r="Z31" s="786">
        <f>IF(Z25=1,Thermostat!$B$5,Thermostat!$B$6)</f>
        <v>75</v>
      </c>
      <c r="AA31" s="786">
        <f>IF(AA25=1,Thermostat!$B$5,Thermostat!$B$6)</f>
        <v>75</v>
      </c>
      <c r="AB31" s="786">
        <f>IF(AB25=1,Thermostat!$B$5,Thermostat!$B$6)</f>
        <v>75</v>
      </c>
      <c r="AC31" s="221">
        <f>IF(AC25=1,Thermostat!$B$5,Thermostat!$B$6)</f>
        <v>75</v>
      </c>
      <c r="AN31" s="70"/>
    </row>
    <row r="32" spans="1:40" ht="22.95" customHeight="1" x14ac:dyDescent="0.3">
      <c r="A32" s="1026"/>
      <c r="B32" s="991"/>
      <c r="C32" s="1029"/>
      <c r="D32" s="1032"/>
      <c r="E32" s="222" t="s">
        <v>443</v>
      </c>
      <c r="F32" s="787">
        <f>IF(F26=1,Thermostat!$B$5,Thermostat!$B$6)</f>
        <v>75</v>
      </c>
      <c r="G32" s="787">
        <f>IF(G26=1,Thermostat!$B$5,Thermostat!$B$6)</f>
        <v>75</v>
      </c>
      <c r="H32" s="787">
        <f>IF(H26=1,Thermostat!$B$5,Thermostat!$B$6)</f>
        <v>75</v>
      </c>
      <c r="I32" s="787">
        <f>IF(I26=1,Thermostat!$B$5,Thermostat!$B$6)</f>
        <v>75</v>
      </c>
      <c r="J32" s="787">
        <f>IF(J26=1,Thermostat!$B$5,Thermostat!$B$6)</f>
        <v>75</v>
      </c>
      <c r="K32" s="787">
        <f>IF(K26=1,Thermostat!$B$5,Thermostat!$B$6)</f>
        <v>75</v>
      </c>
      <c r="L32" s="787">
        <f>IF(L26=1,Thermostat!$B$5,Thermostat!$B$6)</f>
        <v>75</v>
      </c>
      <c r="M32" s="787">
        <f>IF(M26=1,Thermostat!$B$5,Thermostat!$B$6)</f>
        <v>75</v>
      </c>
      <c r="N32" s="787">
        <f>IF(N26=1,Thermostat!$B$5,Thermostat!$B$6)</f>
        <v>75</v>
      </c>
      <c r="O32" s="787">
        <f>IF(O26=1,Thermostat!$B$5,Thermostat!$B$6)</f>
        <v>75</v>
      </c>
      <c r="P32" s="787">
        <f>IF(P26=1,Thermostat!$B$5,Thermostat!$B$6)</f>
        <v>75</v>
      </c>
      <c r="Q32" s="787">
        <f>IF(Q26=1,Thermostat!$B$5,Thermostat!$B$6)</f>
        <v>75</v>
      </c>
      <c r="R32" s="787">
        <f>IF(R26=1,Thermostat!$B$5,Thermostat!$B$6)</f>
        <v>75</v>
      </c>
      <c r="S32" s="787">
        <f>IF(S26=1,Thermostat!$B$5,Thermostat!$B$6)</f>
        <v>75</v>
      </c>
      <c r="T32" s="787">
        <f>IF(T26=1,Thermostat!$B$5,Thermostat!$B$6)</f>
        <v>75</v>
      </c>
      <c r="U32" s="787">
        <f>IF(U26=1,Thermostat!$B$5,Thermostat!$B$6)</f>
        <v>75</v>
      </c>
      <c r="V32" s="787">
        <f>IF(V26=1,Thermostat!$B$5,Thermostat!$B$6)</f>
        <v>75</v>
      </c>
      <c r="W32" s="787">
        <f>IF(W26=1,Thermostat!$B$5,Thermostat!$B$6)</f>
        <v>75</v>
      </c>
      <c r="X32" s="787">
        <f>IF(X26=1,Thermostat!$B$5,Thermostat!$B$6)</f>
        <v>75</v>
      </c>
      <c r="Y32" s="787">
        <f>IF(Y26=1,Thermostat!$B$5,Thermostat!$B$6)</f>
        <v>75</v>
      </c>
      <c r="Z32" s="787">
        <f>IF(Z26=1,Thermostat!$B$5,Thermostat!$B$6)</f>
        <v>75</v>
      </c>
      <c r="AA32" s="787">
        <f>IF(AA26=1,Thermostat!$B$5,Thermostat!$B$6)</f>
        <v>75</v>
      </c>
      <c r="AB32" s="787">
        <f>IF(AB26=1,Thermostat!$B$5,Thermostat!$B$6)</f>
        <v>75</v>
      </c>
      <c r="AC32" s="223">
        <f>IF(AC26=1,Thermostat!$B$5,Thermostat!$B$6)</f>
        <v>75</v>
      </c>
      <c r="AN32" s="70"/>
    </row>
    <row r="33" spans="1:63" ht="22.95" customHeight="1" x14ac:dyDescent="0.3">
      <c r="A33" s="1027"/>
      <c r="B33" s="992"/>
      <c r="C33" s="1030"/>
      <c r="D33" s="1033"/>
      <c r="E33" s="224" t="s">
        <v>444</v>
      </c>
      <c r="F33" s="788">
        <f>IF(F27=1,Thermostat!$B$5,Thermostat!$B$6)</f>
        <v>75</v>
      </c>
      <c r="G33" s="788">
        <f>IF(G27=1,Thermostat!$B$5,Thermostat!$B$6)</f>
        <v>75</v>
      </c>
      <c r="H33" s="788">
        <f>IF(H27=1,Thermostat!$B$5,Thermostat!$B$6)</f>
        <v>75</v>
      </c>
      <c r="I33" s="788">
        <f>IF(I27=1,Thermostat!$B$5,Thermostat!$B$6)</f>
        <v>75</v>
      </c>
      <c r="J33" s="788">
        <f>IF(J27=1,Thermostat!$B$5,Thermostat!$B$6)</f>
        <v>75</v>
      </c>
      <c r="K33" s="788">
        <f>IF(K27=1,Thermostat!$B$5,Thermostat!$B$6)</f>
        <v>75</v>
      </c>
      <c r="L33" s="788">
        <f>IF(L27=1,Thermostat!$B$5,Thermostat!$B$6)</f>
        <v>75</v>
      </c>
      <c r="M33" s="788">
        <f>IF(M27=1,Thermostat!$B$5,Thermostat!$B$6)</f>
        <v>75</v>
      </c>
      <c r="N33" s="788">
        <f>IF(N27=1,Thermostat!$B$5,Thermostat!$B$6)</f>
        <v>75</v>
      </c>
      <c r="O33" s="788">
        <f>IF(O27=1,Thermostat!$B$5,Thermostat!$B$6)</f>
        <v>75</v>
      </c>
      <c r="P33" s="788">
        <f>IF(P27=1,Thermostat!$B$5,Thermostat!$B$6)</f>
        <v>75</v>
      </c>
      <c r="Q33" s="788">
        <f>IF(Q27=1,Thermostat!$B$5,Thermostat!$B$6)</f>
        <v>75</v>
      </c>
      <c r="R33" s="788">
        <f>IF(R27=1,Thermostat!$B$5,Thermostat!$B$6)</f>
        <v>75</v>
      </c>
      <c r="S33" s="788">
        <f>IF(S27=1,Thermostat!$B$5,Thermostat!$B$6)</f>
        <v>75</v>
      </c>
      <c r="T33" s="788">
        <f>IF(T27=1,Thermostat!$B$5,Thermostat!$B$6)</f>
        <v>75</v>
      </c>
      <c r="U33" s="788">
        <f>IF(U27=1,Thermostat!$B$5,Thermostat!$B$6)</f>
        <v>75</v>
      </c>
      <c r="V33" s="788">
        <f>IF(V27=1,Thermostat!$B$5,Thermostat!$B$6)</f>
        <v>75</v>
      </c>
      <c r="W33" s="788">
        <f>IF(W27=1,Thermostat!$B$5,Thermostat!$B$6)</f>
        <v>75</v>
      </c>
      <c r="X33" s="788">
        <f>IF(X27=1,Thermostat!$B$5,Thermostat!$B$6)</f>
        <v>75</v>
      </c>
      <c r="Y33" s="788">
        <f>IF(Y27=1,Thermostat!$B$5,Thermostat!$B$6)</f>
        <v>75</v>
      </c>
      <c r="Z33" s="788">
        <f>IF(Z27=1,Thermostat!$B$5,Thermostat!$B$6)</f>
        <v>75</v>
      </c>
      <c r="AA33" s="788">
        <f>IF(AA27=1,Thermostat!$B$5,Thermostat!$B$6)</f>
        <v>75</v>
      </c>
      <c r="AB33" s="788">
        <f>IF(AB27=1,Thermostat!$B$5,Thermostat!$B$6)</f>
        <v>75</v>
      </c>
      <c r="AC33" s="225">
        <f>IF(AC27=1,Thermostat!$B$5,Thermostat!$B$6)</f>
        <v>75</v>
      </c>
      <c r="AN33" s="70"/>
    </row>
    <row r="34" spans="1:63" ht="25.2" customHeight="1" x14ac:dyDescent="0.3">
      <c r="A34" s="1008" t="s">
        <v>159</v>
      </c>
      <c r="B34" s="1008"/>
      <c r="C34" s="1008" t="s">
        <v>717</v>
      </c>
      <c r="D34" s="1008"/>
      <c r="E34" s="1008"/>
      <c r="F34" s="1008"/>
      <c r="G34" s="1008"/>
      <c r="H34" s="1008"/>
      <c r="I34" s="1008"/>
      <c r="J34" s="1008"/>
      <c r="K34" s="1008"/>
      <c r="L34" s="1008"/>
      <c r="M34" s="1008"/>
      <c r="N34" s="1008"/>
      <c r="O34" s="1008"/>
      <c r="P34" s="1008"/>
      <c r="Q34" s="1008"/>
      <c r="R34" s="1008"/>
      <c r="S34" s="1008"/>
      <c r="T34" s="1008"/>
      <c r="U34" s="1008"/>
      <c r="V34" s="1008"/>
      <c r="W34" s="1008"/>
      <c r="X34" s="1008"/>
      <c r="Y34" s="1008"/>
      <c r="Z34" s="1008"/>
      <c r="AA34" s="1008"/>
      <c r="AB34" s="1008"/>
      <c r="AC34" s="1009"/>
    </row>
    <row r="35" spans="1:63" ht="25.2" customHeight="1" x14ac:dyDescent="0.3">
      <c r="A35" s="1025" t="s">
        <v>718</v>
      </c>
      <c r="B35" s="990" t="s">
        <v>159</v>
      </c>
      <c r="C35" s="990" t="s">
        <v>707</v>
      </c>
      <c r="D35" s="1020" t="s">
        <v>719</v>
      </c>
      <c r="E35" s="777" t="s">
        <v>442</v>
      </c>
      <c r="F35" s="777">
        <v>0.4</v>
      </c>
      <c r="G35" s="777">
        <v>0.4</v>
      </c>
      <c r="H35" s="777">
        <v>0.4</v>
      </c>
      <c r="I35" s="777">
        <v>0.4</v>
      </c>
      <c r="J35" s="777">
        <v>0.4</v>
      </c>
      <c r="K35" s="777">
        <v>0.4</v>
      </c>
      <c r="L35" s="777">
        <v>0.4</v>
      </c>
      <c r="M35" s="777">
        <v>0.5</v>
      </c>
      <c r="N35" s="777">
        <v>0.6</v>
      </c>
      <c r="O35" s="777">
        <v>0.8</v>
      </c>
      <c r="P35" s="777">
        <v>0.8</v>
      </c>
      <c r="Q35" s="777">
        <v>0.8</v>
      </c>
      <c r="R35" s="777">
        <v>0.8</v>
      </c>
      <c r="S35" s="777">
        <v>0.8</v>
      </c>
      <c r="T35" s="777">
        <v>0.8</v>
      </c>
      <c r="U35" s="777">
        <v>0.8</v>
      </c>
      <c r="V35" s="777">
        <v>0.8</v>
      </c>
      <c r="W35" s="777">
        <v>0.6</v>
      </c>
      <c r="X35" s="777">
        <v>0.5</v>
      </c>
      <c r="Y35" s="777">
        <v>0.5</v>
      </c>
      <c r="Z35" s="777">
        <v>0.4</v>
      </c>
      <c r="AA35" s="777">
        <v>0.4</v>
      </c>
      <c r="AB35" s="777">
        <v>0.4</v>
      </c>
      <c r="AC35" s="169">
        <v>0.4</v>
      </c>
      <c r="AD35" s="39"/>
      <c r="AE35" s="39"/>
      <c r="AF35" s="39"/>
      <c r="AG35" s="39"/>
      <c r="AH35" s="39"/>
      <c r="AI35" s="39"/>
      <c r="AJ35" s="39"/>
      <c r="AK35" s="39"/>
    </row>
    <row r="36" spans="1:63" ht="33" customHeight="1" x14ac:dyDescent="0.3">
      <c r="A36" s="1026"/>
      <c r="B36" s="991"/>
      <c r="C36" s="991"/>
      <c r="D36" s="1021"/>
      <c r="E36" s="778" t="s">
        <v>443</v>
      </c>
      <c r="F36" s="778">
        <v>0.4</v>
      </c>
      <c r="G36" s="778">
        <v>0.4</v>
      </c>
      <c r="H36" s="778">
        <v>0.4</v>
      </c>
      <c r="I36" s="778">
        <v>0.4</v>
      </c>
      <c r="J36" s="778">
        <v>0.4</v>
      </c>
      <c r="K36" s="778">
        <v>0.4</v>
      </c>
      <c r="L36" s="778">
        <v>0.4</v>
      </c>
      <c r="M36" s="778">
        <v>0.5</v>
      </c>
      <c r="N36" s="778">
        <v>0.6</v>
      </c>
      <c r="O36" s="778">
        <v>0.6</v>
      </c>
      <c r="P36" s="778">
        <v>0.6</v>
      </c>
      <c r="Q36" s="778">
        <v>0.6</v>
      </c>
      <c r="R36" s="778">
        <v>0.6</v>
      </c>
      <c r="S36" s="778">
        <v>0.6</v>
      </c>
      <c r="T36" s="778">
        <v>0.6</v>
      </c>
      <c r="U36" s="778">
        <v>0.6</v>
      </c>
      <c r="V36" s="778">
        <v>0.6</v>
      </c>
      <c r="W36" s="778">
        <v>0.5</v>
      </c>
      <c r="X36" s="778">
        <v>0.5</v>
      </c>
      <c r="Y36" s="778">
        <v>0.4</v>
      </c>
      <c r="Z36" s="778">
        <v>0.4</v>
      </c>
      <c r="AA36" s="778">
        <v>0.4</v>
      </c>
      <c r="AB36" s="778">
        <v>0.4</v>
      </c>
      <c r="AC36" s="170">
        <v>0.4</v>
      </c>
      <c r="AD36" s="39"/>
      <c r="AE36" s="39"/>
      <c r="AF36" s="39"/>
      <c r="AG36" s="39"/>
      <c r="AH36" s="39"/>
      <c r="AI36" s="39"/>
      <c r="AJ36" s="39"/>
      <c r="AK36" s="39"/>
    </row>
    <row r="37" spans="1:63" ht="33" customHeight="1" x14ac:dyDescent="0.3">
      <c r="A37" s="1027"/>
      <c r="B37" s="992"/>
      <c r="C37" s="992"/>
      <c r="D37" s="1022"/>
      <c r="E37" s="779" t="s">
        <v>444</v>
      </c>
      <c r="F37" s="779">
        <v>0.4</v>
      </c>
      <c r="G37" s="779">
        <v>0.4</v>
      </c>
      <c r="H37" s="779">
        <v>0.4</v>
      </c>
      <c r="I37" s="779">
        <v>0.4</v>
      </c>
      <c r="J37" s="779">
        <v>0.4</v>
      </c>
      <c r="K37" s="779">
        <v>0.4</v>
      </c>
      <c r="L37" s="779">
        <v>0.4</v>
      </c>
      <c r="M37" s="779">
        <v>0.4</v>
      </c>
      <c r="N37" s="779">
        <v>0.6</v>
      </c>
      <c r="O37" s="779">
        <v>0.6</v>
      </c>
      <c r="P37" s="779">
        <v>0.6</v>
      </c>
      <c r="Q37" s="779">
        <v>0.6</v>
      </c>
      <c r="R37" s="779">
        <v>0.6</v>
      </c>
      <c r="S37" s="779">
        <v>0.6</v>
      </c>
      <c r="T37" s="779">
        <v>0.6</v>
      </c>
      <c r="U37" s="779">
        <v>0.6</v>
      </c>
      <c r="V37" s="779">
        <v>0.4</v>
      </c>
      <c r="W37" s="779">
        <v>0.4</v>
      </c>
      <c r="X37" s="779">
        <v>0.4</v>
      </c>
      <c r="Y37" s="779">
        <v>0.4</v>
      </c>
      <c r="Z37" s="779">
        <v>0.4</v>
      </c>
      <c r="AA37" s="779">
        <v>0.4</v>
      </c>
      <c r="AB37" s="779">
        <v>0.4</v>
      </c>
      <c r="AC37" s="171">
        <v>0.4</v>
      </c>
      <c r="AD37" s="39"/>
      <c r="AE37" s="39"/>
      <c r="AF37" s="39"/>
      <c r="AG37" s="39"/>
      <c r="AH37" s="39"/>
      <c r="AI37" s="39"/>
      <c r="AJ37" s="39"/>
      <c r="AK37" s="39"/>
    </row>
    <row r="38" spans="1:63" ht="38.700000000000003" customHeight="1" x14ac:dyDescent="0.3">
      <c r="A38" s="1078" t="s">
        <v>718</v>
      </c>
      <c r="B38" s="990" t="s">
        <v>159</v>
      </c>
      <c r="C38" s="1076" t="s">
        <v>709</v>
      </c>
      <c r="D38" s="1002" t="s">
        <v>719</v>
      </c>
      <c r="E38" s="488" t="s">
        <v>442</v>
      </c>
      <c r="F38" s="488">
        <v>0.45</v>
      </c>
      <c r="G38" s="488">
        <v>0.45</v>
      </c>
      <c r="H38" s="488">
        <v>0.45</v>
      </c>
      <c r="I38" s="488">
        <v>0.45</v>
      </c>
      <c r="J38" s="488">
        <v>0.45</v>
      </c>
      <c r="K38" s="488">
        <v>0.45</v>
      </c>
      <c r="L38" s="488">
        <v>0.45</v>
      </c>
      <c r="M38" s="488">
        <v>0.45</v>
      </c>
      <c r="N38" s="488">
        <v>0.81</v>
      </c>
      <c r="O38" s="488">
        <v>0.81</v>
      </c>
      <c r="P38" s="488">
        <v>0.81</v>
      </c>
      <c r="Q38" s="488">
        <v>0.81</v>
      </c>
      <c r="R38" s="488">
        <v>0.81</v>
      </c>
      <c r="S38" s="488">
        <v>0.81</v>
      </c>
      <c r="T38" s="488">
        <v>0.81</v>
      </c>
      <c r="U38" s="488">
        <v>0.81</v>
      </c>
      <c r="V38" s="488">
        <v>0.45</v>
      </c>
      <c r="W38" s="488">
        <v>0.45</v>
      </c>
      <c r="X38" s="488">
        <v>0.45</v>
      </c>
      <c r="Y38" s="488">
        <v>0.45</v>
      </c>
      <c r="Z38" s="488">
        <v>0.45</v>
      </c>
      <c r="AA38" s="488">
        <v>0.45</v>
      </c>
      <c r="AB38" s="488">
        <v>0.45</v>
      </c>
      <c r="AC38" s="172">
        <v>0.45</v>
      </c>
      <c r="AD38" s="39"/>
      <c r="AE38" s="39"/>
      <c r="AF38" s="39"/>
      <c r="AG38" s="39"/>
      <c r="AH38" s="39"/>
      <c r="AI38" s="39"/>
      <c r="AJ38" s="39"/>
      <c r="AK38" s="39"/>
      <c r="AM38" s="50"/>
    </row>
    <row r="39" spans="1:63" ht="38.700000000000003" customHeight="1" x14ac:dyDescent="0.3">
      <c r="A39" s="1079"/>
      <c r="B39" s="991"/>
      <c r="C39" s="1000"/>
      <c r="D39" s="1003"/>
      <c r="E39" s="759" t="s">
        <v>443</v>
      </c>
      <c r="F39" s="759">
        <v>0.45</v>
      </c>
      <c r="G39" s="759">
        <v>0.45</v>
      </c>
      <c r="H39" s="759">
        <v>0.45</v>
      </c>
      <c r="I39" s="759">
        <v>0.45</v>
      </c>
      <c r="J39" s="759">
        <v>0.45</v>
      </c>
      <c r="K39" s="759">
        <v>0.45</v>
      </c>
      <c r="L39" s="759">
        <v>0.45</v>
      </c>
      <c r="M39" s="759">
        <v>0.45</v>
      </c>
      <c r="N39" s="759">
        <v>0.72</v>
      </c>
      <c r="O39" s="759">
        <v>0.72</v>
      </c>
      <c r="P39" s="759">
        <v>0.72</v>
      </c>
      <c r="Q39" s="759">
        <v>0.72</v>
      </c>
      <c r="R39" s="759">
        <v>0.72</v>
      </c>
      <c r="S39" s="759">
        <v>0.72</v>
      </c>
      <c r="T39" s="759">
        <v>0.72</v>
      </c>
      <c r="U39" s="759">
        <v>0.72</v>
      </c>
      <c r="V39" s="759">
        <v>0.72</v>
      </c>
      <c r="W39" s="759">
        <v>0.72</v>
      </c>
      <c r="X39" s="759">
        <v>0.45</v>
      </c>
      <c r="Y39" s="759">
        <v>0.45</v>
      </c>
      <c r="Z39" s="759">
        <v>0.45</v>
      </c>
      <c r="AA39" s="759">
        <v>0.45</v>
      </c>
      <c r="AB39" s="759">
        <v>0.45</v>
      </c>
      <c r="AC39" s="173">
        <v>0.45</v>
      </c>
      <c r="AD39" s="39"/>
      <c r="AE39" s="39"/>
      <c r="AF39" s="39"/>
      <c r="AG39" s="39"/>
      <c r="AH39" s="39"/>
      <c r="AI39" s="39"/>
      <c r="AJ39" s="39"/>
      <c r="AK39" s="39"/>
      <c r="AM39" s="50"/>
    </row>
    <row r="40" spans="1:63" ht="38.700000000000003" customHeight="1" x14ac:dyDescent="0.3">
      <c r="A40" s="1080"/>
      <c r="B40" s="992"/>
      <c r="C40" s="1001"/>
      <c r="D40" s="1004"/>
      <c r="E40" s="174" t="s">
        <v>444</v>
      </c>
      <c r="F40" s="174">
        <v>0.45</v>
      </c>
      <c r="G40" s="174">
        <v>0.45</v>
      </c>
      <c r="H40" s="174">
        <v>0.45</v>
      </c>
      <c r="I40" s="174">
        <v>0.45</v>
      </c>
      <c r="J40" s="174">
        <v>0.45</v>
      </c>
      <c r="K40" s="174">
        <v>0.45</v>
      </c>
      <c r="L40" s="174">
        <v>0.45</v>
      </c>
      <c r="M40" s="174">
        <v>0.45</v>
      </c>
      <c r="N40" s="174">
        <v>0.63</v>
      </c>
      <c r="O40" s="174">
        <v>0.63</v>
      </c>
      <c r="P40" s="174">
        <v>0.63</v>
      </c>
      <c r="Q40" s="174">
        <v>0.63</v>
      </c>
      <c r="R40" s="174">
        <v>0.63</v>
      </c>
      <c r="S40" s="174">
        <v>0.63</v>
      </c>
      <c r="T40" s="174">
        <v>0.63</v>
      </c>
      <c r="U40" s="174">
        <v>0.63</v>
      </c>
      <c r="V40" s="174">
        <v>0.45</v>
      </c>
      <c r="W40" s="174">
        <v>0.45</v>
      </c>
      <c r="X40" s="174">
        <v>0.45</v>
      </c>
      <c r="Y40" s="174">
        <v>0.45</v>
      </c>
      <c r="Z40" s="174">
        <v>0.45</v>
      </c>
      <c r="AA40" s="174">
        <v>0.45</v>
      </c>
      <c r="AB40" s="174">
        <v>0.45</v>
      </c>
      <c r="AC40" s="175">
        <v>0.45</v>
      </c>
      <c r="AD40" s="39"/>
      <c r="AE40" s="39"/>
      <c r="AF40" s="39"/>
      <c r="AG40" s="39"/>
      <c r="AH40" s="39"/>
      <c r="AI40" s="39"/>
      <c r="AJ40" s="39"/>
      <c r="AK40" s="39"/>
      <c r="AM40" s="50"/>
    </row>
    <row r="41" spans="1:63" ht="36" customHeight="1" x14ac:dyDescent="0.3">
      <c r="A41" s="1078" t="s">
        <v>718</v>
      </c>
      <c r="B41" s="990" t="s">
        <v>159</v>
      </c>
      <c r="C41" s="999" t="s">
        <v>710</v>
      </c>
      <c r="D41" s="1002" t="s">
        <v>719</v>
      </c>
      <c r="E41" s="176" t="s">
        <v>442</v>
      </c>
      <c r="F41" s="177">
        <v>0.4</v>
      </c>
      <c r="G41" s="177">
        <v>0.4</v>
      </c>
      <c r="H41" s="177">
        <v>0.4</v>
      </c>
      <c r="I41" s="177">
        <v>0.4</v>
      </c>
      <c r="J41" s="177">
        <v>0.4</v>
      </c>
      <c r="K41" s="177">
        <v>0.4</v>
      </c>
      <c r="L41" s="177">
        <v>0.4</v>
      </c>
      <c r="M41" s="177">
        <v>0.7</v>
      </c>
      <c r="N41" s="177">
        <v>0.9</v>
      </c>
      <c r="O41" s="177">
        <v>0.9</v>
      </c>
      <c r="P41" s="177">
        <v>0.9</v>
      </c>
      <c r="Q41" s="177">
        <v>0.9</v>
      </c>
      <c r="R41" s="177">
        <v>0.9</v>
      </c>
      <c r="S41" s="177">
        <v>0.9</v>
      </c>
      <c r="T41" s="177">
        <v>0.9</v>
      </c>
      <c r="U41" s="177">
        <v>0.9</v>
      </c>
      <c r="V41" s="177">
        <v>0.6</v>
      </c>
      <c r="W41" s="177">
        <v>0.6</v>
      </c>
      <c r="X41" s="177">
        <v>0.6</v>
      </c>
      <c r="Y41" s="177">
        <v>0.6</v>
      </c>
      <c r="Z41" s="177">
        <v>0.6</v>
      </c>
      <c r="AA41" s="177">
        <v>0.6</v>
      </c>
      <c r="AB41" s="177">
        <v>0.6</v>
      </c>
      <c r="AC41" s="178">
        <v>0.4</v>
      </c>
      <c r="AD41" s="40"/>
      <c r="AE41" s="39"/>
      <c r="AF41" s="39"/>
      <c r="AG41" s="39"/>
      <c r="AH41" s="39"/>
      <c r="AI41" s="39"/>
      <c r="AJ41" s="39"/>
      <c r="AK41" s="39"/>
      <c r="AM41" s="50"/>
    </row>
    <row r="42" spans="1:63" ht="36" customHeight="1" x14ac:dyDescent="0.3">
      <c r="A42" s="1079"/>
      <c r="B42" s="991"/>
      <c r="C42" s="1000"/>
      <c r="D42" s="1003"/>
      <c r="E42" s="759" t="s">
        <v>443</v>
      </c>
      <c r="F42" s="179">
        <v>0.4</v>
      </c>
      <c r="G42" s="179">
        <v>0.4</v>
      </c>
      <c r="H42" s="179">
        <v>0.4</v>
      </c>
      <c r="I42" s="179">
        <v>0.4</v>
      </c>
      <c r="J42" s="179">
        <v>0.4</v>
      </c>
      <c r="K42" s="179">
        <v>0.4</v>
      </c>
      <c r="L42" s="179">
        <v>0.4</v>
      </c>
      <c r="M42" s="179">
        <v>0.8</v>
      </c>
      <c r="N42" s="179">
        <v>0.65</v>
      </c>
      <c r="O42" s="179">
        <v>0.65</v>
      </c>
      <c r="P42" s="179">
        <v>0.65</v>
      </c>
      <c r="Q42" s="179">
        <v>0.65</v>
      </c>
      <c r="R42" s="179">
        <v>0.65</v>
      </c>
      <c r="S42" s="179">
        <v>0.65</v>
      </c>
      <c r="T42" s="179">
        <v>0.65</v>
      </c>
      <c r="U42" s="179">
        <v>0.65</v>
      </c>
      <c r="V42" s="179">
        <v>0.65</v>
      </c>
      <c r="W42" s="179">
        <v>0.65</v>
      </c>
      <c r="X42" s="179">
        <v>0.4</v>
      </c>
      <c r="Y42" s="179">
        <v>0.4</v>
      </c>
      <c r="Z42" s="179">
        <v>0.4</v>
      </c>
      <c r="AA42" s="179">
        <v>0.4</v>
      </c>
      <c r="AB42" s="179">
        <v>0.4</v>
      </c>
      <c r="AC42" s="180">
        <v>0.4</v>
      </c>
      <c r="AD42" s="40"/>
      <c r="AE42" s="39"/>
      <c r="AF42" s="39"/>
      <c r="AG42" s="39"/>
      <c r="AH42" s="39"/>
      <c r="AI42" s="39"/>
      <c r="AJ42" s="39"/>
      <c r="AK42" s="39"/>
      <c r="AM42" s="50"/>
    </row>
    <row r="43" spans="1:63" ht="36" customHeight="1" x14ac:dyDescent="0.3">
      <c r="A43" s="1080"/>
      <c r="B43" s="992"/>
      <c r="C43" s="1001"/>
      <c r="D43" s="1004"/>
      <c r="E43" s="174" t="s">
        <v>444</v>
      </c>
      <c r="F43" s="181">
        <v>0.4</v>
      </c>
      <c r="G43" s="181">
        <v>0.4</v>
      </c>
      <c r="H43" s="181">
        <v>0.4</v>
      </c>
      <c r="I43" s="181">
        <v>0.4</v>
      </c>
      <c r="J43" s="181">
        <v>0.4</v>
      </c>
      <c r="K43" s="181">
        <v>0.4</v>
      </c>
      <c r="L43" s="181">
        <v>0.4</v>
      </c>
      <c r="M43" s="181">
        <v>0.4</v>
      </c>
      <c r="N43" s="181">
        <v>0.6</v>
      </c>
      <c r="O43" s="181">
        <v>0.6</v>
      </c>
      <c r="P43" s="181">
        <v>0.6</v>
      </c>
      <c r="Q43" s="181">
        <v>0.6</v>
      </c>
      <c r="R43" s="181">
        <v>0.6</v>
      </c>
      <c r="S43" s="181">
        <v>0.6</v>
      </c>
      <c r="T43" s="181">
        <v>0.6</v>
      </c>
      <c r="U43" s="181">
        <v>0.6</v>
      </c>
      <c r="V43" s="181">
        <v>0.4</v>
      </c>
      <c r="W43" s="181">
        <v>0.4</v>
      </c>
      <c r="X43" s="181">
        <v>0.4</v>
      </c>
      <c r="Y43" s="181">
        <v>0.4</v>
      </c>
      <c r="Z43" s="181">
        <v>0.4</v>
      </c>
      <c r="AA43" s="181">
        <v>0.4</v>
      </c>
      <c r="AB43" s="181">
        <v>0.4</v>
      </c>
      <c r="AC43" s="182">
        <v>0.4</v>
      </c>
      <c r="AD43" s="40"/>
      <c r="AE43" s="39"/>
      <c r="AF43" s="39"/>
      <c r="AG43" s="39"/>
      <c r="AH43" s="39"/>
      <c r="AI43" s="39"/>
      <c r="AJ43" s="39"/>
      <c r="AK43" s="39"/>
      <c r="AM43" s="50"/>
    </row>
    <row r="44" spans="1:63" ht="36" customHeight="1" x14ac:dyDescent="0.3">
      <c r="A44" s="1078" t="s">
        <v>718</v>
      </c>
      <c r="B44" s="990" t="s">
        <v>159</v>
      </c>
      <c r="C44" s="999" t="s">
        <v>711</v>
      </c>
      <c r="D44" s="1002" t="s">
        <v>719</v>
      </c>
      <c r="E44" s="363" t="s">
        <v>442</v>
      </c>
      <c r="F44" s="777">
        <v>0.3</v>
      </c>
      <c r="G44" s="777">
        <v>0.3</v>
      </c>
      <c r="H44" s="777">
        <v>0.3</v>
      </c>
      <c r="I44" s="777">
        <v>0.3</v>
      </c>
      <c r="J44" s="777">
        <v>0.3</v>
      </c>
      <c r="K44" s="777">
        <v>0.3</v>
      </c>
      <c r="L44" s="777">
        <v>0.5</v>
      </c>
      <c r="M44" s="777">
        <v>0.57999999999999996</v>
      </c>
      <c r="N44" s="777">
        <v>0.66</v>
      </c>
      <c r="O44" s="777">
        <v>0.78</v>
      </c>
      <c r="P44" s="777">
        <v>0.82</v>
      </c>
      <c r="Q44" s="777">
        <v>0.71</v>
      </c>
      <c r="R44" s="777">
        <v>0.82</v>
      </c>
      <c r="S44" s="777">
        <v>0.78</v>
      </c>
      <c r="T44" s="777">
        <v>0.74</v>
      </c>
      <c r="U44" s="777">
        <v>0.63</v>
      </c>
      <c r="V44" s="777">
        <v>0.41</v>
      </c>
      <c r="W44" s="777">
        <v>0.35</v>
      </c>
      <c r="X44" s="777">
        <v>0.35</v>
      </c>
      <c r="Y44" s="777">
        <v>0.35</v>
      </c>
      <c r="Z44" s="777">
        <v>0.3</v>
      </c>
      <c r="AA44" s="777">
        <v>0.3</v>
      </c>
      <c r="AB44" s="777">
        <v>0.3</v>
      </c>
      <c r="AC44" s="169">
        <v>0.3</v>
      </c>
      <c r="AD44" s="39"/>
      <c r="AE44" s="39"/>
      <c r="AF44" s="39"/>
      <c r="AG44" s="39"/>
      <c r="AH44" s="39"/>
      <c r="AI44" s="39"/>
      <c r="AJ44" s="39"/>
      <c r="AK44" s="39"/>
      <c r="AM44" s="50"/>
    </row>
    <row r="45" spans="1:63" ht="36" customHeight="1" x14ac:dyDescent="0.3">
      <c r="A45" s="1079"/>
      <c r="B45" s="991"/>
      <c r="C45" s="1000"/>
      <c r="D45" s="1003"/>
      <c r="E45" s="364" t="s">
        <v>443</v>
      </c>
      <c r="F45" s="778">
        <v>0.3</v>
      </c>
      <c r="G45" s="778">
        <v>0.3</v>
      </c>
      <c r="H45" s="778">
        <v>0.3</v>
      </c>
      <c r="I45" s="778">
        <v>0.3</v>
      </c>
      <c r="J45" s="778">
        <v>0.3</v>
      </c>
      <c r="K45" s="778">
        <v>0.3</v>
      </c>
      <c r="L45" s="778">
        <v>0.3</v>
      </c>
      <c r="M45" s="778">
        <v>0.4</v>
      </c>
      <c r="N45" s="778">
        <v>0.5</v>
      </c>
      <c r="O45" s="778">
        <v>0.6</v>
      </c>
      <c r="P45" s="778">
        <v>0.6</v>
      </c>
      <c r="Q45" s="778">
        <v>0.6</v>
      </c>
      <c r="R45" s="778">
        <v>0.6</v>
      </c>
      <c r="S45" s="778">
        <v>0.6</v>
      </c>
      <c r="T45" s="778">
        <v>0.6</v>
      </c>
      <c r="U45" s="778">
        <v>0.6</v>
      </c>
      <c r="V45" s="778">
        <v>0.5</v>
      </c>
      <c r="W45" s="778">
        <v>0.3</v>
      </c>
      <c r="X45" s="778">
        <v>0.3</v>
      </c>
      <c r="Y45" s="778">
        <v>0.3</v>
      </c>
      <c r="Z45" s="778">
        <v>0.3</v>
      </c>
      <c r="AA45" s="778">
        <v>0.3</v>
      </c>
      <c r="AB45" s="778">
        <v>0.3</v>
      </c>
      <c r="AC45" s="170">
        <v>0.3</v>
      </c>
      <c r="AD45" s="39"/>
      <c r="AE45" s="39"/>
      <c r="AF45" s="39"/>
      <c r="AG45" s="39"/>
      <c r="AH45" s="39"/>
      <c r="AI45" s="39"/>
      <c r="AJ45" s="39"/>
      <c r="AK45" s="39"/>
      <c r="AM45" s="50"/>
    </row>
    <row r="46" spans="1:63" ht="36" customHeight="1" x14ac:dyDescent="0.3">
      <c r="A46" s="1080"/>
      <c r="B46" s="992"/>
      <c r="C46" s="1001"/>
      <c r="D46" s="1004"/>
      <c r="E46" s="365" t="s">
        <v>444</v>
      </c>
      <c r="F46" s="779">
        <v>0.3</v>
      </c>
      <c r="G46" s="779">
        <v>0.3</v>
      </c>
      <c r="H46" s="779">
        <v>0.3</v>
      </c>
      <c r="I46" s="779">
        <v>0.3</v>
      </c>
      <c r="J46" s="779">
        <v>0.3</v>
      </c>
      <c r="K46" s="779">
        <v>0.3</v>
      </c>
      <c r="L46" s="779">
        <v>0.3</v>
      </c>
      <c r="M46" s="779">
        <v>0.4</v>
      </c>
      <c r="N46" s="779">
        <v>0.5</v>
      </c>
      <c r="O46" s="779">
        <v>0.6</v>
      </c>
      <c r="P46" s="779">
        <v>0.6</v>
      </c>
      <c r="Q46" s="779">
        <v>0.6</v>
      </c>
      <c r="R46" s="779">
        <v>0.6</v>
      </c>
      <c r="S46" s="779">
        <v>0.6</v>
      </c>
      <c r="T46" s="779">
        <v>0.6</v>
      </c>
      <c r="U46" s="779">
        <v>0.6</v>
      </c>
      <c r="V46" s="779">
        <v>0.5</v>
      </c>
      <c r="W46" s="779">
        <v>0.3</v>
      </c>
      <c r="X46" s="779">
        <v>0.3</v>
      </c>
      <c r="Y46" s="779">
        <v>0.3</v>
      </c>
      <c r="Z46" s="779">
        <v>0.3</v>
      </c>
      <c r="AA46" s="779">
        <v>0.3</v>
      </c>
      <c r="AB46" s="779">
        <v>0.3</v>
      </c>
      <c r="AC46" s="171">
        <v>0.3</v>
      </c>
      <c r="AD46" s="39"/>
      <c r="AE46" s="39"/>
      <c r="AF46" s="39"/>
      <c r="AG46" s="39"/>
      <c r="AH46" s="39"/>
      <c r="AI46" s="39"/>
      <c r="AJ46" s="39"/>
      <c r="AK46" s="39"/>
      <c r="AM46" s="50"/>
    </row>
    <row r="47" spans="1:63" ht="36" customHeight="1" x14ac:dyDescent="0.3">
      <c r="A47" s="1078" t="s">
        <v>718</v>
      </c>
      <c r="B47" s="990" t="s">
        <v>159</v>
      </c>
      <c r="C47" s="999" t="s">
        <v>712</v>
      </c>
      <c r="D47" s="1002" t="s">
        <v>720</v>
      </c>
      <c r="E47" s="176" t="s">
        <v>442</v>
      </c>
      <c r="F47" s="348">
        <v>0.1</v>
      </c>
      <c r="G47" s="348">
        <v>0.1</v>
      </c>
      <c r="H47" s="348">
        <v>0.1</v>
      </c>
      <c r="I47" s="348">
        <v>0.1</v>
      </c>
      <c r="J47" s="348">
        <v>0.1</v>
      </c>
      <c r="K47" s="348">
        <v>0.1</v>
      </c>
      <c r="L47" s="348">
        <v>0.1</v>
      </c>
      <c r="M47" s="177">
        <v>0.75</v>
      </c>
      <c r="N47" s="177">
        <v>0.9</v>
      </c>
      <c r="O47" s="177">
        <v>0.9</v>
      </c>
      <c r="P47" s="177">
        <v>0.9</v>
      </c>
      <c r="Q47" s="177">
        <v>0.9</v>
      </c>
      <c r="R47" s="177">
        <v>0.9</v>
      </c>
      <c r="S47" s="177">
        <v>0.9</v>
      </c>
      <c r="T47" s="177">
        <v>0.9</v>
      </c>
      <c r="U47" s="177">
        <v>0.9</v>
      </c>
      <c r="V47" s="177">
        <v>0.9</v>
      </c>
      <c r="W47" s="177">
        <v>0.75</v>
      </c>
      <c r="X47" s="177">
        <v>0.2</v>
      </c>
      <c r="Y47" s="177">
        <v>0.1</v>
      </c>
      <c r="Z47" s="348">
        <v>0.1</v>
      </c>
      <c r="AA47" s="348">
        <v>0.1</v>
      </c>
      <c r="AB47" s="348">
        <v>0.1</v>
      </c>
      <c r="AC47" s="349">
        <v>0.1</v>
      </c>
      <c r="AD47" s="40"/>
      <c r="AE47" s="39"/>
      <c r="AF47" s="39"/>
      <c r="AG47" s="39"/>
      <c r="AH47" s="39"/>
      <c r="AI47" s="39"/>
      <c r="AJ47" s="39"/>
      <c r="AK47" s="39"/>
      <c r="AM47" s="50"/>
      <c r="AN47" s="177">
        <v>0.4</v>
      </c>
      <c r="AO47" s="177">
        <v>0.4</v>
      </c>
      <c r="AP47" s="177">
        <v>0.4</v>
      </c>
      <c r="AQ47" s="177">
        <v>0.4</v>
      </c>
      <c r="AR47" s="177">
        <v>0.4</v>
      </c>
      <c r="AS47" s="177">
        <v>0.4</v>
      </c>
      <c r="AT47" s="177">
        <v>0.4</v>
      </c>
      <c r="AU47" s="177">
        <v>0.7</v>
      </c>
      <c r="AV47" s="177">
        <v>0.9</v>
      </c>
      <c r="AW47" s="177">
        <v>0.9</v>
      </c>
      <c r="AX47" s="177">
        <v>0.9</v>
      </c>
      <c r="AY47" s="177">
        <v>0.9</v>
      </c>
      <c r="AZ47" s="177">
        <v>0.9</v>
      </c>
      <c r="BA47" s="177">
        <v>0.9</v>
      </c>
      <c r="BB47" s="177">
        <v>0.9</v>
      </c>
      <c r="BC47" s="177">
        <v>0.9</v>
      </c>
      <c r="BD47" s="177">
        <v>0.6</v>
      </c>
      <c r="BE47" s="177">
        <v>0.6</v>
      </c>
      <c r="BF47" s="177">
        <v>0.6</v>
      </c>
      <c r="BG47" s="177">
        <v>0.6</v>
      </c>
      <c r="BH47" s="177">
        <v>0.6</v>
      </c>
      <c r="BI47" s="177">
        <v>0.6</v>
      </c>
      <c r="BJ47" s="177">
        <v>0.6</v>
      </c>
      <c r="BK47" s="178">
        <v>0.4</v>
      </c>
    </row>
    <row r="48" spans="1:63" ht="36" customHeight="1" x14ac:dyDescent="0.3">
      <c r="A48" s="1079"/>
      <c r="B48" s="991"/>
      <c r="C48" s="1000"/>
      <c r="D48" s="1003"/>
      <c r="E48" s="759" t="s">
        <v>443</v>
      </c>
      <c r="F48" s="350">
        <v>0.1</v>
      </c>
      <c r="G48" s="350">
        <v>0.1</v>
      </c>
      <c r="H48" s="350">
        <v>0.1</v>
      </c>
      <c r="I48" s="350">
        <v>0.1</v>
      </c>
      <c r="J48" s="350">
        <v>0.1</v>
      </c>
      <c r="K48" s="350">
        <v>0.1</v>
      </c>
      <c r="L48" s="350">
        <v>0.1</v>
      </c>
      <c r="M48" s="179">
        <v>0.3</v>
      </c>
      <c r="N48" s="179">
        <v>0.5</v>
      </c>
      <c r="O48" s="179">
        <v>0.5</v>
      </c>
      <c r="P48" s="179">
        <v>0.5</v>
      </c>
      <c r="Q48" s="179">
        <v>0.5</v>
      </c>
      <c r="R48" s="179">
        <v>0.5</v>
      </c>
      <c r="S48" s="179">
        <v>0.5</v>
      </c>
      <c r="T48" s="179">
        <v>0.5</v>
      </c>
      <c r="U48" s="179">
        <v>0.5</v>
      </c>
      <c r="V48" s="179">
        <v>0.5</v>
      </c>
      <c r="W48" s="179">
        <v>0.3</v>
      </c>
      <c r="X48" s="350">
        <v>0.1</v>
      </c>
      <c r="Y48" s="350">
        <v>0.1</v>
      </c>
      <c r="Z48" s="350">
        <v>0.1</v>
      </c>
      <c r="AA48" s="350">
        <v>0.1</v>
      </c>
      <c r="AB48" s="350">
        <v>0.1</v>
      </c>
      <c r="AC48" s="351">
        <v>0.1</v>
      </c>
      <c r="AD48" s="40"/>
      <c r="AE48" s="39"/>
      <c r="AF48" s="39"/>
      <c r="AG48" s="39"/>
      <c r="AH48" s="39"/>
      <c r="AI48" s="39"/>
      <c r="AJ48" s="39"/>
      <c r="AK48" s="39"/>
      <c r="AM48" s="50"/>
      <c r="AN48" s="179">
        <v>0.4</v>
      </c>
      <c r="AO48" s="179">
        <v>0.4</v>
      </c>
      <c r="AP48" s="179">
        <v>0.4</v>
      </c>
      <c r="AQ48" s="179">
        <v>0.4</v>
      </c>
      <c r="AR48" s="179">
        <v>0.4</v>
      </c>
      <c r="AS48" s="179">
        <v>0.4</v>
      </c>
      <c r="AT48" s="179">
        <v>0.4</v>
      </c>
      <c r="AU48" s="179">
        <v>0.8</v>
      </c>
      <c r="AV48" s="179">
        <v>0.65</v>
      </c>
      <c r="AW48" s="179">
        <v>0.65</v>
      </c>
      <c r="AX48" s="179">
        <v>0.65</v>
      </c>
      <c r="AY48" s="179">
        <v>0.65</v>
      </c>
      <c r="AZ48" s="179">
        <v>0.65</v>
      </c>
      <c r="BA48" s="179">
        <v>0.65</v>
      </c>
      <c r="BB48" s="179">
        <v>0.65</v>
      </c>
      <c r="BC48" s="179">
        <v>0.65</v>
      </c>
      <c r="BD48" s="179">
        <v>0.65</v>
      </c>
      <c r="BE48" s="179">
        <v>0.65</v>
      </c>
      <c r="BF48" s="179">
        <v>0.4</v>
      </c>
      <c r="BG48" s="179">
        <v>0.4</v>
      </c>
      <c r="BH48" s="179">
        <v>0.4</v>
      </c>
      <c r="BI48" s="179">
        <v>0.4</v>
      </c>
      <c r="BJ48" s="179">
        <v>0.4</v>
      </c>
      <c r="BK48" s="180">
        <v>0.4</v>
      </c>
    </row>
    <row r="49" spans="1:63" ht="36" customHeight="1" x14ac:dyDescent="0.3">
      <c r="A49" s="1080"/>
      <c r="B49" s="992"/>
      <c r="C49" s="1001"/>
      <c r="D49" s="1004"/>
      <c r="E49" s="174" t="s">
        <v>444</v>
      </c>
      <c r="F49" s="352">
        <v>0.1</v>
      </c>
      <c r="G49" s="352">
        <v>0.1</v>
      </c>
      <c r="H49" s="352">
        <v>0.1</v>
      </c>
      <c r="I49" s="352">
        <v>0.1</v>
      </c>
      <c r="J49" s="352">
        <v>0.1</v>
      </c>
      <c r="K49" s="352">
        <v>0.1</v>
      </c>
      <c r="L49" s="352">
        <v>0.1</v>
      </c>
      <c r="M49" s="352">
        <v>0.3</v>
      </c>
      <c r="N49" s="352">
        <v>0.5</v>
      </c>
      <c r="O49" s="352">
        <v>0.5</v>
      </c>
      <c r="P49" s="352">
        <v>0.5</v>
      </c>
      <c r="Q49" s="352">
        <v>0.5</v>
      </c>
      <c r="R49" s="352">
        <v>0.5</v>
      </c>
      <c r="S49" s="352">
        <v>0.5</v>
      </c>
      <c r="T49" s="352">
        <v>0.5</v>
      </c>
      <c r="U49" s="352">
        <v>0.5</v>
      </c>
      <c r="V49" s="352">
        <v>0.5</v>
      </c>
      <c r="W49" s="352">
        <v>0.3</v>
      </c>
      <c r="X49" s="352">
        <v>0.1</v>
      </c>
      <c r="Y49" s="352">
        <v>0.1</v>
      </c>
      <c r="Z49" s="352">
        <v>0.1</v>
      </c>
      <c r="AA49" s="352">
        <v>0.1</v>
      </c>
      <c r="AB49" s="352">
        <v>0.1</v>
      </c>
      <c r="AC49" s="353">
        <v>0.1</v>
      </c>
      <c r="AD49" s="40"/>
      <c r="AE49" s="39"/>
      <c r="AF49" s="39"/>
      <c r="AG49" s="39"/>
      <c r="AH49" s="39"/>
      <c r="AI49" s="39"/>
      <c r="AJ49" s="39"/>
      <c r="AK49" s="39"/>
      <c r="AM49" s="50"/>
      <c r="AN49" s="181">
        <v>0.4</v>
      </c>
      <c r="AO49" s="181">
        <v>0.4</v>
      </c>
      <c r="AP49" s="181">
        <v>0.4</v>
      </c>
      <c r="AQ49" s="181">
        <v>0.4</v>
      </c>
      <c r="AR49" s="181">
        <v>0.4</v>
      </c>
      <c r="AS49" s="181">
        <v>0.4</v>
      </c>
      <c r="AT49" s="181">
        <v>0.4</v>
      </c>
      <c r="AU49" s="181">
        <v>0.4</v>
      </c>
      <c r="AV49" s="181">
        <v>0.6</v>
      </c>
      <c r="AW49" s="181">
        <v>0.6</v>
      </c>
      <c r="AX49" s="181">
        <v>0.6</v>
      </c>
      <c r="AY49" s="181">
        <v>0.6</v>
      </c>
      <c r="AZ49" s="181">
        <v>0.6</v>
      </c>
      <c r="BA49" s="181">
        <v>0.6</v>
      </c>
      <c r="BB49" s="181">
        <v>0.6</v>
      </c>
      <c r="BC49" s="181">
        <v>0.6</v>
      </c>
      <c r="BD49" s="181">
        <v>0.4</v>
      </c>
      <c r="BE49" s="181">
        <v>0.4</v>
      </c>
      <c r="BF49" s="181">
        <v>0.4</v>
      </c>
      <c r="BG49" s="181">
        <v>0.4</v>
      </c>
      <c r="BH49" s="181">
        <v>0.4</v>
      </c>
      <c r="BI49" s="181">
        <v>0.4</v>
      </c>
      <c r="BJ49" s="181">
        <v>0.4</v>
      </c>
      <c r="BK49" s="182">
        <v>0.4</v>
      </c>
    </row>
    <row r="50" spans="1:63" ht="36" customHeight="1" x14ac:dyDescent="0.3">
      <c r="A50" s="1078" t="s">
        <v>718</v>
      </c>
      <c r="B50" s="990" t="s">
        <v>159</v>
      </c>
      <c r="C50" s="999" t="s">
        <v>299</v>
      </c>
      <c r="D50" s="1002" t="s">
        <v>721</v>
      </c>
      <c r="E50" s="176" t="s">
        <v>442</v>
      </c>
      <c r="F50" s="354">
        <v>0.25</v>
      </c>
      <c r="G50" s="355">
        <v>0.25</v>
      </c>
      <c r="H50" s="355">
        <v>0.25</v>
      </c>
      <c r="I50" s="355">
        <v>0.25</v>
      </c>
      <c r="J50" s="355">
        <v>0.25</v>
      </c>
      <c r="K50" s="355">
        <v>0.25</v>
      </c>
      <c r="L50" s="355">
        <v>0.25</v>
      </c>
      <c r="M50" s="355">
        <v>0.25</v>
      </c>
      <c r="N50" s="355">
        <v>0.25</v>
      </c>
      <c r="O50" s="355">
        <v>0.25</v>
      </c>
      <c r="P50" s="355">
        <v>0.25</v>
      </c>
      <c r="Q50" s="355">
        <v>0.25</v>
      </c>
      <c r="R50" s="355">
        <v>0.25</v>
      </c>
      <c r="S50" s="355">
        <v>0.25</v>
      </c>
      <c r="T50" s="355">
        <v>0.25</v>
      </c>
      <c r="U50" s="355">
        <v>0.25</v>
      </c>
      <c r="V50" s="355">
        <v>0.25</v>
      </c>
      <c r="W50" s="355">
        <v>0.25</v>
      </c>
      <c r="X50" s="355">
        <v>0.25</v>
      </c>
      <c r="Y50" s="355">
        <v>0.25</v>
      </c>
      <c r="Z50" s="355">
        <v>0.25</v>
      </c>
      <c r="AA50" s="355">
        <v>0.25</v>
      </c>
      <c r="AB50" s="355">
        <v>0.25</v>
      </c>
      <c r="AC50" s="356">
        <v>0.25</v>
      </c>
      <c r="AD50" s="40"/>
      <c r="AE50" s="39"/>
      <c r="AF50" s="39"/>
      <c r="AG50" s="39"/>
      <c r="AH50" s="39"/>
      <c r="AI50" s="39"/>
      <c r="AJ50" s="39"/>
      <c r="AK50" s="39"/>
      <c r="AM50" s="50"/>
    </row>
    <row r="51" spans="1:63" ht="36" customHeight="1" x14ac:dyDescent="0.3">
      <c r="A51" s="1079"/>
      <c r="B51" s="991"/>
      <c r="C51" s="1000"/>
      <c r="D51" s="1003"/>
      <c r="E51" s="759" t="s">
        <v>443</v>
      </c>
      <c r="F51" s="357">
        <v>0.25</v>
      </c>
      <c r="G51" s="358">
        <v>0.25</v>
      </c>
      <c r="H51" s="358">
        <v>0.25</v>
      </c>
      <c r="I51" s="358">
        <v>0.25</v>
      </c>
      <c r="J51" s="358">
        <v>0.25</v>
      </c>
      <c r="K51" s="358">
        <v>0.25</v>
      </c>
      <c r="L51" s="358">
        <v>0.25</v>
      </c>
      <c r="M51" s="358">
        <v>0.25</v>
      </c>
      <c r="N51" s="358">
        <v>0.25</v>
      </c>
      <c r="O51" s="358">
        <v>0.25</v>
      </c>
      <c r="P51" s="358">
        <v>0.25</v>
      </c>
      <c r="Q51" s="358">
        <v>0.25</v>
      </c>
      <c r="R51" s="358">
        <v>0.25</v>
      </c>
      <c r="S51" s="358">
        <v>0.25</v>
      </c>
      <c r="T51" s="358">
        <v>0.25</v>
      </c>
      <c r="U51" s="358">
        <v>0.25</v>
      </c>
      <c r="V51" s="358">
        <v>0.25</v>
      </c>
      <c r="W51" s="358">
        <v>0.25</v>
      </c>
      <c r="X51" s="358">
        <v>0.25</v>
      </c>
      <c r="Y51" s="358">
        <v>0.25</v>
      </c>
      <c r="Z51" s="358">
        <v>0.25</v>
      </c>
      <c r="AA51" s="358">
        <v>0.25</v>
      </c>
      <c r="AB51" s="358">
        <v>0.25</v>
      </c>
      <c r="AC51" s="359">
        <v>0.25</v>
      </c>
      <c r="AD51" s="40"/>
      <c r="AE51" s="39"/>
      <c r="AF51" s="39"/>
      <c r="AG51" s="39"/>
      <c r="AH51" s="39"/>
      <c r="AI51" s="39"/>
      <c r="AJ51" s="39"/>
      <c r="AK51" s="39"/>
      <c r="AM51" s="50"/>
    </row>
    <row r="52" spans="1:63" ht="36" customHeight="1" x14ac:dyDescent="0.3">
      <c r="A52" s="1080"/>
      <c r="B52" s="992"/>
      <c r="C52" s="1077"/>
      <c r="D52" s="1004"/>
      <c r="E52" s="174" t="s">
        <v>444</v>
      </c>
      <c r="F52" s="360">
        <v>0.25</v>
      </c>
      <c r="G52" s="361">
        <v>0.25</v>
      </c>
      <c r="H52" s="361">
        <v>0.25</v>
      </c>
      <c r="I52" s="361">
        <v>0.25</v>
      </c>
      <c r="J52" s="361">
        <v>0.25</v>
      </c>
      <c r="K52" s="361">
        <v>0.25</v>
      </c>
      <c r="L52" s="361">
        <v>0.25</v>
      </c>
      <c r="M52" s="361">
        <v>0.25</v>
      </c>
      <c r="N52" s="361">
        <v>0.25</v>
      </c>
      <c r="O52" s="361">
        <v>0.25</v>
      </c>
      <c r="P52" s="361">
        <v>0.25</v>
      </c>
      <c r="Q52" s="361">
        <v>0.25</v>
      </c>
      <c r="R52" s="361">
        <v>0.25</v>
      </c>
      <c r="S52" s="361">
        <v>0.25</v>
      </c>
      <c r="T52" s="361">
        <v>0.25</v>
      </c>
      <c r="U52" s="361">
        <v>0.25</v>
      </c>
      <c r="V52" s="361">
        <v>0.25</v>
      </c>
      <c r="W52" s="361">
        <v>0.25</v>
      </c>
      <c r="X52" s="361">
        <v>0.25</v>
      </c>
      <c r="Y52" s="361">
        <v>0.25</v>
      </c>
      <c r="Z52" s="361">
        <v>0.25</v>
      </c>
      <c r="AA52" s="361">
        <v>0.25</v>
      </c>
      <c r="AB52" s="361">
        <v>0.25</v>
      </c>
      <c r="AC52" s="362">
        <v>0.25</v>
      </c>
      <c r="AD52" s="40"/>
      <c r="AE52" s="39"/>
      <c r="AF52" s="39"/>
      <c r="AG52" s="39"/>
      <c r="AH52" s="39"/>
      <c r="AI52" s="39"/>
      <c r="AJ52" s="39"/>
      <c r="AK52" s="39"/>
      <c r="AM52" s="50"/>
    </row>
    <row r="53" spans="1:63" ht="31.2" customHeight="1" x14ac:dyDescent="0.3">
      <c r="A53" s="1078" t="s">
        <v>718</v>
      </c>
      <c r="B53" s="990" t="s">
        <v>159</v>
      </c>
      <c r="C53" s="996" t="s">
        <v>714</v>
      </c>
      <c r="D53" s="993" t="s">
        <v>719</v>
      </c>
      <c r="E53" s="254" t="s">
        <v>442</v>
      </c>
      <c r="F53" s="185">
        <v>1</v>
      </c>
      <c r="G53" s="185">
        <v>1</v>
      </c>
      <c r="H53" s="185">
        <v>1</v>
      </c>
      <c r="I53" s="185">
        <v>1</v>
      </c>
      <c r="J53" s="185">
        <v>1</v>
      </c>
      <c r="K53" s="185">
        <v>1</v>
      </c>
      <c r="L53" s="185">
        <v>1</v>
      </c>
      <c r="M53" s="185">
        <v>1</v>
      </c>
      <c r="N53" s="185">
        <v>1</v>
      </c>
      <c r="O53" s="185">
        <v>1</v>
      </c>
      <c r="P53" s="185">
        <v>1</v>
      </c>
      <c r="Q53" s="185">
        <v>1</v>
      </c>
      <c r="R53" s="185">
        <v>1</v>
      </c>
      <c r="S53" s="185">
        <v>1</v>
      </c>
      <c r="T53" s="185">
        <v>1</v>
      </c>
      <c r="U53" s="185">
        <v>1</v>
      </c>
      <c r="V53" s="185">
        <v>1</v>
      </c>
      <c r="W53" s="185">
        <v>1</v>
      </c>
      <c r="X53" s="185">
        <v>1</v>
      </c>
      <c r="Y53" s="185">
        <v>1</v>
      </c>
      <c r="Z53" s="185">
        <v>1</v>
      </c>
      <c r="AA53" s="185">
        <v>1</v>
      </c>
      <c r="AB53" s="185">
        <v>1</v>
      </c>
      <c r="AC53" s="186">
        <v>1</v>
      </c>
    </row>
    <row r="54" spans="1:63" ht="30" customHeight="1" x14ac:dyDescent="0.3">
      <c r="A54" s="1079"/>
      <c r="B54" s="991"/>
      <c r="C54" s="997"/>
      <c r="D54" s="994"/>
      <c r="E54" s="255" t="s">
        <v>443</v>
      </c>
      <c r="F54" s="187">
        <v>1</v>
      </c>
      <c r="G54" s="187">
        <v>1</v>
      </c>
      <c r="H54" s="187">
        <v>1</v>
      </c>
      <c r="I54" s="187">
        <v>1</v>
      </c>
      <c r="J54" s="187">
        <v>1</v>
      </c>
      <c r="K54" s="187">
        <v>1</v>
      </c>
      <c r="L54" s="187">
        <v>1</v>
      </c>
      <c r="M54" s="187">
        <v>1</v>
      </c>
      <c r="N54" s="187">
        <v>1</v>
      </c>
      <c r="O54" s="187">
        <v>1</v>
      </c>
      <c r="P54" s="187">
        <v>1</v>
      </c>
      <c r="Q54" s="187">
        <v>1</v>
      </c>
      <c r="R54" s="187">
        <v>1</v>
      </c>
      <c r="S54" s="187">
        <v>1</v>
      </c>
      <c r="T54" s="187">
        <v>1</v>
      </c>
      <c r="U54" s="187">
        <v>1</v>
      </c>
      <c r="V54" s="187">
        <v>1</v>
      </c>
      <c r="W54" s="187">
        <v>1</v>
      </c>
      <c r="X54" s="187">
        <v>1</v>
      </c>
      <c r="Y54" s="187">
        <v>1</v>
      </c>
      <c r="Z54" s="187">
        <v>1</v>
      </c>
      <c r="AA54" s="187">
        <v>1</v>
      </c>
      <c r="AB54" s="187">
        <v>1</v>
      </c>
      <c r="AC54" s="188">
        <v>1</v>
      </c>
    </row>
    <row r="55" spans="1:63" ht="33" customHeight="1" x14ac:dyDescent="0.3">
      <c r="A55" s="1080"/>
      <c r="B55" s="992"/>
      <c r="C55" s="998"/>
      <c r="D55" s="995"/>
      <c r="E55" s="256" t="s">
        <v>444</v>
      </c>
      <c r="F55" s="226">
        <v>1</v>
      </c>
      <c r="G55" s="226">
        <v>1</v>
      </c>
      <c r="H55" s="226">
        <v>1</v>
      </c>
      <c r="I55" s="226">
        <v>1</v>
      </c>
      <c r="J55" s="226">
        <v>1</v>
      </c>
      <c r="K55" s="226">
        <v>1</v>
      </c>
      <c r="L55" s="226">
        <v>1</v>
      </c>
      <c r="M55" s="226">
        <v>1</v>
      </c>
      <c r="N55" s="226">
        <v>1</v>
      </c>
      <c r="O55" s="226">
        <v>1</v>
      </c>
      <c r="P55" s="226">
        <v>1</v>
      </c>
      <c r="Q55" s="226">
        <v>1</v>
      </c>
      <c r="R55" s="226">
        <v>1</v>
      </c>
      <c r="S55" s="226">
        <v>1</v>
      </c>
      <c r="T55" s="226">
        <v>1</v>
      </c>
      <c r="U55" s="226">
        <v>1</v>
      </c>
      <c r="V55" s="226">
        <v>1</v>
      </c>
      <c r="W55" s="226">
        <v>1</v>
      </c>
      <c r="X55" s="226">
        <v>1</v>
      </c>
      <c r="Y55" s="226">
        <v>1</v>
      </c>
      <c r="Z55" s="226">
        <v>1</v>
      </c>
      <c r="AA55" s="226">
        <v>1</v>
      </c>
      <c r="AB55" s="226">
        <v>1</v>
      </c>
      <c r="AC55" s="227">
        <v>1</v>
      </c>
    </row>
    <row r="56" spans="1:63" ht="22.95" customHeight="1" x14ac:dyDescent="0.3">
      <c r="A56" s="1078" t="s">
        <v>718</v>
      </c>
      <c r="B56" s="990" t="s">
        <v>159</v>
      </c>
      <c r="C56" s="1081" t="s">
        <v>715</v>
      </c>
      <c r="D56" s="1084"/>
      <c r="E56" s="220" t="s">
        <v>442</v>
      </c>
      <c r="F56" s="786">
        <f>IF(F53=1,Thermostat!$B$3,Thermostat!$B$4)</f>
        <v>70</v>
      </c>
      <c r="G56" s="786">
        <f>IF(G53=1,Thermostat!$B$3,Thermostat!$B$4)</f>
        <v>70</v>
      </c>
      <c r="H56" s="786">
        <f>IF(H53=1,Thermostat!$B$3,Thermostat!$B$4)</f>
        <v>70</v>
      </c>
      <c r="I56" s="786">
        <f>IF(I53=1,Thermostat!$B$3,Thermostat!$B$4)</f>
        <v>70</v>
      </c>
      <c r="J56" s="786">
        <f>IF(J53=1,Thermostat!$B$3,Thermostat!$B$4)</f>
        <v>70</v>
      </c>
      <c r="K56" s="786">
        <f>IF(K53=1,Thermostat!$B$3,Thermostat!$B$4)</f>
        <v>70</v>
      </c>
      <c r="L56" s="786">
        <f>IF(L53=1,Thermostat!$B$3,Thermostat!$B$4)</f>
        <v>70</v>
      </c>
      <c r="M56" s="786">
        <f>IF(M53=1,Thermostat!$B$3,Thermostat!$B$4)</f>
        <v>70</v>
      </c>
      <c r="N56" s="786">
        <f>IF(N53=1,Thermostat!$B$3,Thermostat!$B$4)</f>
        <v>70</v>
      </c>
      <c r="O56" s="786">
        <f>IF(O53=1,Thermostat!$B$3,Thermostat!$B$4)</f>
        <v>70</v>
      </c>
      <c r="P56" s="786">
        <f>IF(P53=1,Thermostat!$B$3,Thermostat!$B$4)</f>
        <v>70</v>
      </c>
      <c r="Q56" s="786">
        <f>IF(Q53=1,Thermostat!$B$3,Thermostat!$B$4)</f>
        <v>70</v>
      </c>
      <c r="R56" s="786">
        <f>IF(R53=1,Thermostat!$B$3,Thermostat!$B$4)</f>
        <v>70</v>
      </c>
      <c r="S56" s="786">
        <f>IF(S53=1,Thermostat!$B$3,Thermostat!$B$4)</f>
        <v>70</v>
      </c>
      <c r="T56" s="786">
        <f>IF(T53=1,Thermostat!$B$3,Thermostat!$B$4)</f>
        <v>70</v>
      </c>
      <c r="U56" s="786">
        <f>IF(U53=1,Thermostat!$B$3,Thermostat!$B$4)</f>
        <v>70</v>
      </c>
      <c r="V56" s="786">
        <f>IF(V53=1,Thermostat!$B$3,Thermostat!$B$4)</f>
        <v>70</v>
      </c>
      <c r="W56" s="786">
        <f>IF(W53=1,Thermostat!$B$3,Thermostat!$B$4)</f>
        <v>70</v>
      </c>
      <c r="X56" s="786">
        <f>IF(X53=1,Thermostat!$B$3,Thermostat!$B$4)</f>
        <v>70</v>
      </c>
      <c r="Y56" s="786">
        <f>IF(Y53=1,Thermostat!$B$3,Thermostat!$B$4)</f>
        <v>70</v>
      </c>
      <c r="Z56" s="786">
        <f>IF(Z53=1,Thermostat!$B$3,Thermostat!$B$4)</f>
        <v>70</v>
      </c>
      <c r="AA56" s="786">
        <f>IF(AA53=1,Thermostat!$B$3,Thermostat!$B$4)</f>
        <v>70</v>
      </c>
      <c r="AB56" s="786">
        <f>IF(AB53=1,Thermostat!$B$3,Thermostat!$B$4)</f>
        <v>70</v>
      </c>
      <c r="AC56" s="221">
        <f>IF(AC53=1,Thermostat!$B$3,Thermostat!$B$4)</f>
        <v>70</v>
      </c>
    </row>
    <row r="57" spans="1:63" ht="22.95" customHeight="1" x14ac:dyDescent="0.3">
      <c r="A57" s="1079"/>
      <c r="B57" s="991"/>
      <c r="C57" s="1082"/>
      <c r="D57" s="1085"/>
      <c r="E57" s="222" t="s">
        <v>443</v>
      </c>
      <c r="F57" s="787">
        <f>IF(F54=1,Thermostat!$B$3,Thermostat!$B$4)</f>
        <v>70</v>
      </c>
      <c r="G57" s="787">
        <f>IF(G54=1,Thermostat!$B$3,Thermostat!$B$4)</f>
        <v>70</v>
      </c>
      <c r="H57" s="787">
        <f>IF(H54=1,Thermostat!$B$3,Thermostat!$B$4)</f>
        <v>70</v>
      </c>
      <c r="I57" s="787">
        <f>IF(I54=1,Thermostat!$B$3,Thermostat!$B$4)</f>
        <v>70</v>
      </c>
      <c r="J57" s="787">
        <f>IF(J54=1,Thermostat!$B$3,Thermostat!$B$4)</f>
        <v>70</v>
      </c>
      <c r="K57" s="787">
        <f>IF(K54=1,Thermostat!$B$3,Thermostat!$B$4)</f>
        <v>70</v>
      </c>
      <c r="L57" s="787">
        <f>IF(L54=1,Thermostat!$B$3,Thermostat!$B$4)</f>
        <v>70</v>
      </c>
      <c r="M57" s="787">
        <f>IF(M54=1,Thermostat!$B$3,Thermostat!$B$4)</f>
        <v>70</v>
      </c>
      <c r="N57" s="787">
        <f>IF(N54=1,Thermostat!$B$3,Thermostat!$B$4)</f>
        <v>70</v>
      </c>
      <c r="O57" s="787">
        <f>IF(O54=1,Thermostat!$B$3,Thermostat!$B$4)</f>
        <v>70</v>
      </c>
      <c r="P57" s="787">
        <f>IF(P54=1,Thermostat!$B$3,Thermostat!$B$4)</f>
        <v>70</v>
      </c>
      <c r="Q57" s="787">
        <f>IF(Q54=1,Thermostat!$B$3,Thermostat!$B$4)</f>
        <v>70</v>
      </c>
      <c r="R57" s="787">
        <f>IF(R54=1,Thermostat!$B$3,Thermostat!$B$4)</f>
        <v>70</v>
      </c>
      <c r="S57" s="787">
        <f>IF(S54=1,Thermostat!$B$3,Thermostat!$B$4)</f>
        <v>70</v>
      </c>
      <c r="T57" s="787">
        <f>IF(T54=1,Thermostat!$B$3,Thermostat!$B$4)</f>
        <v>70</v>
      </c>
      <c r="U57" s="787">
        <f>IF(U54=1,Thermostat!$B$3,Thermostat!$B$4)</f>
        <v>70</v>
      </c>
      <c r="V57" s="787">
        <f>IF(V54=1,Thermostat!$B$3,Thermostat!$B$4)</f>
        <v>70</v>
      </c>
      <c r="W57" s="787">
        <f>IF(W54=1,Thermostat!$B$3,Thermostat!$B$4)</f>
        <v>70</v>
      </c>
      <c r="X57" s="787">
        <f>IF(X54=1,Thermostat!$B$3,Thermostat!$B$4)</f>
        <v>70</v>
      </c>
      <c r="Y57" s="787">
        <f>IF(Y54=1,Thermostat!$B$3,Thermostat!$B$4)</f>
        <v>70</v>
      </c>
      <c r="Z57" s="787">
        <f>IF(Z54=1,Thermostat!$B$3,Thermostat!$B$4)</f>
        <v>70</v>
      </c>
      <c r="AA57" s="787">
        <f>IF(AA54=1,Thermostat!$B$3,Thermostat!$B$4)</f>
        <v>70</v>
      </c>
      <c r="AB57" s="787">
        <f>IF(AB54=1,Thermostat!$B$3,Thermostat!$B$4)</f>
        <v>70</v>
      </c>
      <c r="AC57" s="223">
        <f>IF(AC54=1,Thermostat!$B$3,Thermostat!$B$4)</f>
        <v>70</v>
      </c>
    </row>
    <row r="58" spans="1:63" ht="22.95" customHeight="1" x14ac:dyDescent="0.3">
      <c r="A58" s="1080"/>
      <c r="B58" s="992"/>
      <c r="C58" s="1083"/>
      <c r="D58" s="1086"/>
      <c r="E58" s="224" t="s">
        <v>444</v>
      </c>
      <c r="F58" s="788">
        <f>IF(F55=1,Thermostat!$B$3,Thermostat!$B$4)</f>
        <v>70</v>
      </c>
      <c r="G58" s="788">
        <f>IF(G55=1,Thermostat!$B$3,Thermostat!$B$4)</f>
        <v>70</v>
      </c>
      <c r="H58" s="788">
        <f>IF(H55=1,Thermostat!$B$3,Thermostat!$B$4)</f>
        <v>70</v>
      </c>
      <c r="I58" s="788">
        <f>IF(I55=1,Thermostat!$B$3,Thermostat!$B$4)</f>
        <v>70</v>
      </c>
      <c r="J58" s="788">
        <f>IF(J55=1,Thermostat!$B$3,Thermostat!$B$4)</f>
        <v>70</v>
      </c>
      <c r="K58" s="788">
        <f>IF(K55=1,Thermostat!$B$3,Thermostat!$B$4)</f>
        <v>70</v>
      </c>
      <c r="L58" s="788">
        <f>IF(L55=1,Thermostat!$B$3,Thermostat!$B$4)</f>
        <v>70</v>
      </c>
      <c r="M58" s="788">
        <f>IF(M55=1,Thermostat!$B$3,Thermostat!$B$4)</f>
        <v>70</v>
      </c>
      <c r="N58" s="788">
        <f>IF(N55=1,Thermostat!$B$3,Thermostat!$B$4)</f>
        <v>70</v>
      </c>
      <c r="O58" s="788">
        <f>IF(O55=1,Thermostat!$B$3,Thermostat!$B$4)</f>
        <v>70</v>
      </c>
      <c r="P58" s="788">
        <f>IF(P55=1,Thermostat!$B$3,Thermostat!$B$4)</f>
        <v>70</v>
      </c>
      <c r="Q58" s="788">
        <f>IF(Q55=1,Thermostat!$B$3,Thermostat!$B$4)</f>
        <v>70</v>
      </c>
      <c r="R58" s="788">
        <f>IF(R55=1,Thermostat!$B$3,Thermostat!$B$4)</f>
        <v>70</v>
      </c>
      <c r="S58" s="788">
        <f>IF(S55=1,Thermostat!$B$3,Thermostat!$B$4)</f>
        <v>70</v>
      </c>
      <c r="T58" s="788">
        <f>IF(T55=1,Thermostat!$B$3,Thermostat!$B$4)</f>
        <v>70</v>
      </c>
      <c r="U58" s="788">
        <f>IF(U55=1,Thermostat!$B$3,Thermostat!$B$4)</f>
        <v>70</v>
      </c>
      <c r="V58" s="788">
        <f>IF(V55=1,Thermostat!$B$3,Thermostat!$B$4)</f>
        <v>70</v>
      </c>
      <c r="W58" s="788">
        <f>IF(W55=1,Thermostat!$B$3,Thermostat!$B$4)</f>
        <v>70</v>
      </c>
      <c r="X58" s="788">
        <f>IF(X55=1,Thermostat!$B$3,Thermostat!$B$4)</f>
        <v>70</v>
      </c>
      <c r="Y58" s="788">
        <f>IF(Y55=1,Thermostat!$B$3,Thermostat!$B$4)</f>
        <v>70</v>
      </c>
      <c r="Z58" s="788">
        <f>IF(Z55=1,Thermostat!$B$3,Thermostat!$B$4)</f>
        <v>70</v>
      </c>
      <c r="AA58" s="788">
        <f>IF(AA55=1,Thermostat!$B$3,Thermostat!$B$4)</f>
        <v>70</v>
      </c>
      <c r="AB58" s="788">
        <f>IF(AB55=1,Thermostat!$B$3,Thermostat!$B$4)</f>
        <v>70</v>
      </c>
      <c r="AC58" s="225">
        <f>IF(AC55=1,Thermostat!$B$3,Thermostat!$B$4)</f>
        <v>70</v>
      </c>
    </row>
    <row r="59" spans="1:63" ht="22.95" customHeight="1" x14ac:dyDescent="0.3">
      <c r="A59" s="1078" t="s">
        <v>718</v>
      </c>
      <c r="B59" s="990" t="s">
        <v>159</v>
      </c>
      <c r="C59" s="1081" t="s">
        <v>716</v>
      </c>
      <c r="D59" s="1084"/>
      <c r="E59" s="220" t="s">
        <v>442</v>
      </c>
      <c r="F59" s="786">
        <f>IF(F53=1,Thermostat!$B$5,Thermostat!$B$6)</f>
        <v>75</v>
      </c>
      <c r="G59" s="786">
        <f>IF(G53=1,Thermostat!$B$5,Thermostat!$B$6)</f>
        <v>75</v>
      </c>
      <c r="H59" s="786">
        <f>IF(H53=1,Thermostat!$B$5,Thermostat!$B$6)</f>
        <v>75</v>
      </c>
      <c r="I59" s="786">
        <f>IF(I53=1,Thermostat!$B$5,Thermostat!$B$6)</f>
        <v>75</v>
      </c>
      <c r="J59" s="786">
        <f>IF(J53=1,Thermostat!$B$5,Thermostat!$B$6)</f>
        <v>75</v>
      </c>
      <c r="K59" s="786">
        <f>IF(K53=1,Thermostat!$B$5,Thermostat!$B$6)</f>
        <v>75</v>
      </c>
      <c r="L59" s="786">
        <f>IF(L53=1,Thermostat!$B$5,Thermostat!$B$6)</f>
        <v>75</v>
      </c>
      <c r="M59" s="786">
        <f>IF(M53=1,Thermostat!$B$5,Thermostat!$B$6)</f>
        <v>75</v>
      </c>
      <c r="N59" s="786">
        <f>IF(N53=1,Thermostat!$B$5,Thermostat!$B$6)</f>
        <v>75</v>
      </c>
      <c r="O59" s="786">
        <f>IF(O53=1,Thermostat!$B$5,Thermostat!$B$6)</f>
        <v>75</v>
      </c>
      <c r="P59" s="786">
        <f>IF(P53=1,Thermostat!$B$5,Thermostat!$B$6)</f>
        <v>75</v>
      </c>
      <c r="Q59" s="786">
        <f>IF(Q53=1,Thermostat!$B$5,Thermostat!$B$6)</f>
        <v>75</v>
      </c>
      <c r="R59" s="786">
        <f>IF(R53=1,Thermostat!$B$5,Thermostat!$B$6)</f>
        <v>75</v>
      </c>
      <c r="S59" s="786">
        <f>IF(S53=1,Thermostat!$B$5,Thermostat!$B$6)</f>
        <v>75</v>
      </c>
      <c r="T59" s="786">
        <f>IF(T53=1,Thermostat!$B$5,Thermostat!$B$6)</f>
        <v>75</v>
      </c>
      <c r="U59" s="786">
        <f>IF(U53=1,Thermostat!$B$5,Thermostat!$B$6)</f>
        <v>75</v>
      </c>
      <c r="V59" s="786">
        <f>IF(V53=1,Thermostat!$B$5,Thermostat!$B$6)</f>
        <v>75</v>
      </c>
      <c r="W59" s="786">
        <f>IF(W53=1,Thermostat!$B$5,Thermostat!$B$6)</f>
        <v>75</v>
      </c>
      <c r="X59" s="786">
        <f>IF(X53=1,Thermostat!$B$5,Thermostat!$B$6)</f>
        <v>75</v>
      </c>
      <c r="Y59" s="786">
        <f>IF(Y53=1,Thermostat!$B$5,Thermostat!$B$6)</f>
        <v>75</v>
      </c>
      <c r="Z59" s="786">
        <f>IF(Z53=1,Thermostat!$B$5,Thermostat!$B$6)</f>
        <v>75</v>
      </c>
      <c r="AA59" s="786">
        <f>IF(AA53=1,Thermostat!$B$5,Thermostat!$B$6)</f>
        <v>75</v>
      </c>
      <c r="AB59" s="786">
        <f>IF(AB53=1,Thermostat!$B$5,Thermostat!$B$6)</f>
        <v>75</v>
      </c>
      <c r="AC59" s="221">
        <f>IF(AC53=1,Thermostat!$B$5,Thermostat!$B$6)</f>
        <v>75</v>
      </c>
    </row>
    <row r="60" spans="1:63" ht="22.95" customHeight="1" x14ac:dyDescent="0.3">
      <c r="A60" s="1079"/>
      <c r="B60" s="991"/>
      <c r="C60" s="1082"/>
      <c r="D60" s="1085"/>
      <c r="E60" s="222" t="s">
        <v>443</v>
      </c>
      <c r="F60" s="787">
        <f>IF(F54=1,Thermostat!$B$5,Thermostat!$B$6)</f>
        <v>75</v>
      </c>
      <c r="G60" s="787">
        <f>IF(G54=1,Thermostat!$B$5,Thermostat!$B$6)</f>
        <v>75</v>
      </c>
      <c r="H60" s="787">
        <f>IF(H54=1,Thermostat!$B$5,Thermostat!$B$6)</f>
        <v>75</v>
      </c>
      <c r="I60" s="787">
        <f>IF(I54=1,Thermostat!$B$5,Thermostat!$B$6)</f>
        <v>75</v>
      </c>
      <c r="J60" s="787">
        <f>IF(J54=1,Thermostat!$B$5,Thermostat!$B$6)</f>
        <v>75</v>
      </c>
      <c r="K60" s="787">
        <f>IF(K54=1,Thermostat!$B$5,Thermostat!$B$6)</f>
        <v>75</v>
      </c>
      <c r="L60" s="787">
        <f>IF(L54=1,Thermostat!$B$5,Thermostat!$B$6)</f>
        <v>75</v>
      </c>
      <c r="M60" s="787">
        <f>IF(M54=1,Thermostat!$B$5,Thermostat!$B$6)</f>
        <v>75</v>
      </c>
      <c r="N60" s="787">
        <f>IF(N54=1,Thermostat!$B$5,Thermostat!$B$6)</f>
        <v>75</v>
      </c>
      <c r="O60" s="787">
        <f>IF(O54=1,Thermostat!$B$5,Thermostat!$B$6)</f>
        <v>75</v>
      </c>
      <c r="P60" s="787">
        <f>IF(P54=1,Thermostat!$B$5,Thermostat!$B$6)</f>
        <v>75</v>
      </c>
      <c r="Q60" s="787">
        <f>IF(Q54=1,Thermostat!$B$5,Thermostat!$B$6)</f>
        <v>75</v>
      </c>
      <c r="R60" s="787">
        <f>IF(R54=1,Thermostat!$B$5,Thermostat!$B$6)</f>
        <v>75</v>
      </c>
      <c r="S60" s="787">
        <f>IF(S54=1,Thermostat!$B$5,Thermostat!$B$6)</f>
        <v>75</v>
      </c>
      <c r="T60" s="787">
        <f>IF(T54=1,Thermostat!$B$5,Thermostat!$B$6)</f>
        <v>75</v>
      </c>
      <c r="U60" s="787">
        <f>IF(U54=1,Thermostat!$B$5,Thermostat!$B$6)</f>
        <v>75</v>
      </c>
      <c r="V60" s="787">
        <f>IF(V54=1,Thermostat!$B$5,Thermostat!$B$6)</f>
        <v>75</v>
      </c>
      <c r="W60" s="787">
        <f>IF(W54=1,Thermostat!$B$5,Thermostat!$B$6)</f>
        <v>75</v>
      </c>
      <c r="X60" s="787">
        <f>IF(X54=1,Thermostat!$B$5,Thermostat!$B$6)</f>
        <v>75</v>
      </c>
      <c r="Y60" s="787">
        <f>IF(Y54=1,Thermostat!$B$5,Thermostat!$B$6)</f>
        <v>75</v>
      </c>
      <c r="Z60" s="787">
        <f>IF(Z54=1,Thermostat!$B$5,Thermostat!$B$6)</f>
        <v>75</v>
      </c>
      <c r="AA60" s="787">
        <f>IF(AA54=1,Thermostat!$B$5,Thermostat!$B$6)</f>
        <v>75</v>
      </c>
      <c r="AB60" s="787">
        <f>IF(AB54=1,Thermostat!$B$5,Thermostat!$B$6)</f>
        <v>75</v>
      </c>
      <c r="AC60" s="223">
        <f>IF(AC54=1,Thermostat!$B$5,Thermostat!$B$6)</f>
        <v>75</v>
      </c>
    </row>
    <row r="61" spans="1:63" ht="22.95" customHeight="1" x14ac:dyDescent="0.3">
      <c r="A61" s="1080"/>
      <c r="B61" s="992"/>
      <c r="C61" s="1083"/>
      <c r="D61" s="1086"/>
      <c r="E61" s="224" t="s">
        <v>444</v>
      </c>
      <c r="F61" s="788">
        <f>IF(F55=1,Thermostat!$B$5,Thermostat!$B$6)</f>
        <v>75</v>
      </c>
      <c r="G61" s="788">
        <f>IF(G55=1,Thermostat!$B$5,Thermostat!$B$6)</f>
        <v>75</v>
      </c>
      <c r="H61" s="788">
        <f>IF(H55=1,Thermostat!$B$5,Thermostat!$B$6)</f>
        <v>75</v>
      </c>
      <c r="I61" s="788">
        <f>IF(I55=1,Thermostat!$B$5,Thermostat!$B$6)</f>
        <v>75</v>
      </c>
      <c r="J61" s="788">
        <f>IF(J55=1,Thermostat!$B$5,Thermostat!$B$6)</f>
        <v>75</v>
      </c>
      <c r="K61" s="788">
        <f>IF(K55=1,Thermostat!$B$5,Thermostat!$B$6)</f>
        <v>75</v>
      </c>
      <c r="L61" s="788">
        <f>IF(L55=1,Thermostat!$B$5,Thermostat!$B$6)</f>
        <v>75</v>
      </c>
      <c r="M61" s="788">
        <f>IF(M55=1,Thermostat!$B$5,Thermostat!$B$6)</f>
        <v>75</v>
      </c>
      <c r="N61" s="788">
        <f>IF(N55=1,Thermostat!$B$5,Thermostat!$B$6)</f>
        <v>75</v>
      </c>
      <c r="O61" s="788">
        <f>IF(O55=1,Thermostat!$B$5,Thermostat!$B$6)</f>
        <v>75</v>
      </c>
      <c r="P61" s="788">
        <f>IF(P55=1,Thermostat!$B$5,Thermostat!$B$6)</f>
        <v>75</v>
      </c>
      <c r="Q61" s="788">
        <f>IF(Q55=1,Thermostat!$B$5,Thermostat!$B$6)</f>
        <v>75</v>
      </c>
      <c r="R61" s="788">
        <f>IF(R55=1,Thermostat!$B$5,Thermostat!$B$6)</f>
        <v>75</v>
      </c>
      <c r="S61" s="788">
        <f>IF(S55=1,Thermostat!$B$5,Thermostat!$B$6)</f>
        <v>75</v>
      </c>
      <c r="T61" s="788">
        <f>IF(T55=1,Thermostat!$B$5,Thermostat!$B$6)</f>
        <v>75</v>
      </c>
      <c r="U61" s="788">
        <f>IF(U55=1,Thermostat!$B$5,Thermostat!$B$6)</f>
        <v>75</v>
      </c>
      <c r="V61" s="788">
        <f>IF(V55=1,Thermostat!$B$5,Thermostat!$B$6)</f>
        <v>75</v>
      </c>
      <c r="W61" s="788">
        <f>IF(W55=1,Thermostat!$B$5,Thermostat!$B$6)</f>
        <v>75</v>
      </c>
      <c r="X61" s="788">
        <f>IF(X55=1,Thermostat!$B$5,Thermostat!$B$6)</f>
        <v>75</v>
      </c>
      <c r="Y61" s="788">
        <f>IF(Y55=1,Thermostat!$B$5,Thermostat!$B$6)</f>
        <v>75</v>
      </c>
      <c r="Z61" s="788">
        <f>IF(Z55=1,Thermostat!$B$5,Thermostat!$B$6)</f>
        <v>75</v>
      </c>
      <c r="AA61" s="788">
        <f>IF(AA55=1,Thermostat!$B$5,Thermostat!$B$6)</f>
        <v>75</v>
      </c>
      <c r="AB61" s="788">
        <f>IF(AB55=1,Thermostat!$B$5,Thermostat!$B$6)</f>
        <v>75</v>
      </c>
      <c r="AC61" s="225">
        <f>IF(AC55=1,Thermostat!$B$5,Thermostat!$B$6)</f>
        <v>75</v>
      </c>
    </row>
    <row r="62" spans="1:63" ht="25.2" customHeight="1" x14ac:dyDescent="0.3">
      <c r="A62" s="1023" t="s">
        <v>211</v>
      </c>
      <c r="B62" s="1023"/>
      <c r="C62" s="1023"/>
      <c r="D62" s="1023"/>
      <c r="E62" s="1023"/>
      <c r="F62" s="1023"/>
      <c r="G62" s="1023"/>
      <c r="H62" s="1023"/>
      <c r="I62" s="1023"/>
      <c r="J62" s="1023"/>
      <c r="K62" s="1023"/>
      <c r="L62" s="1023"/>
      <c r="M62" s="1023"/>
      <c r="N62" s="1023"/>
      <c r="O62" s="1023"/>
      <c r="P62" s="1023"/>
      <c r="Q62" s="1023"/>
      <c r="R62" s="1023"/>
      <c r="S62" s="1023"/>
      <c r="T62" s="1023"/>
      <c r="U62" s="1023"/>
      <c r="V62" s="1023"/>
      <c r="W62" s="1023"/>
      <c r="X62" s="1023"/>
      <c r="Y62" s="1023"/>
      <c r="Z62" s="1023"/>
      <c r="AA62" s="1023"/>
      <c r="AB62" s="1023"/>
      <c r="AC62" s="1024"/>
    </row>
    <row r="63" spans="1:63" ht="25.2" customHeight="1" x14ac:dyDescent="0.3">
      <c r="A63" s="1015" t="s">
        <v>722</v>
      </c>
      <c r="B63" s="1038" t="s">
        <v>211</v>
      </c>
      <c r="C63" s="1038" t="s">
        <v>707</v>
      </c>
      <c r="D63" s="993" t="s">
        <v>719</v>
      </c>
      <c r="E63" s="363" t="s">
        <v>442</v>
      </c>
      <c r="F63" s="777">
        <v>0.3</v>
      </c>
      <c r="G63" s="777">
        <v>0.3</v>
      </c>
      <c r="H63" s="777">
        <v>0.3</v>
      </c>
      <c r="I63" s="777">
        <v>0.3</v>
      </c>
      <c r="J63" s="777">
        <v>0.3</v>
      </c>
      <c r="K63" s="777">
        <v>0.3</v>
      </c>
      <c r="L63" s="777">
        <v>0.43</v>
      </c>
      <c r="M63" s="777">
        <v>0.48</v>
      </c>
      <c r="N63" s="777">
        <v>0.48</v>
      </c>
      <c r="O63" s="777">
        <v>0.48</v>
      </c>
      <c r="P63" s="777">
        <v>0.65</v>
      </c>
      <c r="Q63" s="777">
        <v>0.65</v>
      </c>
      <c r="R63" s="777">
        <v>0.65</v>
      </c>
      <c r="S63" s="777">
        <v>0.65</v>
      </c>
      <c r="T63" s="777">
        <v>0.65</v>
      </c>
      <c r="U63" s="777">
        <v>0.65</v>
      </c>
      <c r="V63" s="777">
        <v>0.78</v>
      </c>
      <c r="W63" s="777">
        <v>0.78</v>
      </c>
      <c r="X63" s="777">
        <v>0.78</v>
      </c>
      <c r="Y63" s="777">
        <v>0.78</v>
      </c>
      <c r="Z63" s="777">
        <v>0.53</v>
      </c>
      <c r="AA63" s="777">
        <v>0.4</v>
      </c>
      <c r="AB63" s="777">
        <v>0.33</v>
      </c>
      <c r="AC63" s="169">
        <v>0.33</v>
      </c>
      <c r="AD63" s="39"/>
      <c r="AE63" s="39"/>
      <c r="AF63" s="39"/>
      <c r="AG63" s="39"/>
      <c r="AH63" s="39"/>
      <c r="AI63" s="39"/>
      <c r="AJ63" s="39"/>
      <c r="AK63" s="39"/>
    </row>
    <row r="64" spans="1:63" ht="33" customHeight="1" x14ac:dyDescent="0.3">
      <c r="A64" s="924"/>
      <c r="B64" s="1039"/>
      <c r="C64" s="1039"/>
      <c r="D64" s="994"/>
      <c r="E64" s="364" t="s">
        <v>443</v>
      </c>
      <c r="F64" s="778">
        <v>0.3</v>
      </c>
      <c r="G64" s="778">
        <v>0.3</v>
      </c>
      <c r="H64" s="778">
        <v>0.3</v>
      </c>
      <c r="I64" s="778">
        <v>0.3</v>
      </c>
      <c r="J64" s="778">
        <v>0.3</v>
      </c>
      <c r="K64" s="778">
        <v>0.3</v>
      </c>
      <c r="L64" s="778">
        <v>0.43</v>
      </c>
      <c r="M64" s="778">
        <v>0.48</v>
      </c>
      <c r="N64" s="778">
        <v>0.48</v>
      </c>
      <c r="O64" s="778">
        <v>0.48</v>
      </c>
      <c r="P64" s="778">
        <v>0.65</v>
      </c>
      <c r="Q64" s="778">
        <v>0.65</v>
      </c>
      <c r="R64" s="778">
        <v>0.65</v>
      </c>
      <c r="S64" s="778">
        <v>0.65</v>
      </c>
      <c r="T64" s="778">
        <v>0.65</v>
      </c>
      <c r="U64" s="778">
        <v>0.65</v>
      </c>
      <c r="V64" s="778">
        <v>0.78</v>
      </c>
      <c r="W64" s="778">
        <v>0.78</v>
      </c>
      <c r="X64" s="778">
        <v>0.78</v>
      </c>
      <c r="Y64" s="778">
        <v>0.78</v>
      </c>
      <c r="Z64" s="778">
        <v>0.53</v>
      </c>
      <c r="AA64" s="778">
        <v>0.4</v>
      </c>
      <c r="AB64" s="778">
        <v>0.33</v>
      </c>
      <c r="AC64" s="170">
        <v>0.33</v>
      </c>
      <c r="AD64" s="39"/>
      <c r="AE64" s="39"/>
      <c r="AF64" s="39"/>
      <c r="AG64" s="39"/>
      <c r="AH64" s="39"/>
      <c r="AI64" s="39"/>
      <c r="AJ64" s="39"/>
      <c r="AK64" s="39"/>
    </row>
    <row r="65" spans="1:63" ht="33" customHeight="1" x14ac:dyDescent="0.3">
      <c r="A65" s="1016"/>
      <c r="B65" s="1040"/>
      <c r="C65" s="1040"/>
      <c r="D65" s="995"/>
      <c r="E65" s="365" t="s">
        <v>444</v>
      </c>
      <c r="F65" s="779">
        <v>0.3</v>
      </c>
      <c r="G65" s="779">
        <v>0.3</v>
      </c>
      <c r="H65" s="779">
        <v>0.3</v>
      </c>
      <c r="I65" s="779">
        <v>0.3</v>
      </c>
      <c r="J65" s="779">
        <v>0.3</v>
      </c>
      <c r="K65" s="779">
        <v>0.3</v>
      </c>
      <c r="L65" s="779">
        <v>0.43</v>
      </c>
      <c r="M65" s="779">
        <v>0.48</v>
      </c>
      <c r="N65" s="779">
        <v>0.48</v>
      </c>
      <c r="O65" s="779">
        <v>0.48</v>
      </c>
      <c r="P65" s="779">
        <v>0.65</v>
      </c>
      <c r="Q65" s="779">
        <v>0.65</v>
      </c>
      <c r="R65" s="779">
        <v>0.65</v>
      </c>
      <c r="S65" s="779">
        <v>0.65</v>
      </c>
      <c r="T65" s="779">
        <v>0.65</v>
      </c>
      <c r="U65" s="779">
        <v>0.65</v>
      </c>
      <c r="V65" s="779">
        <v>0.78</v>
      </c>
      <c r="W65" s="779">
        <v>0.78</v>
      </c>
      <c r="X65" s="779">
        <v>0.78</v>
      </c>
      <c r="Y65" s="779">
        <v>0.78</v>
      </c>
      <c r="Z65" s="779">
        <v>0.53</v>
      </c>
      <c r="AA65" s="779">
        <v>0.4</v>
      </c>
      <c r="AB65" s="779">
        <v>0.33</v>
      </c>
      <c r="AC65" s="171">
        <v>0.33</v>
      </c>
      <c r="AD65" s="39"/>
      <c r="AE65" s="39"/>
      <c r="AF65" s="39"/>
      <c r="AG65" s="39"/>
      <c r="AH65" s="39"/>
      <c r="AI65" s="39"/>
      <c r="AJ65" s="39"/>
      <c r="AK65" s="39"/>
    </row>
    <row r="66" spans="1:63" ht="38.700000000000003" customHeight="1" x14ac:dyDescent="0.3">
      <c r="A66" s="1015" t="s">
        <v>722</v>
      </c>
      <c r="B66" s="1038" t="s">
        <v>211</v>
      </c>
      <c r="C66" s="1076" t="s">
        <v>709</v>
      </c>
      <c r="D66" s="1002" t="s">
        <v>723</v>
      </c>
      <c r="E66" s="488" t="s">
        <v>442</v>
      </c>
      <c r="F66" s="367">
        <v>0.05</v>
      </c>
      <c r="G66" s="367">
        <v>0.05</v>
      </c>
      <c r="H66" s="367">
        <v>0.05</v>
      </c>
      <c r="I66" s="367">
        <v>0.05</v>
      </c>
      <c r="J66" s="367">
        <v>0.05</v>
      </c>
      <c r="K66" s="367">
        <v>0.05</v>
      </c>
      <c r="L66" s="488">
        <v>0.45</v>
      </c>
      <c r="M66" s="488">
        <v>0.45</v>
      </c>
      <c r="N66" s="488">
        <v>0.81</v>
      </c>
      <c r="O66" s="488">
        <v>0.81</v>
      </c>
      <c r="P66" s="488">
        <v>0.81</v>
      </c>
      <c r="Q66" s="488">
        <v>0.81</v>
      </c>
      <c r="R66" s="488">
        <v>0.81</v>
      </c>
      <c r="S66" s="488">
        <v>0.81</v>
      </c>
      <c r="T66" s="488">
        <v>0.81</v>
      </c>
      <c r="U66" s="488">
        <v>0.81</v>
      </c>
      <c r="V66" s="488">
        <v>0.45</v>
      </c>
      <c r="W66" s="488">
        <v>0.45</v>
      </c>
      <c r="X66" s="488">
        <v>0.45</v>
      </c>
      <c r="Y66" s="488">
        <v>0.45</v>
      </c>
      <c r="Z66" s="488">
        <v>0.45</v>
      </c>
      <c r="AA66" s="367">
        <v>0.3</v>
      </c>
      <c r="AB66" s="367">
        <v>0.05</v>
      </c>
      <c r="AC66" s="368">
        <v>0.05</v>
      </c>
      <c r="AD66" s="39"/>
      <c r="AE66" s="39"/>
      <c r="AF66" s="39"/>
      <c r="AG66" s="39"/>
      <c r="AH66" s="39"/>
      <c r="AI66" s="39"/>
      <c r="AJ66" s="39"/>
      <c r="AK66" s="39"/>
      <c r="AM66" s="366" t="s">
        <v>442</v>
      </c>
      <c r="AN66" s="70">
        <v>0.45</v>
      </c>
      <c r="AO66" s="70">
        <v>0.45</v>
      </c>
      <c r="AP66" s="70">
        <v>0.45</v>
      </c>
      <c r="AQ66" s="70">
        <v>0.45</v>
      </c>
      <c r="AR66" s="70">
        <v>0.45</v>
      </c>
      <c r="AS66" s="70">
        <v>0.45</v>
      </c>
      <c r="AT66" s="70">
        <v>0.45</v>
      </c>
      <c r="AU66" s="70">
        <v>0.45</v>
      </c>
      <c r="AV66" s="70">
        <v>0.81</v>
      </c>
      <c r="AW66" s="70">
        <v>0.81</v>
      </c>
      <c r="AX66" s="70">
        <v>0.81</v>
      </c>
      <c r="AY66" s="70">
        <v>0.81</v>
      </c>
      <c r="AZ66" s="70">
        <v>0.81</v>
      </c>
      <c r="BA66" s="70">
        <v>0.81</v>
      </c>
      <c r="BB66" s="70">
        <v>0.81</v>
      </c>
      <c r="BC66" s="70">
        <v>0.81</v>
      </c>
      <c r="BD66" s="70">
        <v>0.45</v>
      </c>
      <c r="BE66" s="70">
        <v>0.45</v>
      </c>
      <c r="BF66" s="70">
        <v>0.45</v>
      </c>
      <c r="BG66" s="70">
        <v>0.45</v>
      </c>
      <c r="BH66" s="70">
        <v>0.45</v>
      </c>
      <c r="BI66" s="70">
        <v>0.45</v>
      </c>
      <c r="BJ66" s="70">
        <v>0.45</v>
      </c>
      <c r="BK66" s="70">
        <v>0.45</v>
      </c>
    </row>
    <row r="67" spans="1:63" ht="38.700000000000003" customHeight="1" x14ac:dyDescent="0.3">
      <c r="A67" s="924"/>
      <c r="B67" s="1039"/>
      <c r="C67" s="1000"/>
      <c r="D67" s="1003"/>
      <c r="E67" s="759" t="s">
        <v>443</v>
      </c>
      <c r="F67" s="367">
        <v>0.05</v>
      </c>
      <c r="G67" s="367">
        <v>0.05</v>
      </c>
      <c r="H67" s="367">
        <v>0.05</v>
      </c>
      <c r="I67" s="367">
        <v>0.05</v>
      </c>
      <c r="J67" s="367">
        <v>0.05</v>
      </c>
      <c r="K67" s="367">
        <v>0.05</v>
      </c>
      <c r="L67" s="759">
        <v>0.45</v>
      </c>
      <c r="M67" s="759">
        <v>0.45</v>
      </c>
      <c r="N67" s="759">
        <v>0.72</v>
      </c>
      <c r="O67" s="759">
        <v>0.72</v>
      </c>
      <c r="P67" s="759">
        <v>0.72</v>
      </c>
      <c r="Q67" s="759">
        <v>0.72</v>
      </c>
      <c r="R67" s="759">
        <v>0.72</v>
      </c>
      <c r="S67" s="759">
        <v>0.72</v>
      </c>
      <c r="T67" s="759">
        <v>0.72</v>
      </c>
      <c r="U67" s="759">
        <v>0.72</v>
      </c>
      <c r="V67" s="759">
        <v>0.72</v>
      </c>
      <c r="W67" s="759">
        <v>0.72</v>
      </c>
      <c r="X67" s="759">
        <v>0.45</v>
      </c>
      <c r="Y67" s="759">
        <v>0.45</v>
      </c>
      <c r="Z67" s="759">
        <v>0.45</v>
      </c>
      <c r="AA67" s="369">
        <v>0.3</v>
      </c>
      <c r="AB67" s="369">
        <v>0.05</v>
      </c>
      <c r="AC67" s="370">
        <v>0.05</v>
      </c>
      <c r="AD67" s="39"/>
      <c r="AE67" s="39"/>
      <c r="AF67" s="39"/>
      <c r="AG67" s="39"/>
      <c r="AH67" s="39"/>
      <c r="AI67" s="39"/>
      <c r="AJ67" s="39"/>
      <c r="AK67" s="39"/>
      <c r="AM67" s="366" t="s">
        <v>443</v>
      </c>
      <c r="AN67" s="70">
        <v>0.45</v>
      </c>
      <c r="AO67" s="70">
        <v>0.45</v>
      </c>
      <c r="AP67" s="70">
        <v>0.45</v>
      </c>
      <c r="AQ67" s="70">
        <v>0.45</v>
      </c>
      <c r="AR67" s="70">
        <v>0.45</v>
      </c>
      <c r="AS67" s="70">
        <v>0.45</v>
      </c>
      <c r="AT67" s="70">
        <v>0.45</v>
      </c>
      <c r="AU67" s="70">
        <v>0.45</v>
      </c>
      <c r="AV67" s="70">
        <v>0.72</v>
      </c>
      <c r="AW67" s="70">
        <v>0.72</v>
      </c>
      <c r="AX67" s="70">
        <v>0.72</v>
      </c>
      <c r="AY67" s="70">
        <v>0.72</v>
      </c>
      <c r="AZ67" s="70">
        <v>0.72</v>
      </c>
      <c r="BA67" s="70">
        <v>0.72</v>
      </c>
      <c r="BB67" s="70">
        <v>0.72</v>
      </c>
      <c r="BC67" s="70">
        <v>0.72</v>
      </c>
      <c r="BD67" s="70">
        <v>0.72</v>
      </c>
      <c r="BE67" s="70">
        <v>0.72</v>
      </c>
      <c r="BF67" s="70">
        <v>0.45</v>
      </c>
      <c r="BG67" s="70">
        <v>0.45</v>
      </c>
      <c r="BH67" s="70">
        <v>0.45</v>
      </c>
      <c r="BI67" s="70">
        <v>0.45</v>
      </c>
      <c r="BJ67" s="70">
        <v>0.45</v>
      </c>
      <c r="BK67" s="70">
        <v>0.45</v>
      </c>
    </row>
    <row r="68" spans="1:63" ht="38.700000000000003" customHeight="1" x14ac:dyDescent="0.3">
      <c r="A68" s="1016"/>
      <c r="B68" s="1040"/>
      <c r="C68" s="1001"/>
      <c r="D68" s="1004"/>
      <c r="E68" s="174" t="s">
        <v>444</v>
      </c>
      <c r="F68" s="367">
        <v>0.05</v>
      </c>
      <c r="G68" s="367">
        <v>0.05</v>
      </c>
      <c r="H68" s="367">
        <v>0.05</v>
      </c>
      <c r="I68" s="367">
        <v>0.05</v>
      </c>
      <c r="J68" s="367">
        <v>0.05</v>
      </c>
      <c r="K68" s="367">
        <v>0.05</v>
      </c>
      <c r="L68" s="174">
        <v>0.45</v>
      </c>
      <c r="M68" s="174">
        <v>0.45</v>
      </c>
      <c r="N68" s="174">
        <v>0.63</v>
      </c>
      <c r="O68" s="174">
        <v>0.63</v>
      </c>
      <c r="P68" s="174">
        <v>0.63</v>
      </c>
      <c r="Q68" s="174">
        <v>0.63</v>
      </c>
      <c r="R68" s="174">
        <v>0.63</v>
      </c>
      <c r="S68" s="174">
        <v>0.63</v>
      </c>
      <c r="T68" s="174">
        <v>0.63</v>
      </c>
      <c r="U68" s="174">
        <v>0.63</v>
      </c>
      <c r="V68" s="174">
        <v>0.45</v>
      </c>
      <c r="W68" s="174">
        <v>0.45</v>
      </c>
      <c r="X68" s="174">
        <v>0.45</v>
      </c>
      <c r="Y68" s="174">
        <v>0.45</v>
      </c>
      <c r="Z68" s="174">
        <v>0.45</v>
      </c>
      <c r="AA68" s="371">
        <v>0.3</v>
      </c>
      <c r="AB68" s="371">
        <v>0.05</v>
      </c>
      <c r="AC68" s="372">
        <v>0.05</v>
      </c>
      <c r="AD68" s="39"/>
      <c r="AE68" s="39"/>
      <c r="AF68" s="39"/>
      <c r="AG68" s="39"/>
      <c r="AH68" s="39"/>
      <c r="AI68" s="39"/>
      <c r="AJ68" s="39"/>
      <c r="AK68" s="39"/>
      <c r="AM68" s="366" t="s">
        <v>724</v>
      </c>
      <c r="AN68" s="70">
        <v>0.45</v>
      </c>
      <c r="AO68" s="70">
        <v>0.45</v>
      </c>
      <c r="AP68" s="70">
        <v>0.45</v>
      </c>
      <c r="AQ68" s="70">
        <v>0.45</v>
      </c>
      <c r="AR68" s="70">
        <v>0.45</v>
      </c>
      <c r="AS68" s="70">
        <v>0.45</v>
      </c>
      <c r="AT68" s="70">
        <v>0.45</v>
      </c>
      <c r="AU68" s="70">
        <v>0.45</v>
      </c>
      <c r="AV68" s="70">
        <v>0.63</v>
      </c>
      <c r="AW68" s="70">
        <v>0.63</v>
      </c>
      <c r="AX68" s="70">
        <v>0.63</v>
      </c>
      <c r="AY68" s="70">
        <v>0.63</v>
      </c>
      <c r="AZ68" s="70">
        <v>0.63</v>
      </c>
      <c r="BA68" s="70">
        <v>0.63</v>
      </c>
      <c r="BB68" s="70">
        <v>0.63</v>
      </c>
      <c r="BC68" s="70">
        <v>0.63</v>
      </c>
      <c r="BD68" s="70">
        <v>0.45</v>
      </c>
      <c r="BE68" s="70">
        <v>0.45</v>
      </c>
      <c r="BF68" s="70">
        <v>0.45</v>
      </c>
      <c r="BG68" s="70">
        <v>0.45</v>
      </c>
      <c r="BH68" s="70">
        <v>0.45</v>
      </c>
      <c r="BI68" s="70">
        <v>0.45</v>
      </c>
      <c r="BJ68" s="70">
        <v>0.45</v>
      </c>
      <c r="BK68" s="70">
        <v>0.45</v>
      </c>
    </row>
    <row r="69" spans="1:63" ht="36" customHeight="1" x14ac:dyDescent="0.3">
      <c r="A69" s="1015" t="s">
        <v>722</v>
      </c>
      <c r="B69" s="1038" t="s">
        <v>211</v>
      </c>
      <c r="C69" s="999" t="s">
        <v>710</v>
      </c>
      <c r="D69" s="1002" t="s">
        <v>719</v>
      </c>
      <c r="E69" s="176" t="s">
        <v>442</v>
      </c>
      <c r="F69" s="177">
        <v>0.4</v>
      </c>
      <c r="G69" s="177">
        <v>0.4</v>
      </c>
      <c r="H69" s="177">
        <v>0.4</v>
      </c>
      <c r="I69" s="177">
        <v>0.4</v>
      </c>
      <c r="J69" s="177">
        <v>0.4</v>
      </c>
      <c r="K69" s="177">
        <v>0.4</v>
      </c>
      <c r="L69" s="177">
        <v>0.4</v>
      </c>
      <c r="M69" s="177">
        <v>0.7</v>
      </c>
      <c r="N69" s="177">
        <v>0.9</v>
      </c>
      <c r="O69" s="177">
        <v>0.9</v>
      </c>
      <c r="P69" s="177">
        <v>0.9</v>
      </c>
      <c r="Q69" s="177">
        <v>0.9</v>
      </c>
      <c r="R69" s="177">
        <v>0.9</v>
      </c>
      <c r="S69" s="177">
        <v>0.9</v>
      </c>
      <c r="T69" s="177">
        <v>0.9</v>
      </c>
      <c r="U69" s="177">
        <v>0.9</v>
      </c>
      <c r="V69" s="177">
        <v>0.6</v>
      </c>
      <c r="W69" s="177">
        <v>0.6</v>
      </c>
      <c r="X69" s="177">
        <v>0.6</v>
      </c>
      <c r="Y69" s="177">
        <v>0.6</v>
      </c>
      <c r="Z69" s="177">
        <v>0.6</v>
      </c>
      <c r="AA69" s="177">
        <v>0.6</v>
      </c>
      <c r="AB69" s="177">
        <v>0.6</v>
      </c>
      <c r="AC69" s="178">
        <v>0.4</v>
      </c>
      <c r="AD69" s="40"/>
      <c r="AE69" s="39"/>
      <c r="AF69" s="39"/>
      <c r="AG69" s="39"/>
      <c r="AH69" s="39"/>
      <c r="AI69" s="39"/>
      <c r="AJ69" s="39"/>
      <c r="AK69" s="39"/>
      <c r="AM69" s="50"/>
    </row>
    <row r="70" spans="1:63" ht="36" customHeight="1" x14ac:dyDescent="0.3">
      <c r="A70" s="924"/>
      <c r="B70" s="1039"/>
      <c r="C70" s="1000"/>
      <c r="D70" s="1003"/>
      <c r="E70" s="759" t="s">
        <v>443</v>
      </c>
      <c r="F70" s="179">
        <v>0.4</v>
      </c>
      <c r="G70" s="179">
        <v>0.4</v>
      </c>
      <c r="H70" s="179">
        <v>0.4</v>
      </c>
      <c r="I70" s="179">
        <v>0.4</v>
      </c>
      <c r="J70" s="179">
        <v>0.4</v>
      </c>
      <c r="K70" s="179">
        <v>0.4</v>
      </c>
      <c r="L70" s="179">
        <v>0.4</v>
      </c>
      <c r="M70" s="179">
        <v>0.8</v>
      </c>
      <c r="N70" s="179">
        <v>0.65</v>
      </c>
      <c r="O70" s="179">
        <v>0.65</v>
      </c>
      <c r="P70" s="179">
        <v>0.65</v>
      </c>
      <c r="Q70" s="179">
        <v>0.65</v>
      </c>
      <c r="R70" s="179">
        <v>0.65</v>
      </c>
      <c r="S70" s="179">
        <v>0.65</v>
      </c>
      <c r="T70" s="179">
        <v>0.65</v>
      </c>
      <c r="U70" s="179">
        <v>0.65</v>
      </c>
      <c r="V70" s="179">
        <v>0.65</v>
      </c>
      <c r="W70" s="179">
        <v>0.65</v>
      </c>
      <c r="X70" s="179">
        <v>0.4</v>
      </c>
      <c r="Y70" s="179">
        <v>0.4</v>
      </c>
      <c r="Z70" s="179">
        <v>0.4</v>
      </c>
      <c r="AA70" s="179">
        <v>0.4</v>
      </c>
      <c r="AB70" s="179">
        <v>0.4</v>
      </c>
      <c r="AC70" s="180">
        <v>0.4</v>
      </c>
      <c r="AD70" s="40"/>
      <c r="AE70" s="39"/>
      <c r="AF70" s="39"/>
      <c r="AG70" s="39"/>
      <c r="AH70" s="39"/>
      <c r="AI70" s="39"/>
      <c r="AJ70" s="39"/>
      <c r="AK70" s="39"/>
      <c r="AM70" s="50"/>
    </row>
    <row r="71" spans="1:63" ht="36" customHeight="1" x14ac:dyDescent="0.3">
      <c r="A71" s="1016"/>
      <c r="B71" s="1040"/>
      <c r="C71" s="1001"/>
      <c r="D71" s="1004"/>
      <c r="E71" s="174" t="s">
        <v>444</v>
      </c>
      <c r="F71" s="181">
        <v>0.4</v>
      </c>
      <c r="G71" s="181">
        <v>0.4</v>
      </c>
      <c r="H71" s="181">
        <v>0.4</v>
      </c>
      <c r="I71" s="181">
        <v>0.4</v>
      </c>
      <c r="J71" s="181">
        <v>0.4</v>
      </c>
      <c r="K71" s="181">
        <v>0.4</v>
      </c>
      <c r="L71" s="181">
        <v>0.4</v>
      </c>
      <c r="M71" s="181">
        <v>0.4</v>
      </c>
      <c r="N71" s="181">
        <v>0.6</v>
      </c>
      <c r="O71" s="181">
        <v>0.6</v>
      </c>
      <c r="P71" s="181">
        <v>0.6</v>
      </c>
      <c r="Q71" s="181">
        <v>0.6</v>
      </c>
      <c r="R71" s="181">
        <v>0.6</v>
      </c>
      <c r="S71" s="181">
        <v>0.6</v>
      </c>
      <c r="T71" s="181">
        <v>0.6</v>
      </c>
      <c r="U71" s="181">
        <v>0.6</v>
      </c>
      <c r="V71" s="181">
        <v>0.4</v>
      </c>
      <c r="W71" s="181">
        <v>0.4</v>
      </c>
      <c r="X71" s="181">
        <v>0.4</v>
      </c>
      <c r="Y71" s="181">
        <v>0.4</v>
      </c>
      <c r="Z71" s="181">
        <v>0.4</v>
      </c>
      <c r="AA71" s="181">
        <v>0.4</v>
      </c>
      <c r="AB71" s="181">
        <v>0.4</v>
      </c>
      <c r="AC71" s="182">
        <v>0.4</v>
      </c>
      <c r="AD71" s="40"/>
      <c r="AE71" s="39"/>
      <c r="AF71" s="39"/>
      <c r="AG71" s="39"/>
      <c r="AH71" s="39"/>
      <c r="AI71" s="39"/>
      <c r="AJ71" s="39"/>
      <c r="AK71" s="39"/>
      <c r="AM71" s="50"/>
    </row>
    <row r="72" spans="1:63" ht="36" customHeight="1" x14ac:dyDescent="0.3">
      <c r="A72" s="1015" t="s">
        <v>722</v>
      </c>
      <c r="B72" s="1038" t="s">
        <v>211</v>
      </c>
      <c r="C72" s="999" t="s">
        <v>711</v>
      </c>
      <c r="D72" s="1002" t="s">
        <v>719</v>
      </c>
      <c r="E72" s="363" t="s">
        <v>442</v>
      </c>
      <c r="F72" s="777">
        <v>0.3</v>
      </c>
      <c r="G72" s="777">
        <v>0.3</v>
      </c>
      <c r="H72" s="777">
        <v>0.3</v>
      </c>
      <c r="I72" s="777">
        <v>0.3</v>
      </c>
      <c r="J72" s="777">
        <v>0.3</v>
      </c>
      <c r="K72" s="777">
        <v>0.3</v>
      </c>
      <c r="L72" s="777">
        <v>0.5</v>
      </c>
      <c r="M72" s="777">
        <v>0.57999999999999996</v>
      </c>
      <c r="N72" s="777">
        <v>0.66</v>
      </c>
      <c r="O72" s="777">
        <v>0.78</v>
      </c>
      <c r="P72" s="777">
        <v>0.82</v>
      </c>
      <c r="Q72" s="777">
        <v>0.71</v>
      </c>
      <c r="R72" s="777">
        <v>0.82</v>
      </c>
      <c r="S72" s="777">
        <v>0.78</v>
      </c>
      <c r="T72" s="777">
        <v>0.74</v>
      </c>
      <c r="U72" s="777">
        <v>0.63</v>
      </c>
      <c r="V72" s="777">
        <v>0.41</v>
      </c>
      <c r="W72" s="777">
        <v>0.35</v>
      </c>
      <c r="X72" s="777">
        <v>0.35</v>
      </c>
      <c r="Y72" s="777">
        <v>0.35</v>
      </c>
      <c r="Z72" s="777">
        <v>0.3</v>
      </c>
      <c r="AA72" s="777">
        <v>0.3</v>
      </c>
      <c r="AB72" s="777">
        <v>0.3</v>
      </c>
      <c r="AC72" s="169">
        <v>0.3</v>
      </c>
      <c r="AD72" s="39"/>
      <c r="AE72" s="39"/>
      <c r="AF72" s="39"/>
      <c r="AG72" s="39"/>
      <c r="AH72" s="39"/>
      <c r="AI72" s="39"/>
      <c r="AJ72" s="39"/>
      <c r="AK72" s="39"/>
      <c r="AM72" s="50"/>
    </row>
    <row r="73" spans="1:63" ht="36" customHeight="1" x14ac:dyDescent="0.3">
      <c r="A73" s="924"/>
      <c r="B73" s="1039"/>
      <c r="C73" s="1000"/>
      <c r="D73" s="1003"/>
      <c r="E73" s="364" t="s">
        <v>443</v>
      </c>
      <c r="F73" s="778">
        <v>0.3</v>
      </c>
      <c r="G73" s="778">
        <v>0.3</v>
      </c>
      <c r="H73" s="778">
        <v>0.3</v>
      </c>
      <c r="I73" s="778">
        <v>0.3</v>
      </c>
      <c r="J73" s="778">
        <v>0.3</v>
      </c>
      <c r="K73" s="778">
        <v>0.3</v>
      </c>
      <c r="L73" s="778">
        <v>0.3</v>
      </c>
      <c r="M73" s="778">
        <v>0.4</v>
      </c>
      <c r="N73" s="778">
        <v>0.5</v>
      </c>
      <c r="O73" s="778">
        <v>0.6</v>
      </c>
      <c r="P73" s="778">
        <v>0.6</v>
      </c>
      <c r="Q73" s="778">
        <v>0.6</v>
      </c>
      <c r="R73" s="778">
        <v>0.6</v>
      </c>
      <c r="S73" s="778">
        <v>0.6</v>
      </c>
      <c r="T73" s="778">
        <v>0.6</v>
      </c>
      <c r="U73" s="778">
        <v>0.6</v>
      </c>
      <c r="V73" s="778">
        <v>0.5</v>
      </c>
      <c r="W73" s="778">
        <v>0.3</v>
      </c>
      <c r="X73" s="778">
        <v>0.3</v>
      </c>
      <c r="Y73" s="778">
        <v>0.3</v>
      </c>
      <c r="Z73" s="778">
        <v>0.3</v>
      </c>
      <c r="AA73" s="778">
        <v>0.3</v>
      </c>
      <c r="AB73" s="778">
        <v>0.3</v>
      </c>
      <c r="AC73" s="170">
        <v>0.3</v>
      </c>
      <c r="AD73" s="39"/>
      <c r="AE73" s="39"/>
      <c r="AF73" s="39"/>
      <c r="AG73" s="39"/>
      <c r="AH73" s="39"/>
      <c r="AI73" s="39"/>
      <c r="AJ73" s="39"/>
      <c r="AK73" s="39"/>
      <c r="AM73" s="50"/>
    </row>
    <row r="74" spans="1:63" ht="36" customHeight="1" x14ac:dyDescent="0.3">
      <c r="A74" s="1016"/>
      <c r="B74" s="1040"/>
      <c r="C74" s="1001"/>
      <c r="D74" s="1004"/>
      <c r="E74" s="365" t="s">
        <v>444</v>
      </c>
      <c r="F74" s="779">
        <v>0.3</v>
      </c>
      <c r="G74" s="779">
        <v>0.3</v>
      </c>
      <c r="H74" s="779">
        <v>0.3</v>
      </c>
      <c r="I74" s="779">
        <v>0.3</v>
      </c>
      <c r="J74" s="779">
        <v>0.3</v>
      </c>
      <c r="K74" s="779">
        <v>0.3</v>
      </c>
      <c r="L74" s="779">
        <v>0.3</v>
      </c>
      <c r="M74" s="779">
        <v>0.4</v>
      </c>
      <c r="N74" s="779">
        <v>0.5</v>
      </c>
      <c r="O74" s="779">
        <v>0.6</v>
      </c>
      <c r="P74" s="779">
        <v>0.6</v>
      </c>
      <c r="Q74" s="779">
        <v>0.6</v>
      </c>
      <c r="R74" s="779">
        <v>0.6</v>
      </c>
      <c r="S74" s="779">
        <v>0.6</v>
      </c>
      <c r="T74" s="779">
        <v>0.6</v>
      </c>
      <c r="U74" s="779">
        <v>0.6</v>
      </c>
      <c r="V74" s="779">
        <v>0.5</v>
      </c>
      <c r="W74" s="779">
        <v>0.3</v>
      </c>
      <c r="X74" s="779">
        <v>0.3</v>
      </c>
      <c r="Y74" s="779">
        <v>0.3</v>
      </c>
      <c r="Z74" s="779">
        <v>0.3</v>
      </c>
      <c r="AA74" s="779">
        <v>0.3</v>
      </c>
      <c r="AB74" s="779">
        <v>0.3</v>
      </c>
      <c r="AC74" s="171">
        <v>0.3</v>
      </c>
      <c r="AD74" s="39"/>
      <c r="AE74" s="39"/>
      <c r="AF74" s="39"/>
      <c r="AG74" s="39"/>
      <c r="AH74" s="39"/>
      <c r="AI74" s="39"/>
      <c r="AJ74" s="39"/>
      <c r="AK74" s="39"/>
      <c r="AM74" s="50"/>
    </row>
    <row r="75" spans="1:63" ht="36" customHeight="1" x14ac:dyDescent="0.3">
      <c r="A75" s="1015" t="s">
        <v>722</v>
      </c>
      <c r="B75" s="1038" t="s">
        <v>211</v>
      </c>
      <c r="C75" s="1017" t="s">
        <v>299</v>
      </c>
      <c r="D75" s="1020" t="s">
        <v>721</v>
      </c>
      <c r="E75" s="176" t="s">
        <v>442</v>
      </c>
      <c r="F75" s="354">
        <v>0.25</v>
      </c>
      <c r="G75" s="355">
        <v>0.25</v>
      </c>
      <c r="H75" s="355">
        <v>0.25</v>
      </c>
      <c r="I75" s="355">
        <v>0.25</v>
      </c>
      <c r="J75" s="355">
        <v>0.25</v>
      </c>
      <c r="K75" s="355">
        <v>0.25</v>
      </c>
      <c r="L75" s="355">
        <v>0.25</v>
      </c>
      <c r="M75" s="355">
        <v>0.25</v>
      </c>
      <c r="N75" s="355">
        <v>0.25</v>
      </c>
      <c r="O75" s="355">
        <v>0.25</v>
      </c>
      <c r="P75" s="355">
        <v>0.25</v>
      </c>
      <c r="Q75" s="355">
        <v>0.25</v>
      </c>
      <c r="R75" s="355">
        <v>0.25</v>
      </c>
      <c r="S75" s="355">
        <v>0.25</v>
      </c>
      <c r="T75" s="355">
        <v>0.25</v>
      </c>
      <c r="U75" s="355">
        <v>0.25</v>
      </c>
      <c r="V75" s="355">
        <v>0.25</v>
      </c>
      <c r="W75" s="355">
        <v>0.25</v>
      </c>
      <c r="X75" s="355">
        <v>0.25</v>
      </c>
      <c r="Y75" s="355">
        <v>0.25</v>
      </c>
      <c r="Z75" s="355">
        <v>0.25</v>
      </c>
      <c r="AA75" s="355">
        <v>0.25</v>
      </c>
      <c r="AB75" s="355">
        <v>0.25</v>
      </c>
      <c r="AC75" s="356">
        <v>0.25</v>
      </c>
      <c r="AD75" s="40"/>
      <c r="AE75" s="39"/>
      <c r="AF75" s="39"/>
      <c r="AG75" s="39"/>
      <c r="AH75" s="39"/>
      <c r="AI75" s="39"/>
      <c r="AJ75" s="39"/>
      <c r="AK75" s="39"/>
      <c r="AM75" s="50"/>
    </row>
    <row r="76" spans="1:63" ht="36" customHeight="1" x14ac:dyDescent="0.3">
      <c r="A76" s="924"/>
      <c r="B76" s="1039"/>
      <c r="C76" s="1018"/>
      <c r="D76" s="1021"/>
      <c r="E76" s="759" t="s">
        <v>443</v>
      </c>
      <c r="F76" s="357">
        <v>0.25</v>
      </c>
      <c r="G76" s="358">
        <v>0.25</v>
      </c>
      <c r="H76" s="358">
        <v>0.25</v>
      </c>
      <c r="I76" s="358">
        <v>0.25</v>
      </c>
      <c r="J76" s="358">
        <v>0.25</v>
      </c>
      <c r="K76" s="358">
        <v>0.25</v>
      </c>
      <c r="L76" s="358">
        <v>0.25</v>
      </c>
      <c r="M76" s="358">
        <v>0.25</v>
      </c>
      <c r="N76" s="358">
        <v>0.25</v>
      </c>
      <c r="O76" s="358">
        <v>0.25</v>
      </c>
      <c r="P76" s="358">
        <v>0.25</v>
      </c>
      <c r="Q76" s="358">
        <v>0.25</v>
      </c>
      <c r="R76" s="358">
        <v>0.25</v>
      </c>
      <c r="S76" s="358">
        <v>0.25</v>
      </c>
      <c r="T76" s="358">
        <v>0.25</v>
      </c>
      <c r="U76" s="358">
        <v>0.25</v>
      </c>
      <c r="V76" s="358">
        <v>0.25</v>
      </c>
      <c r="W76" s="358">
        <v>0.25</v>
      </c>
      <c r="X76" s="358">
        <v>0.25</v>
      </c>
      <c r="Y76" s="358">
        <v>0.25</v>
      </c>
      <c r="Z76" s="358">
        <v>0.25</v>
      </c>
      <c r="AA76" s="358">
        <v>0.25</v>
      </c>
      <c r="AB76" s="358">
        <v>0.25</v>
      </c>
      <c r="AC76" s="359">
        <v>0.25</v>
      </c>
      <c r="AD76" s="40"/>
      <c r="AE76" s="39"/>
      <c r="AF76" s="39"/>
      <c r="AG76" s="39"/>
      <c r="AH76" s="39"/>
      <c r="AI76" s="39"/>
      <c r="AJ76" s="39"/>
      <c r="AK76" s="39"/>
      <c r="AM76" s="50"/>
    </row>
    <row r="77" spans="1:63" ht="36" customHeight="1" x14ac:dyDescent="0.3">
      <c r="A77" s="1016"/>
      <c r="B77" s="1040"/>
      <c r="C77" s="1019"/>
      <c r="D77" s="1022"/>
      <c r="E77" s="174" t="s">
        <v>444</v>
      </c>
      <c r="F77" s="360">
        <v>0.25</v>
      </c>
      <c r="G77" s="361">
        <v>0.25</v>
      </c>
      <c r="H77" s="361">
        <v>0.25</v>
      </c>
      <c r="I77" s="361">
        <v>0.25</v>
      </c>
      <c r="J77" s="361">
        <v>0.25</v>
      </c>
      <c r="K77" s="361">
        <v>0.25</v>
      </c>
      <c r="L77" s="361">
        <v>0.25</v>
      </c>
      <c r="M77" s="361">
        <v>0.25</v>
      </c>
      <c r="N77" s="361">
        <v>0.25</v>
      </c>
      <c r="O77" s="361">
        <v>0.25</v>
      </c>
      <c r="P77" s="361">
        <v>0.25</v>
      </c>
      <c r="Q77" s="361">
        <v>0.25</v>
      </c>
      <c r="R77" s="361">
        <v>0.25</v>
      </c>
      <c r="S77" s="361">
        <v>0.25</v>
      </c>
      <c r="T77" s="361">
        <v>0.25</v>
      </c>
      <c r="U77" s="361">
        <v>0.25</v>
      </c>
      <c r="V77" s="361">
        <v>0.25</v>
      </c>
      <c r="W77" s="361">
        <v>0.25</v>
      </c>
      <c r="X77" s="361">
        <v>0.25</v>
      </c>
      <c r="Y77" s="361">
        <v>0.25</v>
      </c>
      <c r="Z77" s="361">
        <v>0.25</v>
      </c>
      <c r="AA77" s="361">
        <v>0.25</v>
      </c>
      <c r="AB77" s="361">
        <v>0.25</v>
      </c>
      <c r="AC77" s="362">
        <v>0.25</v>
      </c>
      <c r="AD77" s="40"/>
      <c r="AE77" s="39"/>
      <c r="AF77" s="39"/>
      <c r="AG77" s="39"/>
      <c r="AH77" s="39"/>
      <c r="AI77" s="39"/>
      <c r="AJ77" s="39"/>
      <c r="AK77" s="39"/>
      <c r="AM77" s="50"/>
    </row>
    <row r="78" spans="1:63" ht="31.2" customHeight="1" x14ac:dyDescent="0.3">
      <c r="A78" s="1015" t="s">
        <v>722</v>
      </c>
      <c r="B78" s="1038" t="s">
        <v>211</v>
      </c>
      <c r="C78" s="1015" t="s">
        <v>714</v>
      </c>
      <c r="D78" s="1020" t="s">
        <v>719</v>
      </c>
      <c r="E78" s="254" t="s">
        <v>442</v>
      </c>
      <c r="F78" s="185">
        <v>1</v>
      </c>
      <c r="G78" s="185">
        <v>1</v>
      </c>
      <c r="H78" s="185">
        <v>1</v>
      </c>
      <c r="I78" s="185">
        <v>1</v>
      </c>
      <c r="J78" s="185">
        <v>1</v>
      </c>
      <c r="K78" s="185">
        <v>1</v>
      </c>
      <c r="L78" s="185">
        <v>1</v>
      </c>
      <c r="M78" s="185">
        <v>1</v>
      </c>
      <c r="N78" s="185">
        <v>1</v>
      </c>
      <c r="O78" s="185">
        <v>1</v>
      </c>
      <c r="P78" s="185">
        <v>1</v>
      </c>
      <c r="Q78" s="185">
        <v>1</v>
      </c>
      <c r="R78" s="185">
        <v>1</v>
      </c>
      <c r="S78" s="185">
        <v>1</v>
      </c>
      <c r="T78" s="185">
        <v>1</v>
      </c>
      <c r="U78" s="185">
        <v>1</v>
      </c>
      <c r="V78" s="185">
        <v>1</v>
      </c>
      <c r="W78" s="185">
        <v>1</v>
      </c>
      <c r="X78" s="185">
        <v>1</v>
      </c>
      <c r="Y78" s="185">
        <v>1</v>
      </c>
      <c r="Z78" s="185">
        <v>1</v>
      </c>
      <c r="AA78" s="185">
        <v>1</v>
      </c>
      <c r="AB78" s="185">
        <v>1</v>
      </c>
      <c r="AC78" s="186">
        <v>1</v>
      </c>
    </row>
    <row r="79" spans="1:63" ht="30" customHeight="1" x14ac:dyDescent="0.3">
      <c r="A79" s="924"/>
      <c r="B79" s="1039"/>
      <c r="C79" s="924"/>
      <c r="D79" s="1021"/>
      <c r="E79" s="255" t="s">
        <v>443</v>
      </c>
      <c r="F79" s="187">
        <v>1</v>
      </c>
      <c r="G79" s="187">
        <v>1</v>
      </c>
      <c r="H79" s="187">
        <v>1</v>
      </c>
      <c r="I79" s="187">
        <v>1</v>
      </c>
      <c r="J79" s="187">
        <v>1</v>
      </c>
      <c r="K79" s="187">
        <v>1</v>
      </c>
      <c r="L79" s="187">
        <v>1</v>
      </c>
      <c r="M79" s="187">
        <v>1</v>
      </c>
      <c r="N79" s="187">
        <v>1</v>
      </c>
      <c r="O79" s="187">
        <v>1</v>
      </c>
      <c r="P79" s="187">
        <v>1</v>
      </c>
      <c r="Q79" s="187">
        <v>1</v>
      </c>
      <c r="R79" s="187">
        <v>1</v>
      </c>
      <c r="S79" s="187">
        <v>1</v>
      </c>
      <c r="T79" s="187">
        <v>1</v>
      </c>
      <c r="U79" s="187">
        <v>1</v>
      </c>
      <c r="V79" s="187">
        <v>1</v>
      </c>
      <c r="W79" s="187">
        <v>1</v>
      </c>
      <c r="X79" s="187">
        <v>1</v>
      </c>
      <c r="Y79" s="187">
        <v>1</v>
      </c>
      <c r="Z79" s="187">
        <v>1</v>
      </c>
      <c r="AA79" s="187">
        <v>1</v>
      </c>
      <c r="AB79" s="187">
        <v>1</v>
      </c>
      <c r="AC79" s="188">
        <v>1</v>
      </c>
    </row>
    <row r="80" spans="1:63" ht="33" customHeight="1" x14ac:dyDescent="0.3">
      <c r="A80" s="1016"/>
      <c r="B80" s="1040"/>
      <c r="C80" s="1016"/>
      <c r="D80" s="1022"/>
      <c r="E80" s="256" t="s">
        <v>444</v>
      </c>
      <c r="F80" s="226">
        <v>1</v>
      </c>
      <c r="G80" s="226">
        <v>1</v>
      </c>
      <c r="H80" s="226">
        <v>1</v>
      </c>
      <c r="I80" s="226">
        <v>1</v>
      </c>
      <c r="J80" s="226">
        <v>1</v>
      </c>
      <c r="K80" s="226">
        <v>1</v>
      </c>
      <c r="L80" s="226">
        <v>1</v>
      </c>
      <c r="M80" s="226">
        <v>1</v>
      </c>
      <c r="N80" s="226">
        <v>1</v>
      </c>
      <c r="O80" s="226">
        <v>1</v>
      </c>
      <c r="P80" s="226">
        <v>1</v>
      </c>
      <c r="Q80" s="226">
        <v>1</v>
      </c>
      <c r="R80" s="226">
        <v>1</v>
      </c>
      <c r="S80" s="226">
        <v>1</v>
      </c>
      <c r="T80" s="226">
        <v>1</v>
      </c>
      <c r="U80" s="226">
        <v>1</v>
      </c>
      <c r="V80" s="226">
        <v>1</v>
      </c>
      <c r="W80" s="226">
        <v>1</v>
      </c>
      <c r="X80" s="226">
        <v>1</v>
      </c>
      <c r="Y80" s="226">
        <v>1</v>
      </c>
      <c r="Z80" s="226">
        <v>1</v>
      </c>
      <c r="AA80" s="226">
        <v>1</v>
      </c>
      <c r="AB80" s="226">
        <v>1</v>
      </c>
      <c r="AC80" s="227">
        <v>1</v>
      </c>
    </row>
    <row r="81" spans="1:63" ht="22.95" customHeight="1" x14ac:dyDescent="0.3">
      <c r="A81" s="1015" t="s">
        <v>722</v>
      </c>
      <c r="B81" s="990" t="str">
        <f>B63</f>
        <v>Patient24/7</v>
      </c>
      <c r="C81" s="1028" t="s">
        <v>715</v>
      </c>
      <c r="D81" s="1031"/>
      <c r="E81" s="220" t="s">
        <v>442</v>
      </c>
      <c r="F81" s="786">
        <f>IF(F78=1,Thermostat!$B$3,Thermostat!$B$4)</f>
        <v>70</v>
      </c>
      <c r="G81" s="786">
        <f>IF(G78=1,Thermostat!$B$3,Thermostat!$B$4)</f>
        <v>70</v>
      </c>
      <c r="H81" s="786">
        <f>IF(H78=1,Thermostat!$B$3,Thermostat!$B$4)</f>
        <v>70</v>
      </c>
      <c r="I81" s="786">
        <f>IF(I78=1,Thermostat!$B$3,Thermostat!$B$4)</f>
        <v>70</v>
      </c>
      <c r="J81" s="786">
        <f>IF(J78=1,Thermostat!$B$3,Thermostat!$B$4)</f>
        <v>70</v>
      </c>
      <c r="K81" s="786">
        <f>IF(K78=1,Thermostat!$B$3,Thermostat!$B$4)</f>
        <v>70</v>
      </c>
      <c r="L81" s="786">
        <f>IF(L78=1,Thermostat!$B$3,Thermostat!$B$4)</f>
        <v>70</v>
      </c>
      <c r="M81" s="786">
        <f>IF(M78=1,Thermostat!$B$3,Thermostat!$B$4)</f>
        <v>70</v>
      </c>
      <c r="N81" s="786">
        <f>IF(N78=1,Thermostat!$B$3,Thermostat!$B$4)</f>
        <v>70</v>
      </c>
      <c r="O81" s="786">
        <f>IF(O78=1,Thermostat!$B$3,Thermostat!$B$4)</f>
        <v>70</v>
      </c>
      <c r="P81" s="786">
        <f>IF(P78=1,Thermostat!$B$3,Thermostat!$B$4)</f>
        <v>70</v>
      </c>
      <c r="Q81" s="786">
        <f>IF(Q78=1,Thermostat!$B$3,Thermostat!$B$4)</f>
        <v>70</v>
      </c>
      <c r="R81" s="786">
        <f>IF(R78=1,Thermostat!$B$3,Thermostat!$B$4)</f>
        <v>70</v>
      </c>
      <c r="S81" s="786">
        <f>IF(S78=1,Thermostat!$B$3,Thermostat!$B$4)</f>
        <v>70</v>
      </c>
      <c r="T81" s="786">
        <f>IF(T78=1,Thermostat!$B$3,Thermostat!$B$4)</f>
        <v>70</v>
      </c>
      <c r="U81" s="786">
        <f>IF(U78=1,Thermostat!$B$3,Thermostat!$B$4)</f>
        <v>70</v>
      </c>
      <c r="V81" s="786">
        <f>IF(V78=1,Thermostat!$B$3,Thermostat!$B$4)</f>
        <v>70</v>
      </c>
      <c r="W81" s="786">
        <f>IF(W78=1,Thermostat!$B$3,Thermostat!$B$4)</f>
        <v>70</v>
      </c>
      <c r="X81" s="786">
        <f>IF(X78=1,Thermostat!$B$3,Thermostat!$B$4)</f>
        <v>70</v>
      </c>
      <c r="Y81" s="786">
        <f>IF(Y78=1,Thermostat!$B$3,Thermostat!$B$4)</f>
        <v>70</v>
      </c>
      <c r="Z81" s="786">
        <f>IF(Z78=1,Thermostat!$B$3,Thermostat!$B$4)</f>
        <v>70</v>
      </c>
      <c r="AA81" s="786">
        <f>IF(AA78=1,Thermostat!$B$3,Thermostat!$B$4)</f>
        <v>70</v>
      </c>
      <c r="AB81" s="786">
        <f>IF(AB78=1,Thermostat!$B$3,Thermostat!$B$4)</f>
        <v>70</v>
      </c>
      <c r="AC81" s="221">
        <f>IF(AC78=1,Thermostat!$B$3,Thermostat!$B$4)</f>
        <v>70</v>
      </c>
    </row>
    <row r="82" spans="1:63" ht="22.95" customHeight="1" x14ac:dyDescent="0.3">
      <c r="A82" s="924"/>
      <c r="B82" s="991"/>
      <c r="C82" s="1029"/>
      <c r="D82" s="1032"/>
      <c r="E82" s="222" t="s">
        <v>443</v>
      </c>
      <c r="F82" s="787">
        <f>IF(F79=1,Thermostat!$B$3,Thermostat!$B$4)</f>
        <v>70</v>
      </c>
      <c r="G82" s="787">
        <f>IF(G79=1,Thermostat!$B$3,Thermostat!$B$4)</f>
        <v>70</v>
      </c>
      <c r="H82" s="787">
        <f>IF(H79=1,Thermostat!$B$3,Thermostat!$B$4)</f>
        <v>70</v>
      </c>
      <c r="I82" s="787">
        <f>IF(I79=1,Thermostat!$B$3,Thermostat!$B$4)</f>
        <v>70</v>
      </c>
      <c r="J82" s="787">
        <f>IF(J79=1,Thermostat!$B$3,Thermostat!$B$4)</f>
        <v>70</v>
      </c>
      <c r="K82" s="787">
        <f>IF(K79=1,Thermostat!$B$3,Thermostat!$B$4)</f>
        <v>70</v>
      </c>
      <c r="L82" s="787">
        <f>IF(L79=1,Thermostat!$B$3,Thermostat!$B$4)</f>
        <v>70</v>
      </c>
      <c r="M82" s="787">
        <f>IF(M79=1,Thermostat!$B$3,Thermostat!$B$4)</f>
        <v>70</v>
      </c>
      <c r="N82" s="787">
        <f>IF(N79=1,Thermostat!$B$3,Thermostat!$B$4)</f>
        <v>70</v>
      </c>
      <c r="O82" s="787">
        <f>IF(O79=1,Thermostat!$B$3,Thermostat!$B$4)</f>
        <v>70</v>
      </c>
      <c r="P82" s="787">
        <f>IF(P79=1,Thermostat!$B$3,Thermostat!$B$4)</f>
        <v>70</v>
      </c>
      <c r="Q82" s="787">
        <f>IF(Q79=1,Thermostat!$B$3,Thermostat!$B$4)</f>
        <v>70</v>
      </c>
      <c r="R82" s="787">
        <f>IF(R79=1,Thermostat!$B$3,Thermostat!$B$4)</f>
        <v>70</v>
      </c>
      <c r="S82" s="787">
        <f>IF(S79=1,Thermostat!$B$3,Thermostat!$B$4)</f>
        <v>70</v>
      </c>
      <c r="T82" s="787">
        <f>IF(T79=1,Thermostat!$B$3,Thermostat!$B$4)</f>
        <v>70</v>
      </c>
      <c r="U82" s="787">
        <f>IF(U79=1,Thermostat!$B$3,Thermostat!$B$4)</f>
        <v>70</v>
      </c>
      <c r="V82" s="787">
        <f>IF(V79=1,Thermostat!$B$3,Thermostat!$B$4)</f>
        <v>70</v>
      </c>
      <c r="W82" s="787">
        <f>IF(W79=1,Thermostat!$B$3,Thermostat!$B$4)</f>
        <v>70</v>
      </c>
      <c r="X82" s="787">
        <f>IF(X79=1,Thermostat!$B$3,Thermostat!$B$4)</f>
        <v>70</v>
      </c>
      <c r="Y82" s="787">
        <f>IF(Y79=1,Thermostat!$B$3,Thermostat!$B$4)</f>
        <v>70</v>
      </c>
      <c r="Z82" s="787">
        <f>IF(Z79=1,Thermostat!$B$3,Thermostat!$B$4)</f>
        <v>70</v>
      </c>
      <c r="AA82" s="787">
        <f>IF(AA79=1,Thermostat!$B$3,Thermostat!$B$4)</f>
        <v>70</v>
      </c>
      <c r="AB82" s="787">
        <f>IF(AB79=1,Thermostat!$B$3,Thermostat!$B$4)</f>
        <v>70</v>
      </c>
      <c r="AC82" s="223">
        <f>IF(AC79=1,Thermostat!$B$3,Thermostat!$B$4)</f>
        <v>70</v>
      </c>
    </row>
    <row r="83" spans="1:63" ht="22.95" customHeight="1" x14ac:dyDescent="0.3">
      <c r="A83" s="1016"/>
      <c r="B83" s="992"/>
      <c r="C83" s="1030"/>
      <c r="D83" s="1033"/>
      <c r="E83" s="224" t="s">
        <v>444</v>
      </c>
      <c r="F83" s="788">
        <f>IF(F80=1,Thermostat!$B$3,Thermostat!$B$4)</f>
        <v>70</v>
      </c>
      <c r="G83" s="788">
        <f>IF(G80=1,Thermostat!$B$3,Thermostat!$B$4)</f>
        <v>70</v>
      </c>
      <c r="H83" s="788">
        <f>IF(H80=1,Thermostat!$B$3,Thermostat!$B$4)</f>
        <v>70</v>
      </c>
      <c r="I83" s="788">
        <f>IF(I80=1,Thermostat!$B$3,Thermostat!$B$4)</f>
        <v>70</v>
      </c>
      <c r="J83" s="788">
        <f>IF(J80=1,Thermostat!$B$3,Thermostat!$B$4)</f>
        <v>70</v>
      </c>
      <c r="K83" s="788">
        <f>IF(K80=1,Thermostat!$B$3,Thermostat!$B$4)</f>
        <v>70</v>
      </c>
      <c r="L83" s="788">
        <f>IF(L80=1,Thermostat!$B$3,Thermostat!$B$4)</f>
        <v>70</v>
      </c>
      <c r="M83" s="788">
        <f>IF(M80=1,Thermostat!$B$3,Thermostat!$B$4)</f>
        <v>70</v>
      </c>
      <c r="N83" s="788">
        <f>IF(N80=1,Thermostat!$B$3,Thermostat!$B$4)</f>
        <v>70</v>
      </c>
      <c r="O83" s="788">
        <f>IF(O80=1,Thermostat!$B$3,Thermostat!$B$4)</f>
        <v>70</v>
      </c>
      <c r="P83" s="788">
        <f>IF(P80=1,Thermostat!$B$3,Thermostat!$B$4)</f>
        <v>70</v>
      </c>
      <c r="Q83" s="788">
        <f>IF(Q80=1,Thermostat!$B$3,Thermostat!$B$4)</f>
        <v>70</v>
      </c>
      <c r="R83" s="788">
        <f>IF(R80=1,Thermostat!$B$3,Thermostat!$B$4)</f>
        <v>70</v>
      </c>
      <c r="S83" s="788">
        <f>IF(S80=1,Thermostat!$B$3,Thermostat!$B$4)</f>
        <v>70</v>
      </c>
      <c r="T83" s="788">
        <f>IF(T80=1,Thermostat!$B$3,Thermostat!$B$4)</f>
        <v>70</v>
      </c>
      <c r="U83" s="788">
        <f>IF(U80=1,Thermostat!$B$3,Thermostat!$B$4)</f>
        <v>70</v>
      </c>
      <c r="V83" s="788">
        <f>IF(V80=1,Thermostat!$B$3,Thermostat!$B$4)</f>
        <v>70</v>
      </c>
      <c r="W83" s="788">
        <f>IF(W80=1,Thermostat!$B$3,Thermostat!$B$4)</f>
        <v>70</v>
      </c>
      <c r="X83" s="788">
        <f>IF(X80=1,Thermostat!$B$3,Thermostat!$B$4)</f>
        <v>70</v>
      </c>
      <c r="Y83" s="788">
        <f>IF(Y80=1,Thermostat!$B$3,Thermostat!$B$4)</f>
        <v>70</v>
      </c>
      <c r="Z83" s="788">
        <f>IF(Z80=1,Thermostat!$B$3,Thermostat!$B$4)</f>
        <v>70</v>
      </c>
      <c r="AA83" s="788">
        <f>IF(AA80=1,Thermostat!$B$3,Thermostat!$B$4)</f>
        <v>70</v>
      </c>
      <c r="AB83" s="788">
        <f>IF(AB80=1,Thermostat!$B$3,Thermostat!$B$4)</f>
        <v>70</v>
      </c>
      <c r="AC83" s="225">
        <f>IF(AC80=1,Thermostat!$B$3,Thermostat!$B$4)</f>
        <v>70</v>
      </c>
    </row>
    <row r="84" spans="1:63" ht="22.95" customHeight="1" x14ac:dyDescent="0.3">
      <c r="A84" s="1015" t="s">
        <v>722</v>
      </c>
      <c r="B84" s="990" t="str">
        <f>B63</f>
        <v>Patient24/7</v>
      </c>
      <c r="C84" s="1028" t="s">
        <v>716</v>
      </c>
      <c r="D84" s="1031"/>
      <c r="E84" s="220" t="s">
        <v>442</v>
      </c>
      <c r="F84" s="786">
        <f>IF(F78=1,Thermostat!$B$5,Thermostat!$B$6)</f>
        <v>75</v>
      </c>
      <c r="G84" s="786">
        <f>IF(G78=1,Thermostat!$B$5,Thermostat!$B$6)</f>
        <v>75</v>
      </c>
      <c r="H84" s="786">
        <f>IF(H78=1,Thermostat!$B$5,Thermostat!$B$6)</f>
        <v>75</v>
      </c>
      <c r="I84" s="786">
        <f>IF(I78=1,Thermostat!$B$5,Thermostat!$B$6)</f>
        <v>75</v>
      </c>
      <c r="J84" s="786">
        <f>IF(J78=1,Thermostat!$B$5,Thermostat!$B$6)</f>
        <v>75</v>
      </c>
      <c r="K84" s="786">
        <f>IF(K78=1,Thermostat!$B$5,Thermostat!$B$6)</f>
        <v>75</v>
      </c>
      <c r="L84" s="786">
        <f>IF(L78=1,Thermostat!$B$5,Thermostat!$B$6)</f>
        <v>75</v>
      </c>
      <c r="M84" s="786">
        <f>IF(M78=1,Thermostat!$B$5,Thermostat!$B$6)</f>
        <v>75</v>
      </c>
      <c r="N84" s="786">
        <f>IF(N78=1,Thermostat!$B$5,Thermostat!$B$6)</f>
        <v>75</v>
      </c>
      <c r="O84" s="786">
        <f>IF(O78=1,Thermostat!$B$5,Thermostat!$B$6)</f>
        <v>75</v>
      </c>
      <c r="P84" s="786">
        <f>IF(P78=1,Thermostat!$B$5,Thermostat!$B$6)</f>
        <v>75</v>
      </c>
      <c r="Q84" s="786">
        <f>IF(Q78=1,Thermostat!$B$5,Thermostat!$B$6)</f>
        <v>75</v>
      </c>
      <c r="R84" s="786">
        <f>IF(R78=1,Thermostat!$B$5,Thermostat!$B$6)</f>
        <v>75</v>
      </c>
      <c r="S84" s="786">
        <f>IF(S78=1,Thermostat!$B$5,Thermostat!$B$6)</f>
        <v>75</v>
      </c>
      <c r="T84" s="786">
        <f>IF(T78=1,Thermostat!$B$5,Thermostat!$B$6)</f>
        <v>75</v>
      </c>
      <c r="U84" s="786">
        <f>IF(U78=1,Thermostat!$B$5,Thermostat!$B$6)</f>
        <v>75</v>
      </c>
      <c r="V84" s="786">
        <f>IF(V78=1,Thermostat!$B$5,Thermostat!$B$6)</f>
        <v>75</v>
      </c>
      <c r="W84" s="786">
        <f>IF(W78=1,Thermostat!$B$5,Thermostat!$B$6)</f>
        <v>75</v>
      </c>
      <c r="X84" s="786">
        <f>IF(X78=1,Thermostat!$B$5,Thermostat!$B$6)</f>
        <v>75</v>
      </c>
      <c r="Y84" s="786">
        <f>IF(Y78=1,Thermostat!$B$5,Thermostat!$B$6)</f>
        <v>75</v>
      </c>
      <c r="Z84" s="786">
        <f>IF(Z78=1,Thermostat!$B$5,Thermostat!$B$6)</f>
        <v>75</v>
      </c>
      <c r="AA84" s="786">
        <f>IF(AA78=1,Thermostat!$B$5,Thermostat!$B$6)</f>
        <v>75</v>
      </c>
      <c r="AB84" s="786">
        <f>IF(AB78=1,Thermostat!$B$5,Thermostat!$B$6)</f>
        <v>75</v>
      </c>
      <c r="AC84" s="221">
        <f>IF(AC78=1,Thermostat!$B$5,Thermostat!$B$6)</f>
        <v>75</v>
      </c>
    </row>
    <row r="85" spans="1:63" ht="22.95" customHeight="1" x14ac:dyDescent="0.3">
      <c r="A85" s="924"/>
      <c r="B85" s="991"/>
      <c r="C85" s="1029"/>
      <c r="D85" s="1032"/>
      <c r="E85" s="222" t="s">
        <v>443</v>
      </c>
      <c r="F85" s="787">
        <f>IF(F79=1,Thermostat!$B$5,Thermostat!$B$6)</f>
        <v>75</v>
      </c>
      <c r="G85" s="787">
        <f>IF(G79=1,Thermostat!$B$5,Thermostat!$B$6)</f>
        <v>75</v>
      </c>
      <c r="H85" s="787">
        <f>IF(H79=1,Thermostat!$B$5,Thermostat!$B$6)</f>
        <v>75</v>
      </c>
      <c r="I85" s="787">
        <f>IF(I79=1,Thermostat!$B$5,Thermostat!$B$6)</f>
        <v>75</v>
      </c>
      <c r="J85" s="787">
        <f>IF(J79=1,Thermostat!$B$5,Thermostat!$B$6)</f>
        <v>75</v>
      </c>
      <c r="K85" s="787">
        <f>IF(K79=1,Thermostat!$B$5,Thermostat!$B$6)</f>
        <v>75</v>
      </c>
      <c r="L85" s="787">
        <f>IF(L79=1,Thermostat!$B$5,Thermostat!$B$6)</f>
        <v>75</v>
      </c>
      <c r="M85" s="787">
        <f>IF(M79=1,Thermostat!$B$5,Thermostat!$B$6)</f>
        <v>75</v>
      </c>
      <c r="N85" s="787">
        <f>IF(N79=1,Thermostat!$B$5,Thermostat!$B$6)</f>
        <v>75</v>
      </c>
      <c r="O85" s="787">
        <f>IF(O79=1,Thermostat!$B$5,Thermostat!$B$6)</f>
        <v>75</v>
      </c>
      <c r="P85" s="787">
        <f>IF(P79=1,Thermostat!$B$5,Thermostat!$B$6)</f>
        <v>75</v>
      </c>
      <c r="Q85" s="787">
        <f>IF(Q79=1,Thermostat!$B$5,Thermostat!$B$6)</f>
        <v>75</v>
      </c>
      <c r="R85" s="787">
        <f>IF(R79=1,Thermostat!$B$5,Thermostat!$B$6)</f>
        <v>75</v>
      </c>
      <c r="S85" s="787">
        <f>IF(S79=1,Thermostat!$B$5,Thermostat!$B$6)</f>
        <v>75</v>
      </c>
      <c r="T85" s="787">
        <f>IF(T79=1,Thermostat!$B$5,Thermostat!$B$6)</f>
        <v>75</v>
      </c>
      <c r="U85" s="787">
        <f>IF(U79=1,Thermostat!$B$5,Thermostat!$B$6)</f>
        <v>75</v>
      </c>
      <c r="V85" s="787">
        <f>IF(V79=1,Thermostat!$B$5,Thermostat!$B$6)</f>
        <v>75</v>
      </c>
      <c r="W85" s="787">
        <f>IF(W79=1,Thermostat!$B$5,Thermostat!$B$6)</f>
        <v>75</v>
      </c>
      <c r="X85" s="787">
        <f>IF(X79=1,Thermostat!$B$5,Thermostat!$B$6)</f>
        <v>75</v>
      </c>
      <c r="Y85" s="787">
        <f>IF(Y79=1,Thermostat!$B$5,Thermostat!$B$6)</f>
        <v>75</v>
      </c>
      <c r="Z85" s="787">
        <f>IF(Z79=1,Thermostat!$B$5,Thermostat!$B$6)</f>
        <v>75</v>
      </c>
      <c r="AA85" s="787">
        <f>IF(AA79=1,Thermostat!$B$5,Thermostat!$B$6)</f>
        <v>75</v>
      </c>
      <c r="AB85" s="787">
        <f>IF(AB79=1,Thermostat!$B$5,Thermostat!$B$6)</f>
        <v>75</v>
      </c>
      <c r="AC85" s="223">
        <f>IF(AC79=1,Thermostat!$B$5,Thermostat!$B$6)</f>
        <v>75</v>
      </c>
    </row>
    <row r="86" spans="1:63" ht="22.95" customHeight="1" x14ac:dyDescent="0.3">
      <c r="A86" s="1016"/>
      <c r="B86" s="992"/>
      <c r="C86" s="1030"/>
      <c r="D86" s="1033"/>
      <c r="E86" s="224" t="s">
        <v>444</v>
      </c>
      <c r="F86" s="788">
        <f>IF(F80=1,Thermostat!$B$5,Thermostat!$B$6)</f>
        <v>75</v>
      </c>
      <c r="G86" s="788">
        <f>IF(G80=1,Thermostat!$B$5,Thermostat!$B$6)</f>
        <v>75</v>
      </c>
      <c r="H86" s="788">
        <f>IF(H80=1,Thermostat!$B$5,Thermostat!$B$6)</f>
        <v>75</v>
      </c>
      <c r="I86" s="788">
        <f>IF(I80=1,Thermostat!$B$5,Thermostat!$B$6)</f>
        <v>75</v>
      </c>
      <c r="J86" s="788">
        <f>IF(J80=1,Thermostat!$B$5,Thermostat!$B$6)</f>
        <v>75</v>
      </c>
      <c r="K86" s="788">
        <f>IF(K80=1,Thermostat!$B$5,Thermostat!$B$6)</f>
        <v>75</v>
      </c>
      <c r="L86" s="788">
        <f>IF(L80=1,Thermostat!$B$5,Thermostat!$B$6)</f>
        <v>75</v>
      </c>
      <c r="M86" s="788">
        <f>IF(M80=1,Thermostat!$B$5,Thermostat!$B$6)</f>
        <v>75</v>
      </c>
      <c r="N86" s="788">
        <f>IF(N80=1,Thermostat!$B$5,Thermostat!$B$6)</f>
        <v>75</v>
      </c>
      <c r="O86" s="788">
        <f>IF(O80=1,Thermostat!$B$5,Thermostat!$B$6)</f>
        <v>75</v>
      </c>
      <c r="P86" s="788">
        <f>IF(P80=1,Thermostat!$B$5,Thermostat!$B$6)</f>
        <v>75</v>
      </c>
      <c r="Q86" s="788">
        <f>IF(Q80=1,Thermostat!$B$5,Thermostat!$B$6)</f>
        <v>75</v>
      </c>
      <c r="R86" s="788">
        <f>IF(R80=1,Thermostat!$B$5,Thermostat!$B$6)</f>
        <v>75</v>
      </c>
      <c r="S86" s="788">
        <f>IF(S80=1,Thermostat!$B$5,Thermostat!$B$6)</f>
        <v>75</v>
      </c>
      <c r="T86" s="788">
        <f>IF(T80=1,Thermostat!$B$5,Thermostat!$B$6)</f>
        <v>75</v>
      </c>
      <c r="U86" s="788">
        <f>IF(U80=1,Thermostat!$B$5,Thermostat!$B$6)</f>
        <v>75</v>
      </c>
      <c r="V86" s="788">
        <f>IF(V80=1,Thermostat!$B$5,Thermostat!$B$6)</f>
        <v>75</v>
      </c>
      <c r="W86" s="788">
        <f>IF(W80=1,Thermostat!$B$5,Thermostat!$B$6)</f>
        <v>75</v>
      </c>
      <c r="X86" s="788">
        <f>IF(X80=1,Thermostat!$B$5,Thermostat!$B$6)</f>
        <v>75</v>
      </c>
      <c r="Y86" s="788">
        <f>IF(Y80=1,Thermostat!$B$5,Thermostat!$B$6)</f>
        <v>75</v>
      </c>
      <c r="Z86" s="788">
        <f>IF(Z80=1,Thermostat!$B$5,Thermostat!$B$6)</f>
        <v>75</v>
      </c>
      <c r="AA86" s="788">
        <f>IF(AA80=1,Thermostat!$B$5,Thermostat!$B$6)</f>
        <v>75</v>
      </c>
      <c r="AB86" s="788">
        <f>IF(AB80=1,Thermostat!$B$5,Thermostat!$B$6)</f>
        <v>75</v>
      </c>
      <c r="AC86" s="225">
        <f>IF(AC80=1,Thermostat!$B$5,Thermostat!$B$6)</f>
        <v>75</v>
      </c>
    </row>
    <row r="87" spans="1:63" ht="25.2" customHeight="1" x14ac:dyDescent="0.3">
      <c r="A87" s="1008" t="s">
        <v>725</v>
      </c>
      <c r="B87" s="1008"/>
      <c r="C87" s="1008" t="s">
        <v>717</v>
      </c>
      <c r="D87" s="1008"/>
      <c r="E87" s="1008"/>
      <c r="F87" s="1008"/>
      <c r="G87" s="1008"/>
      <c r="H87" s="1008"/>
      <c r="I87" s="1008"/>
      <c r="J87" s="1008"/>
      <c r="K87" s="1008"/>
      <c r="L87" s="1008"/>
      <c r="M87" s="1008"/>
      <c r="N87" s="1008"/>
      <c r="O87" s="1008"/>
      <c r="P87" s="1008"/>
      <c r="Q87" s="1008"/>
      <c r="R87" s="1008"/>
      <c r="S87" s="1008"/>
      <c r="T87" s="1008"/>
      <c r="U87" s="1008"/>
      <c r="V87" s="1008"/>
      <c r="W87" s="1008"/>
      <c r="X87" s="1008"/>
      <c r="Y87" s="1008"/>
      <c r="Z87" s="1008"/>
      <c r="AA87" s="1008"/>
      <c r="AB87" s="1008"/>
      <c r="AC87" s="1009"/>
    </row>
    <row r="88" spans="1:63" ht="25.2" customHeight="1" x14ac:dyDescent="0.3">
      <c r="A88" s="1025"/>
      <c r="B88" s="990" t="s">
        <v>725</v>
      </c>
      <c r="C88" s="990" t="s">
        <v>707</v>
      </c>
      <c r="D88" s="1020"/>
      <c r="E88" s="777" t="s">
        <v>442</v>
      </c>
      <c r="F88" s="777">
        <v>0</v>
      </c>
      <c r="G88" s="777">
        <v>0</v>
      </c>
      <c r="H88" s="777">
        <v>0</v>
      </c>
      <c r="I88" s="777">
        <v>0</v>
      </c>
      <c r="J88" s="777">
        <v>0</v>
      </c>
      <c r="K88" s="777">
        <v>0</v>
      </c>
      <c r="L88" s="777">
        <v>0</v>
      </c>
      <c r="M88" s="777">
        <v>0</v>
      </c>
      <c r="N88" s="777">
        <v>0</v>
      </c>
      <c r="O88" s="777">
        <v>0</v>
      </c>
      <c r="P88" s="777">
        <v>0</v>
      </c>
      <c r="Q88" s="777">
        <v>0</v>
      </c>
      <c r="R88" s="777">
        <v>0</v>
      </c>
      <c r="S88" s="777">
        <v>0</v>
      </c>
      <c r="T88" s="777">
        <v>0</v>
      </c>
      <c r="U88" s="777">
        <v>0</v>
      </c>
      <c r="V88" s="777">
        <v>0</v>
      </c>
      <c r="W88" s="777">
        <v>0</v>
      </c>
      <c r="X88" s="777">
        <v>0</v>
      </c>
      <c r="Y88" s="777">
        <v>0</v>
      </c>
      <c r="Z88" s="777">
        <v>0</v>
      </c>
      <c r="AA88" s="777">
        <v>0</v>
      </c>
      <c r="AB88" s="777">
        <v>0</v>
      </c>
      <c r="AC88" s="169">
        <v>0</v>
      </c>
      <c r="AD88" s="39"/>
      <c r="AE88" s="39"/>
      <c r="AF88" s="39"/>
      <c r="AG88" s="39"/>
      <c r="AH88" s="39"/>
      <c r="AI88" s="39"/>
      <c r="AJ88" s="39"/>
      <c r="AK88" s="39"/>
    </row>
    <row r="89" spans="1:63" ht="33" customHeight="1" x14ac:dyDescent="0.3">
      <c r="A89" s="1026"/>
      <c r="B89" s="991"/>
      <c r="C89" s="991"/>
      <c r="D89" s="1021"/>
      <c r="E89" s="778" t="s">
        <v>443</v>
      </c>
      <c r="F89" s="778">
        <v>0</v>
      </c>
      <c r="G89" s="778">
        <v>0</v>
      </c>
      <c r="H89" s="778">
        <v>0</v>
      </c>
      <c r="I89" s="778">
        <v>0</v>
      </c>
      <c r="J89" s="778">
        <v>0</v>
      </c>
      <c r="K89" s="778">
        <v>0</v>
      </c>
      <c r="L89" s="778">
        <v>0</v>
      </c>
      <c r="M89" s="778">
        <v>0</v>
      </c>
      <c r="N89" s="778">
        <v>0</v>
      </c>
      <c r="O89" s="778">
        <v>0</v>
      </c>
      <c r="P89" s="778">
        <v>0</v>
      </c>
      <c r="Q89" s="778">
        <v>0</v>
      </c>
      <c r="R89" s="778">
        <v>0</v>
      </c>
      <c r="S89" s="778">
        <v>0</v>
      </c>
      <c r="T89" s="778">
        <v>0</v>
      </c>
      <c r="U89" s="778">
        <v>0</v>
      </c>
      <c r="V89" s="778">
        <v>0</v>
      </c>
      <c r="W89" s="778">
        <v>0</v>
      </c>
      <c r="X89" s="778">
        <v>0</v>
      </c>
      <c r="Y89" s="778">
        <v>0</v>
      </c>
      <c r="Z89" s="778">
        <v>0</v>
      </c>
      <c r="AA89" s="778">
        <v>0</v>
      </c>
      <c r="AB89" s="778">
        <v>0</v>
      </c>
      <c r="AC89" s="170">
        <v>0</v>
      </c>
      <c r="AD89" s="39"/>
      <c r="AE89" s="39"/>
      <c r="AF89" s="39"/>
      <c r="AG89" s="39"/>
      <c r="AH89" s="39"/>
      <c r="AI89" s="39"/>
      <c r="AJ89" s="39"/>
      <c r="AK89" s="39"/>
    </row>
    <row r="90" spans="1:63" ht="33" customHeight="1" thickBot="1" x14ac:dyDescent="0.35">
      <c r="A90" s="1027"/>
      <c r="B90" s="992"/>
      <c r="C90" s="992"/>
      <c r="D90" s="1022"/>
      <c r="E90" s="779" t="s">
        <v>444</v>
      </c>
      <c r="F90" s="779">
        <v>0</v>
      </c>
      <c r="G90" s="779">
        <v>0</v>
      </c>
      <c r="H90" s="779">
        <v>0</v>
      </c>
      <c r="I90" s="779">
        <v>0</v>
      </c>
      <c r="J90" s="779">
        <v>0</v>
      </c>
      <c r="K90" s="779">
        <v>0</v>
      </c>
      <c r="L90" s="779">
        <v>0</v>
      </c>
      <c r="M90" s="779">
        <v>0</v>
      </c>
      <c r="N90" s="779">
        <v>0</v>
      </c>
      <c r="O90" s="779">
        <v>0</v>
      </c>
      <c r="P90" s="779">
        <v>0</v>
      </c>
      <c r="Q90" s="779">
        <v>0</v>
      </c>
      <c r="R90" s="779">
        <v>0</v>
      </c>
      <c r="S90" s="779">
        <v>0</v>
      </c>
      <c r="T90" s="779">
        <v>0</v>
      </c>
      <c r="U90" s="779">
        <v>0</v>
      </c>
      <c r="V90" s="779">
        <v>0</v>
      </c>
      <c r="W90" s="779">
        <v>0</v>
      </c>
      <c r="X90" s="779">
        <v>0</v>
      </c>
      <c r="Y90" s="779">
        <v>0</v>
      </c>
      <c r="Z90" s="779">
        <v>0</v>
      </c>
      <c r="AA90" s="779">
        <v>0</v>
      </c>
      <c r="AB90" s="779">
        <v>0</v>
      </c>
      <c r="AC90" s="171">
        <v>0</v>
      </c>
      <c r="AD90" s="39"/>
      <c r="AE90" s="39"/>
      <c r="AF90" s="39"/>
      <c r="AG90" s="39"/>
      <c r="AH90" s="39"/>
      <c r="AI90" s="39"/>
      <c r="AJ90" s="39"/>
      <c r="AK90" s="39"/>
    </row>
    <row r="91" spans="1:63" ht="38.700000000000003" customHeight="1" x14ac:dyDescent="0.3">
      <c r="A91" s="1034"/>
      <c r="B91" s="1035" t="str">
        <f>B88</f>
        <v>Unoccupied</v>
      </c>
      <c r="C91" s="1017" t="s">
        <v>709</v>
      </c>
      <c r="D91" s="1020"/>
      <c r="E91" s="488" t="s">
        <v>442</v>
      </c>
      <c r="F91" s="367">
        <v>0</v>
      </c>
      <c r="G91" s="367">
        <v>0</v>
      </c>
      <c r="H91" s="367">
        <v>0</v>
      </c>
      <c r="I91" s="367">
        <v>0</v>
      </c>
      <c r="J91" s="367">
        <v>0</v>
      </c>
      <c r="K91" s="367">
        <v>0</v>
      </c>
      <c r="L91" s="488">
        <v>0</v>
      </c>
      <c r="M91" s="488">
        <v>0</v>
      </c>
      <c r="N91" s="488">
        <v>0</v>
      </c>
      <c r="O91" s="488">
        <v>0</v>
      </c>
      <c r="P91" s="488">
        <v>0</v>
      </c>
      <c r="Q91" s="488">
        <v>0</v>
      </c>
      <c r="R91" s="488">
        <v>0</v>
      </c>
      <c r="S91" s="488">
        <v>0</v>
      </c>
      <c r="T91" s="488">
        <v>0</v>
      </c>
      <c r="U91" s="488">
        <v>0</v>
      </c>
      <c r="V91" s="488">
        <v>0</v>
      </c>
      <c r="W91" s="488">
        <v>0</v>
      </c>
      <c r="X91" s="488">
        <v>0</v>
      </c>
      <c r="Y91" s="488">
        <v>0</v>
      </c>
      <c r="Z91" s="488">
        <v>0</v>
      </c>
      <c r="AA91" s="367">
        <v>0</v>
      </c>
      <c r="AB91" s="367">
        <v>0</v>
      </c>
      <c r="AC91" s="368">
        <v>0</v>
      </c>
      <c r="AD91" s="39"/>
      <c r="AE91" s="39"/>
      <c r="AF91" s="39"/>
      <c r="AG91" s="39"/>
      <c r="AH91" s="39"/>
      <c r="AI91" s="39"/>
      <c r="AJ91" s="39"/>
      <c r="AK91" s="39"/>
      <c r="AM91" s="366" t="s">
        <v>442</v>
      </c>
      <c r="AN91" s="70">
        <v>0.45</v>
      </c>
      <c r="AO91" s="70">
        <v>0.45</v>
      </c>
      <c r="AP91" s="70">
        <v>0.45</v>
      </c>
      <c r="AQ91" s="70">
        <v>0.45</v>
      </c>
      <c r="AR91" s="70">
        <v>0.45</v>
      </c>
      <c r="AS91" s="70">
        <v>0.45</v>
      </c>
      <c r="AT91" s="70">
        <v>0.45</v>
      </c>
      <c r="AU91" s="70">
        <v>0.45</v>
      </c>
      <c r="AV91" s="70">
        <v>0.81</v>
      </c>
      <c r="AW91" s="70">
        <v>0.81</v>
      </c>
      <c r="AX91" s="70">
        <v>0.81</v>
      </c>
      <c r="AY91" s="70">
        <v>0.81</v>
      </c>
      <c r="AZ91" s="70">
        <v>0.81</v>
      </c>
      <c r="BA91" s="70">
        <v>0.81</v>
      </c>
      <c r="BB91" s="70">
        <v>0.81</v>
      </c>
      <c r="BC91" s="70">
        <v>0.81</v>
      </c>
      <c r="BD91" s="70">
        <v>0.45</v>
      </c>
      <c r="BE91" s="70">
        <v>0.45</v>
      </c>
      <c r="BF91" s="70">
        <v>0.45</v>
      </c>
      <c r="BG91" s="70">
        <v>0.45</v>
      </c>
      <c r="BH91" s="70">
        <v>0.45</v>
      </c>
      <c r="BI91" s="70">
        <v>0.45</v>
      </c>
      <c r="BJ91" s="70">
        <v>0.45</v>
      </c>
      <c r="BK91" s="70">
        <v>0.45</v>
      </c>
    </row>
    <row r="92" spans="1:63" ht="38.700000000000003" customHeight="1" x14ac:dyDescent="0.3">
      <c r="A92" s="924"/>
      <c r="B92" s="991"/>
      <c r="C92" s="1018"/>
      <c r="D92" s="1021"/>
      <c r="E92" s="759" t="s">
        <v>443</v>
      </c>
      <c r="F92" s="367">
        <v>0</v>
      </c>
      <c r="G92" s="367">
        <v>0</v>
      </c>
      <c r="H92" s="367">
        <v>0</v>
      </c>
      <c r="I92" s="367">
        <v>0</v>
      </c>
      <c r="J92" s="367">
        <v>0</v>
      </c>
      <c r="K92" s="367">
        <v>0</v>
      </c>
      <c r="L92" s="759">
        <v>0</v>
      </c>
      <c r="M92" s="759">
        <v>0</v>
      </c>
      <c r="N92" s="759">
        <v>0</v>
      </c>
      <c r="O92" s="759">
        <v>0</v>
      </c>
      <c r="P92" s="759">
        <v>0</v>
      </c>
      <c r="Q92" s="759">
        <v>0</v>
      </c>
      <c r="R92" s="759">
        <v>0</v>
      </c>
      <c r="S92" s="759">
        <v>0</v>
      </c>
      <c r="T92" s="759">
        <v>0</v>
      </c>
      <c r="U92" s="759">
        <v>0</v>
      </c>
      <c r="V92" s="759">
        <v>0</v>
      </c>
      <c r="W92" s="759">
        <v>0</v>
      </c>
      <c r="X92" s="759">
        <v>0</v>
      </c>
      <c r="Y92" s="759">
        <v>0</v>
      </c>
      <c r="Z92" s="759">
        <v>0</v>
      </c>
      <c r="AA92" s="369">
        <v>0</v>
      </c>
      <c r="AB92" s="369">
        <v>0</v>
      </c>
      <c r="AC92" s="370">
        <v>0</v>
      </c>
      <c r="AD92" s="39"/>
      <c r="AE92" s="39"/>
      <c r="AF92" s="39"/>
      <c r="AG92" s="39"/>
      <c r="AH92" s="39"/>
      <c r="AI92" s="39"/>
      <c r="AJ92" s="39"/>
      <c r="AK92" s="39"/>
      <c r="AM92" s="366" t="s">
        <v>443</v>
      </c>
      <c r="AN92" s="70">
        <v>0.45</v>
      </c>
      <c r="AO92" s="70">
        <v>0.45</v>
      </c>
      <c r="AP92" s="70">
        <v>0.45</v>
      </c>
      <c r="AQ92" s="70">
        <v>0.45</v>
      </c>
      <c r="AR92" s="70">
        <v>0.45</v>
      </c>
      <c r="AS92" s="70">
        <v>0.45</v>
      </c>
      <c r="AT92" s="70">
        <v>0.45</v>
      </c>
      <c r="AU92" s="70">
        <v>0.45</v>
      </c>
      <c r="AV92" s="70">
        <v>0.72</v>
      </c>
      <c r="AW92" s="70">
        <v>0.72</v>
      </c>
      <c r="AX92" s="70">
        <v>0.72</v>
      </c>
      <c r="AY92" s="70">
        <v>0.72</v>
      </c>
      <c r="AZ92" s="70">
        <v>0.72</v>
      </c>
      <c r="BA92" s="70">
        <v>0.72</v>
      </c>
      <c r="BB92" s="70">
        <v>0.72</v>
      </c>
      <c r="BC92" s="70">
        <v>0.72</v>
      </c>
      <c r="BD92" s="70">
        <v>0.72</v>
      </c>
      <c r="BE92" s="70">
        <v>0.72</v>
      </c>
      <c r="BF92" s="70">
        <v>0.45</v>
      </c>
      <c r="BG92" s="70">
        <v>0.45</v>
      </c>
      <c r="BH92" s="70">
        <v>0.45</v>
      </c>
      <c r="BI92" s="70">
        <v>0.45</v>
      </c>
      <c r="BJ92" s="70">
        <v>0.45</v>
      </c>
      <c r="BK92" s="70">
        <v>0.45</v>
      </c>
    </row>
    <row r="93" spans="1:63" ht="38.700000000000003" customHeight="1" thickBot="1" x14ac:dyDescent="0.35">
      <c r="A93" s="1016"/>
      <c r="B93" s="992"/>
      <c r="C93" s="1036"/>
      <c r="D93" s="1022"/>
      <c r="E93" s="174" t="s">
        <v>444</v>
      </c>
      <c r="F93" s="367">
        <v>0</v>
      </c>
      <c r="G93" s="367">
        <v>0</v>
      </c>
      <c r="H93" s="367">
        <v>0</v>
      </c>
      <c r="I93" s="367">
        <v>0</v>
      </c>
      <c r="J93" s="367">
        <v>0</v>
      </c>
      <c r="K93" s="367">
        <v>0</v>
      </c>
      <c r="L93" s="174">
        <v>0</v>
      </c>
      <c r="M93" s="174">
        <v>0</v>
      </c>
      <c r="N93" s="174">
        <v>0</v>
      </c>
      <c r="O93" s="174">
        <v>0</v>
      </c>
      <c r="P93" s="174">
        <v>0</v>
      </c>
      <c r="Q93" s="174">
        <v>0</v>
      </c>
      <c r="R93" s="174">
        <v>0</v>
      </c>
      <c r="S93" s="174">
        <v>0</v>
      </c>
      <c r="T93" s="174">
        <v>0</v>
      </c>
      <c r="U93" s="174">
        <v>0</v>
      </c>
      <c r="V93" s="174">
        <v>0</v>
      </c>
      <c r="W93" s="174">
        <v>0</v>
      </c>
      <c r="X93" s="174">
        <v>0</v>
      </c>
      <c r="Y93" s="174">
        <v>0</v>
      </c>
      <c r="Z93" s="174">
        <v>0</v>
      </c>
      <c r="AA93" s="371">
        <v>0</v>
      </c>
      <c r="AB93" s="371">
        <v>0</v>
      </c>
      <c r="AC93" s="372">
        <v>0</v>
      </c>
      <c r="AD93" s="39"/>
      <c r="AE93" s="39"/>
      <c r="AF93" s="39"/>
      <c r="AG93" s="39"/>
      <c r="AH93" s="39"/>
      <c r="AI93" s="39"/>
      <c r="AJ93" s="39"/>
      <c r="AK93" s="39"/>
      <c r="AM93" s="366" t="s">
        <v>724</v>
      </c>
      <c r="AN93" s="70">
        <v>0.45</v>
      </c>
      <c r="AO93" s="70">
        <v>0.45</v>
      </c>
      <c r="AP93" s="70">
        <v>0.45</v>
      </c>
      <c r="AQ93" s="70">
        <v>0.45</v>
      </c>
      <c r="AR93" s="70">
        <v>0.45</v>
      </c>
      <c r="AS93" s="70">
        <v>0.45</v>
      </c>
      <c r="AT93" s="70">
        <v>0.45</v>
      </c>
      <c r="AU93" s="70">
        <v>0.45</v>
      </c>
      <c r="AV93" s="70">
        <v>0.63</v>
      </c>
      <c r="AW93" s="70">
        <v>0.63</v>
      </c>
      <c r="AX93" s="70">
        <v>0.63</v>
      </c>
      <c r="AY93" s="70">
        <v>0.63</v>
      </c>
      <c r="AZ93" s="70">
        <v>0.63</v>
      </c>
      <c r="BA93" s="70">
        <v>0.63</v>
      </c>
      <c r="BB93" s="70">
        <v>0.63</v>
      </c>
      <c r="BC93" s="70">
        <v>0.63</v>
      </c>
      <c r="BD93" s="70">
        <v>0.45</v>
      </c>
      <c r="BE93" s="70">
        <v>0.45</v>
      </c>
      <c r="BF93" s="70">
        <v>0.45</v>
      </c>
      <c r="BG93" s="70">
        <v>0.45</v>
      </c>
      <c r="BH93" s="70">
        <v>0.45</v>
      </c>
      <c r="BI93" s="70">
        <v>0.45</v>
      </c>
      <c r="BJ93" s="70">
        <v>0.45</v>
      </c>
      <c r="BK93" s="70">
        <v>0.45</v>
      </c>
    </row>
    <row r="94" spans="1:63" ht="36" customHeight="1" x14ac:dyDescent="0.3">
      <c r="A94" s="1015"/>
      <c r="B94" s="990" t="str">
        <f>B88</f>
        <v>Unoccupied</v>
      </c>
      <c r="C94" s="1037" t="s">
        <v>710</v>
      </c>
      <c r="D94" s="1020"/>
      <c r="E94" s="176" t="s">
        <v>442</v>
      </c>
      <c r="F94" s="177">
        <v>0.2</v>
      </c>
      <c r="G94" s="177">
        <v>0.2</v>
      </c>
      <c r="H94" s="177">
        <v>0.2</v>
      </c>
      <c r="I94" s="177">
        <v>0.2</v>
      </c>
      <c r="J94" s="177">
        <v>0.2</v>
      </c>
      <c r="K94" s="177">
        <v>0.2</v>
      </c>
      <c r="L94" s="177">
        <v>0.2</v>
      </c>
      <c r="M94" s="177">
        <v>0.2</v>
      </c>
      <c r="N94" s="177">
        <v>0.2</v>
      </c>
      <c r="O94" s="177">
        <v>0.2</v>
      </c>
      <c r="P94" s="177">
        <v>0.2</v>
      </c>
      <c r="Q94" s="177">
        <v>0.2</v>
      </c>
      <c r="R94" s="177">
        <v>0.2</v>
      </c>
      <c r="S94" s="177">
        <v>0.2</v>
      </c>
      <c r="T94" s="177">
        <v>0.2</v>
      </c>
      <c r="U94" s="177">
        <v>0.2</v>
      </c>
      <c r="V94" s="177">
        <v>0.2</v>
      </c>
      <c r="W94" s="177">
        <v>0.2</v>
      </c>
      <c r="X94" s="177">
        <v>0.2</v>
      </c>
      <c r="Y94" s="177">
        <v>0.2</v>
      </c>
      <c r="Z94" s="177">
        <v>0.2</v>
      </c>
      <c r="AA94" s="177">
        <v>0.2</v>
      </c>
      <c r="AB94" s="177">
        <v>0.2</v>
      </c>
      <c r="AC94" s="178">
        <v>0.2</v>
      </c>
      <c r="AD94" s="40"/>
      <c r="AE94" s="39"/>
      <c r="AF94" s="39"/>
      <c r="AG94" s="39"/>
      <c r="AH94" s="39"/>
      <c r="AI94" s="39"/>
      <c r="AJ94" s="39"/>
      <c r="AK94" s="39"/>
      <c r="AM94" s="50"/>
    </row>
    <row r="95" spans="1:63" ht="36" customHeight="1" x14ac:dyDescent="0.3">
      <c r="A95" s="924"/>
      <c r="B95" s="991"/>
      <c r="C95" s="1018"/>
      <c r="D95" s="1021"/>
      <c r="E95" s="759" t="s">
        <v>443</v>
      </c>
      <c r="F95" s="179">
        <v>0.2</v>
      </c>
      <c r="G95" s="179">
        <v>0.2</v>
      </c>
      <c r="H95" s="179">
        <v>0.2</v>
      </c>
      <c r="I95" s="179">
        <v>0.2</v>
      </c>
      <c r="J95" s="179">
        <v>0.2</v>
      </c>
      <c r="K95" s="179">
        <v>0.2</v>
      </c>
      <c r="L95" s="179">
        <v>0.2</v>
      </c>
      <c r="M95" s="179">
        <v>0.2</v>
      </c>
      <c r="N95" s="179">
        <v>0.2</v>
      </c>
      <c r="O95" s="179">
        <v>0.2</v>
      </c>
      <c r="P95" s="179">
        <v>0.2</v>
      </c>
      <c r="Q95" s="179">
        <v>0.2</v>
      </c>
      <c r="R95" s="179">
        <v>0.2</v>
      </c>
      <c r="S95" s="179">
        <v>0.2</v>
      </c>
      <c r="T95" s="179">
        <v>0.2</v>
      </c>
      <c r="U95" s="179">
        <v>0.2</v>
      </c>
      <c r="V95" s="179">
        <v>0.2</v>
      </c>
      <c r="W95" s="179">
        <v>0.2</v>
      </c>
      <c r="X95" s="179">
        <v>0.2</v>
      </c>
      <c r="Y95" s="179">
        <v>0.2</v>
      </c>
      <c r="Z95" s="179">
        <v>0.2</v>
      </c>
      <c r="AA95" s="179">
        <v>0.2</v>
      </c>
      <c r="AB95" s="179">
        <v>0.2</v>
      </c>
      <c r="AC95" s="180">
        <v>0.2</v>
      </c>
      <c r="AD95" s="40"/>
      <c r="AE95" s="39"/>
      <c r="AF95" s="39"/>
      <c r="AG95" s="39"/>
      <c r="AH95" s="39"/>
      <c r="AI95" s="39"/>
      <c r="AJ95" s="39"/>
      <c r="AK95" s="39"/>
      <c r="AM95" s="50"/>
    </row>
    <row r="96" spans="1:63" ht="36" customHeight="1" thickBot="1" x14ac:dyDescent="0.35">
      <c r="A96" s="1016"/>
      <c r="B96" s="992"/>
      <c r="C96" s="1019"/>
      <c r="D96" s="1022"/>
      <c r="E96" s="174" t="s">
        <v>444</v>
      </c>
      <c r="F96" s="181">
        <v>0.2</v>
      </c>
      <c r="G96" s="181">
        <v>0.2</v>
      </c>
      <c r="H96" s="181">
        <v>0.2</v>
      </c>
      <c r="I96" s="181">
        <v>0.2</v>
      </c>
      <c r="J96" s="181">
        <v>0.2</v>
      </c>
      <c r="K96" s="181">
        <v>0.2</v>
      </c>
      <c r="L96" s="181">
        <v>0.2</v>
      </c>
      <c r="M96" s="181">
        <v>0.2</v>
      </c>
      <c r="N96" s="181">
        <v>0.2</v>
      </c>
      <c r="O96" s="181">
        <v>0.2</v>
      </c>
      <c r="P96" s="181">
        <v>0.2</v>
      </c>
      <c r="Q96" s="181">
        <v>0.2</v>
      </c>
      <c r="R96" s="181">
        <v>0.2</v>
      </c>
      <c r="S96" s="181">
        <v>0.2</v>
      </c>
      <c r="T96" s="181">
        <v>0.2</v>
      </c>
      <c r="U96" s="181">
        <v>0.2</v>
      </c>
      <c r="V96" s="181">
        <v>0.2</v>
      </c>
      <c r="W96" s="181">
        <v>0.2</v>
      </c>
      <c r="X96" s="181">
        <v>0.2</v>
      </c>
      <c r="Y96" s="181">
        <v>0.2</v>
      </c>
      <c r="Z96" s="181">
        <v>0.2</v>
      </c>
      <c r="AA96" s="181">
        <v>0.2</v>
      </c>
      <c r="AB96" s="181">
        <v>0.2</v>
      </c>
      <c r="AC96" s="182">
        <v>0.2</v>
      </c>
      <c r="AD96" s="40"/>
      <c r="AE96" s="39"/>
      <c r="AF96" s="39"/>
      <c r="AG96" s="39"/>
      <c r="AH96" s="39"/>
      <c r="AI96" s="39"/>
      <c r="AJ96" s="39"/>
      <c r="AK96" s="39"/>
      <c r="AM96" s="50"/>
    </row>
    <row r="97" spans="1:39" ht="36" customHeight="1" x14ac:dyDescent="0.3">
      <c r="A97" s="1015"/>
      <c r="B97" s="990" t="str">
        <f>B88</f>
        <v>Unoccupied</v>
      </c>
      <c r="C97" s="1017" t="s">
        <v>711</v>
      </c>
      <c r="D97" s="1020"/>
      <c r="E97" s="363" t="s">
        <v>442</v>
      </c>
      <c r="F97" s="777">
        <v>0</v>
      </c>
      <c r="G97" s="777">
        <v>0</v>
      </c>
      <c r="H97" s="777">
        <v>0</v>
      </c>
      <c r="I97" s="777">
        <v>0</v>
      </c>
      <c r="J97" s="777">
        <v>0</v>
      </c>
      <c r="K97" s="777">
        <v>0</v>
      </c>
      <c r="L97" s="777">
        <v>0</v>
      </c>
      <c r="M97" s="777">
        <v>0</v>
      </c>
      <c r="N97" s="777">
        <v>0</v>
      </c>
      <c r="O97" s="777">
        <v>0</v>
      </c>
      <c r="P97" s="777">
        <v>0</v>
      </c>
      <c r="Q97" s="777">
        <v>0</v>
      </c>
      <c r="R97" s="777">
        <v>0</v>
      </c>
      <c r="S97" s="777">
        <v>0</v>
      </c>
      <c r="T97" s="777">
        <v>0</v>
      </c>
      <c r="U97" s="777">
        <v>0</v>
      </c>
      <c r="V97" s="777">
        <v>0</v>
      </c>
      <c r="W97" s="777">
        <v>0</v>
      </c>
      <c r="X97" s="777">
        <v>0</v>
      </c>
      <c r="Y97" s="777">
        <v>0</v>
      </c>
      <c r="Z97" s="777">
        <v>0</v>
      </c>
      <c r="AA97" s="777">
        <v>0</v>
      </c>
      <c r="AB97" s="777">
        <v>0</v>
      </c>
      <c r="AC97" s="169">
        <v>0</v>
      </c>
      <c r="AD97" s="39"/>
      <c r="AE97" s="39"/>
      <c r="AF97" s="39"/>
      <c r="AG97" s="39"/>
      <c r="AH97" s="39"/>
      <c r="AI97" s="39"/>
      <c r="AJ97" s="39"/>
      <c r="AK97" s="39"/>
      <c r="AM97" s="50"/>
    </row>
    <row r="98" spans="1:39" ht="36" customHeight="1" x14ac:dyDescent="0.3">
      <c r="A98" s="924"/>
      <c r="B98" s="991"/>
      <c r="C98" s="1018"/>
      <c r="D98" s="1021"/>
      <c r="E98" s="364" t="s">
        <v>443</v>
      </c>
      <c r="F98" s="778">
        <v>0</v>
      </c>
      <c r="G98" s="778">
        <v>0</v>
      </c>
      <c r="H98" s="778">
        <v>0</v>
      </c>
      <c r="I98" s="778">
        <v>0</v>
      </c>
      <c r="J98" s="778">
        <v>0</v>
      </c>
      <c r="K98" s="778">
        <v>0</v>
      </c>
      <c r="L98" s="778">
        <v>0</v>
      </c>
      <c r="M98" s="778">
        <v>0</v>
      </c>
      <c r="N98" s="778">
        <v>0</v>
      </c>
      <c r="O98" s="778">
        <v>0</v>
      </c>
      <c r="P98" s="778">
        <v>0</v>
      </c>
      <c r="Q98" s="778">
        <v>0</v>
      </c>
      <c r="R98" s="778">
        <v>0</v>
      </c>
      <c r="S98" s="778">
        <v>0</v>
      </c>
      <c r="T98" s="778">
        <v>0</v>
      </c>
      <c r="U98" s="778">
        <v>0</v>
      </c>
      <c r="V98" s="778">
        <v>0</v>
      </c>
      <c r="W98" s="778">
        <v>0</v>
      </c>
      <c r="X98" s="778">
        <v>0</v>
      </c>
      <c r="Y98" s="778">
        <v>0</v>
      </c>
      <c r="Z98" s="778">
        <v>0</v>
      </c>
      <c r="AA98" s="778">
        <v>0</v>
      </c>
      <c r="AB98" s="778">
        <v>0</v>
      </c>
      <c r="AC98" s="170">
        <v>0</v>
      </c>
      <c r="AD98" s="39"/>
      <c r="AE98" s="39"/>
      <c r="AF98" s="39"/>
      <c r="AG98" s="39"/>
      <c r="AH98" s="39"/>
      <c r="AI98" s="39"/>
      <c r="AJ98" s="39"/>
      <c r="AK98" s="39"/>
      <c r="AM98" s="50"/>
    </row>
    <row r="99" spans="1:39" ht="36" customHeight="1" thickBot="1" x14ac:dyDescent="0.35">
      <c r="A99" s="1016"/>
      <c r="B99" s="992"/>
      <c r="C99" s="1019"/>
      <c r="D99" s="1022"/>
      <c r="E99" s="365" t="s">
        <v>444</v>
      </c>
      <c r="F99" s="779">
        <v>0</v>
      </c>
      <c r="G99" s="779">
        <v>0</v>
      </c>
      <c r="H99" s="779">
        <v>0</v>
      </c>
      <c r="I99" s="779">
        <v>0</v>
      </c>
      <c r="J99" s="779">
        <v>0</v>
      </c>
      <c r="K99" s="779">
        <v>0</v>
      </c>
      <c r="L99" s="779">
        <v>0</v>
      </c>
      <c r="M99" s="779">
        <v>0</v>
      </c>
      <c r="N99" s="779">
        <v>0</v>
      </c>
      <c r="O99" s="779">
        <v>0</v>
      </c>
      <c r="P99" s="779">
        <v>0</v>
      </c>
      <c r="Q99" s="779">
        <v>0</v>
      </c>
      <c r="R99" s="779">
        <v>0</v>
      </c>
      <c r="S99" s="779">
        <v>0</v>
      </c>
      <c r="T99" s="779">
        <v>0</v>
      </c>
      <c r="U99" s="779">
        <v>0</v>
      </c>
      <c r="V99" s="779">
        <v>0</v>
      </c>
      <c r="W99" s="779">
        <v>0</v>
      </c>
      <c r="X99" s="779">
        <v>0</v>
      </c>
      <c r="Y99" s="779">
        <v>0</v>
      </c>
      <c r="Z99" s="779">
        <v>0</v>
      </c>
      <c r="AA99" s="779">
        <v>0</v>
      </c>
      <c r="AB99" s="779">
        <v>0</v>
      </c>
      <c r="AC99" s="171">
        <v>0</v>
      </c>
      <c r="AD99" s="39"/>
      <c r="AE99" s="39"/>
      <c r="AF99" s="39"/>
      <c r="AG99" s="39"/>
      <c r="AH99" s="39"/>
      <c r="AI99" s="39"/>
      <c r="AJ99" s="39"/>
      <c r="AK99" s="39"/>
      <c r="AM99" s="50"/>
    </row>
    <row r="100" spans="1:39" ht="36" customHeight="1" x14ac:dyDescent="0.3">
      <c r="A100" s="1015"/>
      <c r="B100" s="990" t="str">
        <f>B91</f>
        <v>Unoccupied</v>
      </c>
      <c r="C100" s="1017" t="s">
        <v>299</v>
      </c>
      <c r="D100" s="1020" t="s">
        <v>721</v>
      </c>
      <c r="E100" s="176" t="s">
        <v>442</v>
      </c>
      <c r="F100" s="354">
        <v>0.25</v>
      </c>
      <c r="G100" s="355">
        <v>0.25</v>
      </c>
      <c r="H100" s="355">
        <v>0.25</v>
      </c>
      <c r="I100" s="355">
        <v>0.25</v>
      </c>
      <c r="J100" s="355">
        <v>0.25</v>
      </c>
      <c r="K100" s="355">
        <v>0.25</v>
      </c>
      <c r="L100" s="355">
        <v>0.25</v>
      </c>
      <c r="M100" s="355">
        <v>0.25</v>
      </c>
      <c r="N100" s="355">
        <v>0.25</v>
      </c>
      <c r="O100" s="355">
        <v>0.25</v>
      </c>
      <c r="P100" s="355">
        <v>0.25</v>
      </c>
      <c r="Q100" s="355">
        <v>0.25</v>
      </c>
      <c r="R100" s="355">
        <v>0.25</v>
      </c>
      <c r="S100" s="355">
        <v>0.25</v>
      </c>
      <c r="T100" s="355">
        <v>0.25</v>
      </c>
      <c r="U100" s="355">
        <v>0.25</v>
      </c>
      <c r="V100" s="355">
        <v>0.25</v>
      </c>
      <c r="W100" s="355">
        <v>0.25</v>
      </c>
      <c r="X100" s="355">
        <v>0.25</v>
      </c>
      <c r="Y100" s="355">
        <v>0.25</v>
      </c>
      <c r="Z100" s="355">
        <v>0.25</v>
      </c>
      <c r="AA100" s="355">
        <v>0.25</v>
      </c>
      <c r="AB100" s="355">
        <v>0.25</v>
      </c>
      <c r="AC100" s="356">
        <v>0.25</v>
      </c>
      <c r="AD100" s="40"/>
      <c r="AE100" s="39"/>
      <c r="AF100" s="39"/>
      <c r="AG100" s="39"/>
      <c r="AH100" s="39"/>
      <c r="AI100" s="39"/>
      <c r="AJ100" s="39"/>
      <c r="AK100" s="39"/>
      <c r="AM100" s="50"/>
    </row>
    <row r="101" spans="1:39" ht="36" customHeight="1" x14ac:dyDescent="0.3">
      <c r="A101" s="924"/>
      <c r="B101" s="991"/>
      <c r="C101" s="1018"/>
      <c r="D101" s="1021"/>
      <c r="E101" s="759" t="s">
        <v>443</v>
      </c>
      <c r="F101" s="357">
        <v>0.25</v>
      </c>
      <c r="G101" s="358">
        <v>0.25</v>
      </c>
      <c r="H101" s="358">
        <v>0.25</v>
      </c>
      <c r="I101" s="358">
        <v>0.25</v>
      </c>
      <c r="J101" s="358">
        <v>0.25</v>
      </c>
      <c r="K101" s="358">
        <v>0.25</v>
      </c>
      <c r="L101" s="358">
        <v>0.25</v>
      </c>
      <c r="M101" s="358">
        <v>0.25</v>
      </c>
      <c r="N101" s="358">
        <v>0.25</v>
      </c>
      <c r="O101" s="358">
        <v>0.25</v>
      </c>
      <c r="P101" s="358">
        <v>0.25</v>
      </c>
      <c r="Q101" s="358">
        <v>0.25</v>
      </c>
      <c r="R101" s="358">
        <v>0.25</v>
      </c>
      <c r="S101" s="358">
        <v>0.25</v>
      </c>
      <c r="T101" s="358">
        <v>0.25</v>
      </c>
      <c r="U101" s="358">
        <v>0.25</v>
      </c>
      <c r="V101" s="358">
        <v>0.25</v>
      </c>
      <c r="W101" s="358">
        <v>0.25</v>
      </c>
      <c r="X101" s="358">
        <v>0.25</v>
      </c>
      <c r="Y101" s="358">
        <v>0.25</v>
      </c>
      <c r="Z101" s="358">
        <v>0.25</v>
      </c>
      <c r="AA101" s="358">
        <v>0.25</v>
      </c>
      <c r="AB101" s="358">
        <v>0.25</v>
      </c>
      <c r="AC101" s="359">
        <v>0.25</v>
      </c>
      <c r="AD101" s="40"/>
      <c r="AE101" s="39"/>
      <c r="AF101" s="39"/>
      <c r="AG101" s="39"/>
      <c r="AH101" s="39"/>
      <c r="AI101" s="39"/>
      <c r="AJ101" s="39"/>
      <c r="AK101" s="39"/>
      <c r="AM101" s="50"/>
    </row>
    <row r="102" spans="1:39" ht="36" customHeight="1" thickBot="1" x14ac:dyDescent="0.35">
      <c r="A102" s="1016"/>
      <c r="B102" s="992"/>
      <c r="C102" s="1019"/>
      <c r="D102" s="1022"/>
      <c r="E102" s="174" t="s">
        <v>444</v>
      </c>
      <c r="F102" s="360">
        <v>0.25</v>
      </c>
      <c r="G102" s="361">
        <v>0.25</v>
      </c>
      <c r="H102" s="361">
        <v>0.25</v>
      </c>
      <c r="I102" s="361">
        <v>0.25</v>
      </c>
      <c r="J102" s="361">
        <v>0.25</v>
      </c>
      <c r="K102" s="361">
        <v>0.25</v>
      </c>
      <c r="L102" s="361">
        <v>0.25</v>
      </c>
      <c r="M102" s="361">
        <v>0.25</v>
      </c>
      <c r="N102" s="361">
        <v>0.25</v>
      </c>
      <c r="O102" s="361">
        <v>0.25</v>
      </c>
      <c r="P102" s="361">
        <v>0.25</v>
      </c>
      <c r="Q102" s="361">
        <v>0.25</v>
      </c>
      <c r="R102" s="361">
        <v>0.25</v>
      </c>
      <c r="S102" s="361">
        <v>0.25</v>
      </c>
      <c r="T102" s="361">
        <v>0.25</v>
      </c>
      <c r="U102" s="361">
        <v>0.25</v>
      </c>
      <c r="V102" s="361">
        <v>0.25</v>
      </c>
      <c r="W102" s="361">
        <v>0.25</v>
      </c>
      <c r="X102" s="361">
        <v>0.25</v>
      </c>
      <c r="Y102" s="361">
        <v>0.25</v>
      </c>
      <c r="Z102" s="361">
        <v>0.25</v>
      </c>
      <c r="AA102" s="361">
        <v>0.25</v>
      </c>
      <c r="AB102" s="361">
        <v>0.25</v>
      </c>
      <c r="AC102" s="362">
        <v>0.25</v>
      </c>
      <c r="AD102" s="40"/>
      <c r="AE102" s="39"/>
      <c r="AF102" s="39"/>
      <c r="AG102" s="39"/>
      <c r="AH102" s="39"/>
      <c r="AI102" s="39"/>
      <c r="AJ102" s="39"/>
      <c r="AK102" s="39"/>
      <c r="AM102" s="50"/>
    </row>
    <row r="103" spans="1:39" ht="31.2" customHeight="1" x14ac:dyDescent="0.3">
      <c r="A103" s="1025"/>
      <c r="B103" s="990" t="str">
        <f>B88</f>
        <v>Unoccupied</v>
      </c>
      <c r="C103" s="1015" t="s">
        <v>714</v>
      </c>
      <c r="D103" s="1020"/>
      <c r="E103" s="254" t="s">
        <v>442</v>
      </c>
      <c r="F103" s="185">
        <v>1</v>
      </c>
      <c r="G103" s="185">
        <v>1</v>
      </c>
      <c r="H103" s="185">
        <v>1</v>
      </c>
      <c r="I103" s="185">
        <v>1</v>
      </c>
      <c r="J103" s="185">
        <v>1</v>
      </c>
      <c r="K103" s="185">
        <v>1</v>
      </c>
      <c r="L103" s="185">
        <v>1</v>
      </c>
      <c r="M103" s="185">
        <v>1</v>
      </c>
      <c r="N103" s="185">
        <v>1</v>
      </c>
      <c r="O103" s="185">
        <v>1</v>
      </c>
      <c r="P103" s="185">
        <v>1</v>
      </c>
      <c r="Q103" s="185">
        <v>1</v>
      </c>
      <c r="R103" s="185">
        <v>1</v>
      </c>
      <c r="S103" s="185">
        <v>1</v>
      </c>
      <c r="T103" s="185">
        <v>1</v>
      </c>
      <c r="U103" s="185">
        <v>1</v>
      </c>
      <c r="V103" s="185">
        <v>1</v>
      </c>
      <c r="W103" s="185">
        <v>1</v>
      </c>
      <c r="X103" s="185">
        <v>1</v>
      </c>
      <c r="Y103" s="185">
        <v>1</v>
      </c>
      <c r="Z103" s="185">
        <v>1</v>
      </c>
      <c r="AA103" s="185">
        <v>1</v>
      </c>
      <c r="AB103" s="185">
        <v>1</v>
      </c>
      <c r="AC103" s="186">
        <v>1</v>
      </c>
    </row>
    <row r="104" spans="1:39" ht="30" customHeight="1" x14ac:dyDescent="0.3">
      <c r="A104" s="1026"/>
      <c r="B104" s="991"/>
      <c r="C104" s="924"/>
      <c r="D104" s="1021"/>
      <c r="E104" s="255" t="s">
        <v>443</v>
      </c>
      <c r="F104" s="187">
        <v>1</v>
      </c>
      <c r="G104" s="187">
        <v>1</v>
      </c>
      <c r="H104" s="187">
        <v>1</v>
      </c>
      <c r="I104" s="187">
        <v>1</v>
      </c>
      <c r="J104" s="187">
        <v>1</v>
      </c>
      <c r="K104" s="187">
        <v>1</v>
      </c>
      <c r="L104" s="187">
        <v>1</v>
      </c>
      <c r="M104" s="187">
        <v>1</v>
      </c>
      <c r="N104" s="187">
        <v>1</v>
      </c>
      <c r="O104" s="187">
        <v>1</v>
      </c>
      <c r="P104" s="187">
        <v>1</v>
      </c>
      <c r="Q104" s="187">
        <v>1</v>
      </c>
      <c r="R104" s="187">
        <v>1</v>
      </c>
      <c r="S104" s="187">
        <v>1</v>
      </c>
      <c r="T104" s="187">
        <v>1</v>
      </c>
      <c r="U104" s="187">
        <v>1</v>
      </c>
      <c r="V104" s="187">
        <v>1</v>
      </c>
      <c r="W104" s="187">
        <v>1</v>
      </c>
      <c r="X104" s="187">
        <v>1</v>
      </c>
      <c r="Y104" s="187">
        <v>1</v>
      </c>
      <c r="Z104" s="187">
        <v>1</v>
      </c>
      <c r="AA104" s="187">
        <v>1</v>
      </c>
      <c r="AB104" s="187">
        <v>1</v>
      </c>
      <c r="AC104" s="188">
        <v>1</v>
      </c>
    </row>
    <row r="105" spans="1:39" ht="33" customHeight="1" thickBot="1" x14ac:dyDescent="0.35">
      <c r="A105" s="1027"/>
      <c r="B105" s="992"/>
      <c r="C105" s="1016"/>
      <c r="D105" s="1022"/>
      <c r="E105" s="256" t="s">
        <v>444</v>
      </c>
      <c r="F105" s="226">
        <v>1</v>
      </c>
      <c r="G105" s="226">
        <v>1</v>
      </c>
      <c r="H105" s="226">
        <v>1</v>
      </c>
      <c r="I105" s="226">
        <v>1</v>
      </c>
      <c r="J105" s="226">
        <v>1</v>
      </c>
      <c r="K105" s="226">
        <v>1</v>
      </c>
      <c r="L105" s="226">
        <v>1</v>
      </c>
      <c r="M105" s="226">
        <v>1</v>
      </c>
      <c r="N105" s="226">
        <v>1</v>
      </c>
      <c r="O105" s="226">
        <v>1</v>
      </c>
      <c r="P105" s="226">
        <v>1</v>
      </c>
      <c r="Q105" s="226">
        <v>1</v>
      </c>
      <c r="R105" s="226">
        <v>1</v>
      </c>
      <c r="S105" s="226">
        <v>1</v>
      </c>
      <c r="T105" s="226">
        <v>1</v>
      </c>
      <c r="U105" s="226">
        <v>1</v>
      </c>
      <c r="V105" s="226">
        <v>1</v>
      </c>
      <c r="W105" s="226">
        <v>1</v>
      </c>
      <c r="X105" s="226">
        <v>1</v>
      </c>
      <c r="Y105" s="226">
        <v>1</v>
      </c>
      <c r="Z105" s="226">
        <v>1</v>
      </c>
      <c r="AA105" s="226">
        <v>1</v>
      </c>
      <c r="AB105" s="226">
        <v>1</v>
      </c>
      <c r="AC105" s="227">
        <v>1</v>
      </c>
    </row>
    <row r="106" spans="1:39" ht="22.95" customHeight="1" x14ac:dyDescent="0.3">
      <c r="A106" s="1025"/>
      <c r="B106" s="990" t="str">
        <f>B88</f>
        <v>Unoccupied</v>
      </c>
      <c r="C106" s="1028" t="s">
        <v>715</v>
      </c>
      <c r="D106" s="1031"/>
      <c r="E106" s="220" t="s">
        <v>442</v>
      </c>
      <c r="F106" s="786">
        <f>IF(F103=1,Thermostat!$B$11,Thermostat!$B$12)</f>
        <v>66</v>
      </c>
      <c r="G106" s="786">
        <f>IF(G103=1,Thermostat!$B$11,Thermostat!$B$12)</f>
        <v>66</v>
      </c>
      <c r="H106" s="786">
        <f>IF(H103=1,Thermostat!$B$11,Thermostat!$B$12)</f>
        <v>66</v>
      </c>
      <c r="I106" s="786">
        <f>IF(I103=1,Thermostat!$B$11,Thermostat!$B$12)</f>
        <v>66</v>
      </c>
      <c r="J106" s="786">
        <f>IF(J103=1,Thermostat!$B$11,Thermostat!$B$12)</f>
        <v>66</v>
      </c>
      <c r="K106" s="786">
        <f>IF(K103=1,Thermostat!$B$11,Thermostat!$B$12)</f>
        <v>66</v>
      </c>
      <c r="L106" s="786">
        <f>IF(L103=1,Thermostat!$B$11,Thermostat!$B$12)</f>
        <v>66</v>
      </c>
      <c r="M106" s="786">
        <f>IF(M103=1,Thermostat!$B$11,Thermostat!$B$12)</f>
        <v>66</v>
      </c>
      <c r="N106" s="786">
        <f>IF(N103=1,Thermostat!$B$11,Thermostat!$B$12)</f>
        <v>66</v>
      </c>
      <c r="O106" s="786">
        <f>IF(O103=1,Thermostat!$B$11,Thermostat!$B$12)</f>
        <v>66</v>
      </c>
      <c r="P106" s="786">
        <f>IF(P103=1,Thermostat!$B$11,Thermostat!$B$12)</f>
        <v>66</v>
      </c>
      <c r="Q106" s="786">
        <f>IF(Q103=1,Thermostat!$B$11,Thermostat!$B$12)</f>
        <v>66</v>
      </c>
      <c r="R106" s="786">
        <f>IF(R103=1,Thermostat!$B$11,Thermostat!$B$12)</f>
        <v>66</v>
      </c>
      <c r="S106" s="786">
        <f>IF(S103=1,Thermostat!$B$11,Thermostat!$B$12)</f>
        <v>66</v>
      </c>
      <c r="T106" s="786">
        <f>IF(T103=1,Thermostat!$B$11,Thermostat!$B$12)</f>
        <v>66</v>
      </c>
      <c r="U106" s="786">
        <f>IF(U103=1,Thermostat!$B$11,Thermostat!$B$12)</f>
        <v>66</v>
      </c>
      <c r="V106" s="786">
        <f>IF(V103=1,Thermostat!$B$11,Thermostat!$B$12)</f>
        <v>66</v>
      </c>
      <c r="W106" s="786">
        <f>IF(W103=1,Thermostat!$B$11,Thermostat!$B$12)</f>
        <v>66</v>
      </c>
      <c r="X106" s="786">
        <f>IF(X103=1,Thermostat!$B$11,Thermostat!$B$12)</f>
        <v>66</v>
      </c>
      <c r="Y106" s="786">
        <f>IF(Y103=1,Thermostat!$B$11,Thermostat!$B$12)</f>
        <v>66</v>
      </c>
      <c r="Z106" s="786">
        <f>IF(Z103=1,Thermostat!$B$11,Thermostat!$B$12)</f>
        <v>66</v>
      </c>
      <c r="AA106" s="786">
        <f>IF(AA103=1,Thermostat!$B$11,Thermostat!$B$12)</f>
        <v>66</v>
      </c>
      <c r="AB106" s="786">
        <f>IF(AB103=1,Thermostat!$B$11,Thermostat!$B$12)</f>
        <v>66</v>
      </c>
      <c r="AC106" s="221">
        <f>IF(AC103=1,Thermostat!$B$11,Thermostat!$B$12)</f>
        <v>66</v>
      </c>
    </row>
    <row r="107" spans="1:39" ht="22.95" customHeight="1" x14ac:dyDescent="0.3">
      <c r="A107" s="1026"/>
      <c r="B107" s="991"/>
      <c r="C107" s="1029"/>
      <c r="D107" s="1032"/>
      <c r="E107" s="222" t="s">
        <v>443</v>
      </c>
      <c r="F107" s="787">
        <f>IF(F104=1,Thermostat!$B$11,Thermostat!$B$12)</f>
        <v>66</v>
      </c>
      <c r="G107" s="787">
        <f>IF(G104=1,Thermostat!$B$11,Thermostat!$B$12)</f>
        <v>66</v>
      </c>
      <c r="H107" s="787">
        <f>IF(H104=1,Thermostat!$B$11,Thermostat!$B$12)</f>
        <v>66</v>
      </c>
      <c r="I107" s="787">
        <f>IF(I104=1,Thermostat!$B$11,Thermostat!$B$12)</f>
        <v>66</v>
      </c>
      <c r="J107" s="787">
        <f>IF(J104=1,Thermostat!$B$11,Thermostat!$B$12)</f>
        <v>66</v>
      </c>
      <c r="K107" s="787">
        <f>IF(K104=1,Thermostat!$B$11,Thermostat!$B$12)</f>
        <v>66</v>
      </c>
      <c r="L107" s="787">
        <f>IF(L104=1,Thermostat!$B$11,Thermostat!$B$12)</f>
        <v>66</v>
      </c>
      <c r="M107" s="787">
        <f>IF(M104=1,Thermostat!$B$11,Thermostat!$B$12)</f>
        <v>66</v>
      </c>
      <c r="N107" s="787">
        <f>IF(N104=1,Thermostat!$B$11,Thermostat!$B$12)</f>
        <v>66</v>
      </c>
      <c r="O107" s="787">
        <f>IF(O104=1,Thermostat!$B$11,Thermostat!$B$12)</f>
        <v>66</v>
      </c>
      <c r="P107" s="787">
        <f>IF(P104=1,Thermostat!$B$11,Thermostat!$B$12)</f>
        <v>66</v>
      </c>
      <c r="Q107" s="787">
        <f>IF(Q104=1,Thermostat!$B$11,Thermostat!$B$12)</f>
        <v>66</v>
      </c>
      <c r="R107" s="787">
        <f>IF(R104=1,Thermostat!$B$11,Thermostat!$B$12)</f>
        <v>66</v>
      </c>
      <c r="S107" s="787">
        <f>IF(S104=1,Thermostat!$B$11,Thermostat!$B$12)</f>
        <v>66</v>
      </c>
      <c r="T107" s="787">
        <f>IF(T104=1,Thermostat!$B$11,Thermostat!$B$12)</f>
        <v>66</v>
      </c>
      <c r="U107" s="787">
        <f>IF(U104=1,Thermostat!$B$11,Thermostat!$B$12)</f>
        <v>66</v>
      </c>
      <c r="V107" s="787">
        <f>IF(V104=1,Thermostat!$B$11,Thermostat!$B$12)</f>
        <v>66</v>
      </c>
      <c r="W107" s="787">
        <f>IF(W104=1,Thermostat!$B$11,Thermostat!$B$12)</f>
        <v>66</v>
      </c>
      <c r="X107" s="787">
        <f>IF(X104=1,Thermostat!$B$11,Thermostat!$B$12)</f>
        <v>66</v>
      </c>
      <c r="Y107" s="787">
        <f>IF(Y104=1,Thermostat!$B$11,Thermostat!$B$12)</f>
        <v>66</v>
      </c>
      <c r="Z107" s="787">
        <f>IF(Z104=1,Thermostat!$B$11,Thermostat!$B$12)</f>
        <v>66</v>
      </c>
      <c r="AA107" s="787">
        <f>IF(AA104=1,Thermostat!$B$11,Thermostat!$B$12)</f>
        <v>66</v>
      </c>
      <c r="AB107" s="787">
        <f>IF(AB104=1,Thermostat!$B$11,Thermostat!$B$12)</f>
        <v>66</v>
      </c>
      <c r="AC107" s="223">
        <f>IF(AC104=1,Thermostat!$B$11,Thermostat!$B$12)</f>
        <v>66</v>
      </c>
    </row>
    <row r="108" spans="1:39" ht="22.95" customHeight="1" thickBot="1" x14ac:dyDescent="0.35">
      <c r="A108" s="1027"/>
      <c r="B108" s="992"/>
      <c r="C108" s="1030"/>
      <c r="D108" s="1033"/>
      <c r="E108" s="224" t="s">
        <v>444</v>
      </c>
      <c r="F108" s="788">
        <f>IF(F105=1,Thermostat!$B$11,Thermostat!$B$12)</f>
        <v>66</v>
      </c>
      <c r="G108" s="788">
        <f>IF(G105=1,Thermostat!$B$11,Thermostat!$B$12)</f>
        <v>66</v>
      </c>
      <c r="H108" s="788">
        <f>IF(H105=1,Thermostat!$B$11,Thermostat!$B$12)</f>
        <v>66</v>
      </c>
      <c r="I108" s="788">
        <f>IF(I105=1,Thermostat!$B$11,Thermostat!$B$12)</f>
        <v>66</v>
      </c>
      <c r="J108" s="788">
        <f>IF(J105=1,Thermostat!$B$11,Thermostat!$B$12)</f>
        <v>66</v>
      </c>
      <c r="K108" s="788">
        <f>IF(K105=1,Thermostat!$B$11,Thermostat!$B$12)</f>
        <v>66</v>
      </c>
      <c r="L108" s="788">
        <f>IF(L105=1,Thermostat!$B$11,Thermostat!$B$12)</f>
        <v>66</v>
      </c>
      <c r="M108" s="788">
        <f>IF(M105=1,Thermostat!$B$11,Thermostat!$B$12)</f>
        <v>66</v>
      </c>
      <c r="N108" s="788">
        <f>IF(N105=1,Thermostat!$B$11,Thermostat!$B$12)</f>
        <v>66</v>
      </c>
      <c r="O108" s="788">
        <f>IF(O105=1,Thermostat!$B$11,Thermostat!$B$12)</f>
        <v>66</v>
      </c>
      <c r="P108" s="788">
        <f>IF(P105=1,Thermostat!$B$11,Thermostat!$B$12)</f>
        <v>66</v>
      </c>
      <c r="Q108" s="788">
        <f>IF(Q105=1,Thermostat!$B$11,Thermostat!$B$12)</f>
        <v>66</v>
      </c>
      <c r="R108" s="788">
        <f>IF(R105=1,Thermostat!$B$11,Thermostat!$B$12)</f>
        <v>66</v>
      </c>
      <c r="S108" s="788">
        <f>IF(S105=1,Thermostat!$B$11,Thermostat!$B$12)</f>
        <v>66</v>
      </c>
      <c r="T108" s="788">
        <f>IF(T105=1,Thermostat!$B$11,Thermostat!$B$12)</f>
        <v>66</v>
      </c>
      <c r="U108" s="788">
        <f>IF(U105=1,Thermostat!$B$11,Thermostat!$B$12)</f>
        <v>66</v>
      </c>
      <c r="V108" s="788">
        <f>IF(V105=1,Thermostat!$B$11,Thermostat!$B$12)</f>
        <v>66</v>
      </c>
      <c r="W108" s="788">
        <f>IF(W105=1,Thermostat!$B$11,Thermostat!$B$12)</f>
        <v>66</v>
      </c>
      <c r="X108" s="788">
        <f>IF(X105=1,Thermostat!$B$11,Thermostat!$B$12)</f>
        <v>66</v>
      </c>
      <c r="Y108" s="788">
        <f>IF(Y105=1,Thermostat!$B$11,Thermostat!$B$12)</f>
        <v>66</v>
      </c>
      <c r="Z108" s="788">
        <f>IF(Z105=1,Thermostat!$B$11,Thermostat!$B$12)</f>
        <v>66</v>
      </c>
      <c r="AA108" s="788">
        <f>IF(AA105=1,Thermostat!$B$11,Thermostat!$B$12)</f>
        <v>66</v>
      </c>
      <c r="AB108" s="788">
        <f>IF(AB105=1,Thermostat!$B$11,Thermostat!$B$12)</f>
        <v>66</v>
      </c>
      <c r="AC108" s="225">
        <f>IF(AC105=1,Thermostat!$B$11,Thermostat!$B$12)</f>
        <v>66</v>
      </c>
    </row>
    <row r="109" spans="1:39" ht="22.95" customHeight="1" x14ac:dyDescent="0.3">
      <c r="A109" s="1025"/>
      <c r="B109" s="990" t="str">
        <f>B88</f>
        <v>Unoccupied</v>
      </c>
      <c r="C109" s="1028" t="s">
        <v>716</v>
      </c>
      <c r="D109" s="1031"/>
      <c r="E109" s="220" t="s">
        <v>442</v>
      </c>
      <c r="F109" s="786">
        <f>IF(F103=1,Thermostat!$B$13,Thermostat!$B$14)</f>
        <v>79</v>
      </c>
      <c r="G109" s="786">
        <f>IF(G103=1,Thermostat!$B$13,Thermostat!$B$14)</f>
        <v>79</v>
      </c>
      <c r="H109" s="786">
        <f>IF(H103=1,Thermostat!$B$13,Thermostat!$B$14)</f>
        <v>79</v>
      </c>
      <c r="I109" s="786">
        <f>IF(I103=1,Thermostat!$B$13,Thermostat!$B$14)</f>
        <v>79</v>
      </c>
      <c r="J109" s="786">
        <f>IF(J103=1,Thermostat!$B$13,Thermostat!$B$14)</f>
        <v>79</v>
      </c>
      <c r="K109" s="786">
        <f>IF(K103=1,Thermostat!$B$13,Thermostat!$B$14)</f>
        <v>79</v>
      </c>
      <c r="L109" s="786">
        <f>IF(L103=1,Thermostat!$B$13,Thermostat!$B$14)</f>
        <v>79</v>
      </c>
      <c r="M109" s="786">
        <f>IF(M103=1,Thermostat!$B$13,Thermostat!$B$14)</f>
        <v>79</v>
      </c>
      <c r="N109" s="786">
        <f>IF(N103=1,Thermostat!$B$13,Thermostat!$B$14)</f>
        <v>79</v>
      </c>
      <c r="O109" s="786">
        <f>IF(O103=1,Thermostat!$B$13,Thermostat!$B$14)</f>
        <v>79</v>
      </c>
      <c r="P109" s="786">
        <f>IF(P103=1,Thermostat!$B$13,Thermostat!$B$14)</f>
        <v>79</v>
      </c>
      <c r="Q109" s="786">
        <f>IF(Q103=1,Thermostat!$B$13,Thermostat!$B$14)</f>
        <v>79</v>
      </c>
      <c r="R109" s="786">
        <f>IF(R103=1,Thermostat!$B$13,Thermostat!$B$14)</f>
        <v>79</v>
      </c>
      <c r="S109" s="786">
        <f>IF(S103=1,Thermostat!$B$13,Thermostat!$B$14)</f>
        <v>79</v>
      </c>
      <c r="T109" s="786">
        <f>IF(T103=1,Thermostat!$B$13,Thermostat!$B$14)</f>
        <v>79</v>
      </c>
      <c r="U109" s="786">
        <f>IF(U103=1,Thermostat!$B$13,Thermostat!$B$14)</f>
        <v>79</v>
      </c>
      <c r="V109" s="786">
        <f>IF(V103=1,Thermostat!$B$13,Thermostat!$B$14)</f>
        <v>79</v>
      </c>
      <c r="W109" s="786">
        <f>IF(W103=1,Thermostat!$B$13,Thermostat!$B$14)</f>
        <v>79</v>
      </c>
      <c r="X109" s="786">
        <f>IF(X103=1,Thermostat!$B$13,Thermostat!$B$14)</f>
        <v>79</v>
      </c>
      <c r="Y109" s="786">
        <f>IF(Y103=1,Thermostat!$B$13,Thermostat!$B$14)</f>
        <v>79</v>
      </c>
      <c r="Z109" s="786">
        <f>IF(Z103=1,Thermostat!$B$13,Thermostat!$B$14)</f>
        <v>79</v>
      </c>
      <c r="AA109" s="786">
        <f>IF(AA103=1,Thermostat!$B$13,Thermostat!$B$14)</f>
        <v>79</v>
      </c>
      <c r="AB109" s="786">
        <f>IF(AB103=1,Thermostat!$B$13,Thermostat!$B$14)</f>
        <v>79</v>
      </c>
      <c r="AC109" s="221">
        <f>IF(AC103=1,Thermostat!$B$13,Thermostat!$B$14)</f>
        <v>79</v>
      </c>
    </row>
    <row r="110" spans="1:39" ht="22.95" customHeight="1" x14ac:dyDescent="0.3">
      <c r="A110" s="1026"/>
      <c r="B110" s="991"/>
      <c r="C110" s="1029"/>
      <c r="D110" s="1032"/>
      <c r="E110" s="222" t="s">
        <v>443</v>
      </c>
      <c r="F110" s="787">
        <f>IF(F104=1,Thermostat!$B$13,Thermostat!$B$14)</f>
        <v>79</v>
      </c>
      <c r="G110" s="787">
        <f>IF(G104=1,Thermostat!$B$13,Thermostat!$B$14)</f>
        <v>79</v>
      </c>
      <c r="H110" s="787">
        <f>IF(H104=1,Thermostat!$B$13,Thermostat!$B$14)</f>
        <v>79</v>
      </c>
      <c r="I110" s="787">
        <f>IF(I104=1,Thermostat!$B$13,Thermostat!$B$14)</f>
        <v>79</v>
      </c>
      <c r="J110" s="787">
        <f>IF(J104=1,Thermostat!$B$13,Thermostat!$B$14)</f>
        <v>79</v>
      </c>
      <c r="K110" s="787">
        <f>IF(K104=1,Thermostat!$B$13,Thermostat!$B$14)</f>
        <v>79</v>
      </c>
      <c r="L110" s="787">
        <f>IF(L104=1,Thermostat!$B$13,Thermostat!$B$14)</f>
        <v>79</v>
      </c>
      <c r="M110" s="787">
        <f>IF(M104=1,Thermostat!$B$13,Thermostat!$B$14)</f>
        <v>79</v>
      </c>
      <c r="N110" s="787">
        <f>IF(N104=1,Thermostat!$B$13,Thermostat!$B$14)</f>
        <v>79</v>
      </c>
      <c r="O110" s="787">
        <f>IF(O104=1,Thermostat!$B$13,Thermostat!$B$14)</f>
        <v>79</v>
      </c>
      <c r="P110" s="787">
        <f>IF(P104=1,Thermostat!$B$13,Thermostat!$B$14)</f>
        <v>79</v>
      </c>
      <c r="Q110" s="787">
        <f>IF(Q104=1,Thermostat!$B$13,Thermostat!$B$14)</f>
        <v>79</v>
      </c>
      <c r="R110" s="787">
        <f>IF(R104=1,Thermostat!$B$13,Thermostat!$B$14)</f>
        <v>79</v>
      </c>
      <c r="S110" s="787">
        <f>IF(S104=1,Thermostat!$B$13,Thermostat!$B$14)</f>
        <v>79</v>
      </c>
      <c r="T110" s="787">
        <f>IF(T104=1,Thermostat!$B$13,Thermostat!$B$14)</f>
        <v>79</v>
      </c>
      <c r="U110" s="787">
        <f>IF(U104=1,Thermostat!$B$13,Thermostat!$B$14)</f>
        <v>79</v>
      </c>
      <c r="V110" s="787">
        <f>IF(V104=1,Thermostat!$B$13,Thermostat!$B$14)</f>
        <v>79</v>
      </c>
      <c r="W110" s="787">
        <f>IF(W104=1,Thermostat!$B$13,Thermostat!$B$14)</f>
        <v>79</v>
      </c>
      <c r="X110" s="787">
        <f>IF(X104=1,Thermostat!$B$13,Thermostat!$B$14)</f>
        <v>79</v>
      </c>
      <c r="Y110" s="787">
        <f>IF(Y104=1,Thermostat!$B$13,Thermostat!$B$14)</f>
        <v>79</v>
      </c>
      <c r="Z110" s="787">
        <f>IF(Z104=1,Thermostat!$B$13,Thermostat!$B$14)</f>
        <v>79</v>
      </c>
      <c r="AA110" s="787">
        <f>IF(AA104=1,Thermostat!$B$13,Thermostat!$B$14)</f>
        <v>79</v>
      </c>
      <c r="AB110" s="787">
        <f>IF(AB104=1,Thermostat!$B$13,Thermostat!$B$14)</f>
        <v>79</v>
      </c>
      <c r="AC110" s="223">
        <f>IF(AC104=1,Thermostat!$B$13,Thermostat!$B$14)</f>
        <v>79</v>
      </c>
    </row>
    <row r="111" spans="1:39" ht="22.95" customHeight="1" thickBot="1" x14ac:dyDescent="0.35">
      <c r="A111" s="1027"/>
      <c r="B111" s="992"/>
      <c r="C111" s="1030"/>
      <c r="D111" s="1033"/>
      <c r="E111" s="224" t="s">
        <v>444</v>
      </c>
      <c r="F111" s="788">
        <f>IF(F105=1,Thermostat!$B$13,Thermostat!$B$14)</f>
        <v>79</v>
      </c>
      <c r="G111" s="788">
        <f>IF(G105=1,Thermostat!$B$13,Thermostat!$B$14)</f>
        <v>79</v>
      </c>
      <c r="H111" s="788">
        <f>IF(H105=1,Thermostat!$B$13,Thermostat!$B$14)</f>
        <v>79</v>
      </c>
      <c r="I111" s="788">
        <f>IF(I105=1,Thermostat!$B$13,Thermostat!$B$14)</f>
        <v>79</v>
      </c>
      <c r="J111" s="788">
        <f>IF(J105=1,Thermostat!$B$13,Thermostat!$B$14)</f>
        <v>79</v>
      </c>
      <c r="K111" s="788">
        <f>IF(K105=1,Thermostat!$B$13,Thermostat!$B$14)</f>
        <v>79</v>
      </c>
      <c r="L111" s="788">
        <f>IF(L105=1,Thermostat!$B$13,Thermostat!$B$14)</f>
        <v>79</v>
      </c>
      <c r="M111" s="788">
        <f>IF(M105=1,Thermostat!$B$13,Thermostat!$B$14)</f>
        <v>79</v>
      </c>
      <c r="N111" s="788">
        <f>IF(N105=1,Thermostat!$B$13,Thermostat!$B$14)</f>
        <v>79</v>
      </c>
      <c r="O111" s="788">
        <f>IF(O105=1,Thermostat!$B$13,Thermostat!$B$14)</f>
        <v>79</v>
      </c>
      <c r="P111" s="788">
        <f>IF(P105=1,Thermostat!$B$13,Thermostat!$B$14)</f>
        <v>79</v>
      </c>
      <c r="Q111" s="788">
        <f>IF(Q105=1,Thermostat!$B$13,Thermostat!$B$14)</f>
        <v>79</v>
      </c>
      <c r="R111" s="788">
        <f>IF(R105=1,Thermostat!$B$13,Thermostat!$B$14)</f>
        <v>79</v>
      </c>
      <c r="S111" s="788">
        <f>IF(S105=1,Thermostat!$B$13,Thermostat!$B$14)</f>
        <v>79</v>
      </c>
      <c r="T111" s="788">
        <f>IF(T105=1,Thermostat!$B$13,Thermostat!$B$14)</f>
        <v>79</v>
      </c>
      <c r="U111" s="788">
        <f>IF(U105=1,Thermostat!$B$13,Thermostat!$B$14)</f>
        <v>79</v>
      </c>
      <c r="V111" s="788">
        <f>IF(V105=1,Thermostat!$B$13,Thermostat!$B$14)</f>
        <v>79</v>
      </c>
      <c r="W111" s="788">
        <f>IF(W105=1,Thermostat!$B$13,Thermostat!$B$14)</f>
        <v>79</v>
      </c>
      <c r="X111" s="788">
        <f>IF(X105=1,Thermostat!$B$13,Thermostat!$B$14)</f>
        <v>79</v>
      </c>
      <c r="Y111" s="788">
        <f>IF(Y105=1,Thermostat!$B$13,Thermostat!$B$14)</f>
        <v>79</v>
      </c>
      <c r="Z111" s="788">
        <f>IF(Z105=1,Thermostat!$B$13,Thermostat!$B$14)</f>
        <v>79</v>
      </c>
      <c r="AA111" s="788">
        <f>IF(AA105=1,Thermostat!$B$13,Thermostat!$B$14)</f>
        <v>79</v>
      </c>
      <c r="AB111" s="788">
        <f>IF(AB105=1,Thermostat!$B$13,Thermostat!$B$14)</f>
        <v>79</v>
      </c>
      <c r="AC111" s="225">
        <f>IF(AC105=1,Thermostat!$B$13,Thermostat!$B$14)</f>
        <v>79</v>
      </c>
    </row>
    <row r="112" spans="1:39" ht="22.95" customHeight="1" thickBot="1" x14ac:dyDescent="0.35">
      <c r="A112" s="1023" t="s">
        <v>194</v>
      </c>
      <c r="B112" s="1023"/>
      <c r="C112" s="1023"/>
      <c r="D112" s="1023"/>
      <c r="E112" s="1023"/>
      <c r="F112" s="1023"/>
      <c r="G112" s="1023"/>
      <c r="H112" s="1023"/>
      <c r="I112" s="1023"/>
      <c r="J112" s="1023"/>
      <c r="K112" s="1023"/>
      <c r="L112" s="1023"/>
      <c r="M112" s="1023"/>
      <c r="N112" s="1023"/>
      <c r="O112" s="1023"/>
      <c r="P112" s="1023"/>
      <c r="Q112" s="1023"/>
      <c r="R112" s="1023"/>
      <c r="S112" s="1023"/>
      <c r="T112" s="1023"/>
      <c r="U112" s="1023"/>
      <c r="V112" s="1023"/>
      <c r="W112" s="1023"/>
      <c r="X112" s="1023"/>
      <c r="Y112" s="1023"/>
      <c r="Z112" s="1023"/>
      <c r="AA112" s="1023"/>
      <c r="AB112" s="1023"/>
      <c r="AC112" s="1024"/>
    </row>
    <row r="113" spans="1:39" ht="39.6" customHeight="1" x14ac:dyDescent="0.3">
      <c r="A113" s="1069" t="s">
        <v>726</v>
      </c>
      <c r="B113" s="1054" t="s">
        <v>194</v>
      </c>
      <c r="C113" s="1075" t="s">
        <v>707</v>
      </c>
      <c r="D113" s="1002" t="s">
        <v>727</v>
      </c>
      <c r="E113" s="220" t="s">
        <v>442</v>
      </c>
      <c r="F113" s="258">
        <v>0</v>
      </c>
      <c r="G113" s="258">
        <v>0</v>
      </c>
      <c r="H113" s="258">
        <v>0</v>
      </c>
      <c r="I113" s="258">
        <v>0</v>
      </c>
      <c r="J113" s="258">
        <v>0</v>
      </c>
      <c r="K113" s="258">
        <v>0</v>
      </c>
      <c r="L113" s="258">
        <v>0.1</v>
      </c>
      <c r="M113" s="258">
        <v>0.2</v>
      </c>
      <c r="N113" s="258">
        <v>0.95</v>
      </c>
      <c r="O113" s="258">
        <v>0.95</v>
      </c>
      <c r="P113" s="258">
        <v>0.95</v>
      </c>
      <c r="Q113" s="258">
        <v>0.95</v>
      </c>
      <c r="R113" s="258">
        <v>0.5</v>
      </c>
      <c r="S113" s="258">
        <v>0.95</v>
      </c>
      <c r="T113" s="258">
        <v>0.95</v>
      </c>
      <c r="U113" s="258">
        <v>0.95</v>
      </c>
      <c r="V113" s="258">
        <v>0.95</v>
      </c>
      <c r="W113" s="258">
        <v>0.3</v>
      </c>
      <c r="X113" s="258">
        <v>0.1</v>
      </c>
      <c r="Y113" s="258">
        <v>0.1</v>
      </c>
      <c r="Z113" s="258">
        <v>0.1</v>
      </c>
      <c r="AA113" s="258">
        <v>0.1</v>
      </c>
      <c r="AB113" s="258">
        <v>0.05</v>
      </c>
      <c r="AC113" s="259">
        <v>0.05</v>
      </c>
      <c r="AD113" s="260"/>
      <c r="AE113" s="260"/>
      <c r="AF113" s="260"/>
      <c r="AG113" s="260"/>
      <c r="AH113" s="260"/>
      <c r="AI113" s="260"/>
      <c r="AJ113" s="260"/>
      <c r="AK113" s="260"/>
    </row>
    <row r="114" spans="1:39" ht="39.6" customHeight="1" x14ac:dyDescent="0.3">
      <c r="A114" s="1070"/>
      <c r="B114" s="1055"/>
      <c r="C114" s="1058"/>
      <c r="D114" s="1003"/>
      <c r="E114" s="222" t="s">
        <v>443</v>
      </c>
      <c r="F114" s="261">
        <v>0</v>
      </c>
      <c r="G114" s="261">
        <v>0</v>
      </c>
      <c r="H114" s="261">
        <v>0</v>
      </c>
      <c r="I114" s="261">
        <v>0</v>
      </c>
      <c r="J114" s="261">
        <v>0</v>
      </c>
      <c r="K114" s="261">
        <v>0</v>
      </c>
      <c r="L114" s="262">
        <v>0.05</v>
      </c>
      <c r="M114" s="262">
        <v>0.05</v>
      </c>
      <c r="N114" s="262">
        <v>0.05</v>
      </c>
      <c r="O114" s="262">
        <v>0.05</v>
      </c>
      <c r="P114" s="262">
        <v>0.05</v>
      </c>
      <c r="Q114" s="262">
        <v>0.05</v>
      </c>
      <c r="R114" s="262">
        <v>0.05</v>
      </c>
      <c r="S114" s="262">
        <v>0.05</v>
      </c>
      <c r="T114" s="262">
        <v>0.05</v>
      </c>
      <c r="U114" s="262">
        <v>0.05</v>
      </c>
      <c r="V114" s="262">
        <v>0.05</v>
      </c>
      <c r="W114" s="262">
        <v>0.05</v>
      </c>
      <c r="X114" s="263">
        <v>0</v>
      </c>
      <c r="Y114" s="261">
        <v>0</v>
      </c>
      <c r="Z114" s="261">
        <v>0</v>
      </c>
      <c r="AA114" s="261">
        <v>0</v>
      </c>
      <c r="AB114" s="261">
        <v>0</v>
      </c>
      <c r="AC114" s="264">
        <v>0</v>
      </c>
      <c r="AD114" s="260"/>
      <c r="AE114" s="260"/>
      <c r="AF114" s="260"/>
      <c r="AG114" s="260"/>
      <c r="AH114" s="260"/>
      <c r="AI114" s="260"/>
      <c r="AJ114" s="260"/>
      <c r="AK114" s="260"/>
    </row>
    <row r="115" spans="1:39" ht="39.6" customHeight="1" x14ac:dyDescent="0.3">
      <c r="A115" s="1071"/>
      <c r="B115" s="1056"/>
      <c r="C115" s="1059"/>
      <c r="D115" s="1004"/>
      <c r="E115" s="253" t="s">
        <v>444</v>
      </c>
      <c r="F115" s="265">
        <v>0</v>
      </c>
      <c r="G115" s="265">
        <v>0</v>
      </c>
      <c r="H115" s="265">
        <v>0</v>
      </c>
      <c r="I115" s="265">
        <v>0</v>
      </c>
      <c r="J115" s="265">
        <v>0</v>
      </c>
      <c r="K115" s="265">
        <v>0</v>
      </c>
      <c r="L115" s="265">
        <v>0.05</v>
      </c>
      <c r="M115" s="265">
        <v>0.05</v>
      </c>
      <c r="N115" s="265">
        <v>0.05</v>
      </c>
      <c r="O115" s="265">
        <v>0.05</v>
      </c>
      <c r="P115" s="265">
        <v>0.05</v>
      </c>
      <c r="Q115" s="265">
        <v>0.05</v>
      </c>
      <c r="R115" s="265">
        <v>0.05</v>
      </c>
      <c r="S115" s="265">
        <v>0.05</v>
      </c>
      <c r="T115" s="265">
        <v>0.05</v>
      </c>
      <c r="U115" s="265">
        <v>0.05</v>
      </c>
      <c r="V115" s="265">
        <v>0.05</v>
      </c>
      <c r="W115" s="265">
        <v>0.05</v>
      </c>
      <c r="X115" s="265">
        <v>0</v>
      </c>
      <c r="Y115" s="265">
        <v>0</v>
      </c>
      <c r="Z115" s="265">
        <v>0</v>
      </c>
      <c r="AA115" s="265">
        <v>0</v>
      </c>
      <c r="AB115" s="265">
        <v>0</v>
      </c>
      <c r="AC115" s="266">
        <v>0</v>
      </c>
      <c r="AD115" s="260"/>
      <c r="AE115" s="260"/>
      <c r="AF115" s="260"/>
      <c r="AG115" s="260"/>
      <c r="AH115" s="260"/>
      <c r="AI115" s="260"/>
      <c r="AJ115" s="260"/>
      <c r="AK115" s="260"/>
    </row>
    <row r="116" spans="1:39" s="257" customFormat="1" ht="39.6" customHeight="1" x14ac:dyDescent="0.3">
      <c r="A116" s="1069" t="s">
        <v>726</v>
      </c>
      <c r="B116" s="1054" t="s">
        <v>194</v>
      </c>
      <c r="C116" s="1057" t="s">
        <v>709</v>
      </c>
      <c r="D116" s="1002" t="s">
        <v>728</v>
      </c>
      <c r="E116" s="267" t="s">
        <v>442</v>
      </c>
      <c r="F116" s="258">
        <v>0.05</v>
      </c>
      <c r="G116" s="258">
        <v>0.05</v>
      </c>
      <c r="H116" s="258">
        <v>0.05</v>
      </c>
      <c r="I116" s="258">
        <v>0.05</v>
      </c>
      <c r="J116" s="258">
        <v>0.05</v>
      </c>
      <c r="K116" s="396">
        <v>0.1</v>
      </c>
      <c r="L116" s="396">
        <v>0.1</v>
      </c>
      <c r="M116" s="396">
        <v>0.3</v>
      </c>
      <c r="N116" s="396">
        <v>0.65</v>
      </c>
      <c r="O116" s="396">
        <v>0.65</v>
      </c>
      <c r="P116" s="396">
        <v>0.65</v>
      </c>
      <c r="Q116" s="396">
        <v>0.65</v>
      </c>
      <c r="R116" s="396">
        <v>0.65</v>
      </c>
      <c r="S116" s="396">
        <v>0.65</v>
      </c>
      <c r="T116" s="396">
        <v>0.65</v>
      </c>
      <c r="U116" s="396">
        <v>0.65</v>
      </c>
      <c r="V116" s="396">
        <v>0.65</v>
      </c>
      <c r="W116" s="396">
        <v>0.35</v>
      </c>
      <c r="X116" s="396">
        <v>0.3</v>
      </c>
      <c r="Y116" s="396">
        <v>0.3</v>
      </c>
      <c r="Z116" s="258">
        <v>0.2</v>
      </c>
      <c r="AA116" s="258">
        <v>0.2</v>
      </c>
      <c r="AB116" s="258">
        <v>0.1</v>
      </c>
      <c r="AC116" s="259">
        <v>0.05</v>
      </c>
      <c r="AD116" s="268"/>
      <c r="AE116" s="268"/>
      <c r="AF116" s="268"/>
      <c r="AG116" s="268"/>
      <c r="AH116" s="268"/>
      <c r="AI116" s="268"/>
      <c r="AJ116" s="268"/>
      <c r="AK116" s="268"/>
    </row>
    <row r="117" spans="1:39" ht="39.6" customHeight="1" x14ac:dyDescent="0.3">
      <c r="A117" s="1070"/>
      <c r="B117" s="1055"/>
      <c r="C117" s="1058"/>
      <c r="D117" s="1003"/>
      <c r="E117" s="229" t="s">
        <v>443</v>
      </c>
      <c r="F117" s="261">
        <v>0.05</v>
      </c>
      <c r="G117" s="261">
        <v>0.05</v>
      </c>
      <c r="H117" s="261">
        <v>0.05</v>
      </c>
      <c r="I117" s="261">
        <v>0.05</v>
      </c>
      <c r="J117" s="261">
        <v>0.05</v>
      </c>
      <c r="K117" s="263">
        <v>0.05</v>
      </c>
      <c r="L117" s="263">
        <v>0.05</v>
      </c>
      <c r="M117" s="263">
        <v>0.05</v>
      </c>
      <c r="N117" s="263">
        <v>0.05</v>
      </c>
      <c r="O117" s="263">
        <v>0.05</v>
      </c>
      <c r="P117" s="263">
        <v>0.05</v>
      </c>
      <c r="Q117" s="263">
        <v>0.05</v>
      </c>
      <c r="R117" s="263">
        <v>0.05</v>
      </c>
      <c r="S117" s="263">
        <v>0.05</v>
      </c>
      <c r="T117" s="263">
        <v>0.05</v>
      </c>
      <c r="U117" s="263">
        <v>0.05</v>
      </c>
      <c r="V117" s="263">
        <v>0.05</v>
      </c>
      <c r="W117" s="261">
        <v>0.05</v>
      </c>
      <c r="X117" s="261">
        <v>0.05</v>
      </c>
      <c r="Y117" s="261">
        <v>0.05</v>
      </c>
      <c r="Z117" s="261">
        <v>0.05</v>
      </c>
      <c r="AA117" s="261">
        <v>0.05</v>
      </c>
      <c r="AB117" s="261">
        <v>0.05</v>
      </c>
      <c r="AC117" s="264">
        <v>0.05</v>
      </c>
      <c r="AD117" s="260"/>
      <c r="AE117" s="260"/>
      <c r="AF117" s="260"/>
      <c r="AG117" s="260"/>
      <c r="AH117" s="260"/>
      <c r="AI117" s="260"/>
      <c r="AJ117" s="260"/>
      <c r="AK117" s="260"/>
    </row>
    <row r="118" spans="1:39" ht="39.6" customHeight="1" x14ac:dyDescent="0.3">
      <c r="A118" s="1071"/>
      <c r="B118" s="1056"/>
      <c r="C118" s="1059"/>
      <c r="D118" s="1060"/>
      <c r="E118" s="232" t="s">
        <v>444</v>
      </c>
      <c r="F118" s="269">
        <v>0.05</v>
      </c>
      <c r="G118" s="269">
        <v>0.05</v>
      </c>
      <c r="H118" s="269">
        <v>0.05</v>
      </c>
      <c r="I118" s="269">
        <v>0.05</v>
      </c>
      <c r="J118" s="269">
        <v>0.05</v>
      </c>
      <c r="K118" s="269">
        <v>0.05</v>
      </c>
      <c r="L118" s="269">
        <v>0.05</v>
      </c>
      <c r="M118" s="269">
        <v>0.05</v>
      </c>
      <c r="N118" s="269">
        <v>0.05</v>
      </c>
      <c r="O118" s="269">
        <v>0.05</v>
      </c>
      <c r="P118" s="269">
        <v>0.05</v>
      </c>
      <c r="Q118" s="269">
        <v>0.05</v>
      </c>
      <c r="R118" s="269">
        <v>0.05</v>
      </c>
      <c r="S118" s="269">
        <v>0.05</v>
      </c>
      <c r="T118" s="269">
        <v>0.05</v>
      </c>
      <c r="U118" s="269">
        <v>0.05</v>
      </c>
      <c r="V118" s="269">
        <v>0.05</v>
      </c>
      <c r="W118" s="269">
        <v>0.05</v>
      </c>
      <c r="X118" s="269">
        <v>0.05</v>
      </c>
      <c r="Y118" s="269">
        <v>0.05</v>
      </c>
      <c r="Z118" s="269">
        <v>0.05</v>
      </c>
      <c r="AA118" s="269">
        <v>0.05</v>
      </c>
      <c r="AB118" s="269">
        <v>0.05</v>
      </c>
      <c r="AC118" s="270">
        <v>0.05</v>
      </c>
      <c r="AD118" s="260"/>
      <c r="AE118" s="260"/>
      <c r="AF118" s="260"/>
      <c r="AG118" s="260"/>
      <c r="AH118" s="260"/>
      <c r="AI118" s="260"/>
      <c r="AJ118" s="260"/>
      <c r="AK118" s="260"/>
    </row>
    <row r="119" spans="1:39" ht="39.6" customHeight="1" x14ac:dyDescent="0.3">
      <c r="A119" s="1069" t="s">
        <v>726</v>
      </c>
      <c r="B119" s="1054" t="s">
        <v>194</v>
      </c>
      <c r="C119" s="1087" t="s">
        <v>710</v>
      </c>
      <c r="D119" s="1066" t="s">
        <v>729</v>
      </c>
      <c r="E119" s="267" t="s">
        <v>442</v>
      </c>
      <c r="F119" s="271">
        <v>0.45</v>
      </c>
      <c r="G119" s="271">
        <v>0.45</v>
      </c>
      <c r="H119" s="271">
        <v>0.45</v>
      </c>
      <c r="I119" s="271">
        <v>0.45</v>
      </c>
      <c r="J119" s="271">
        <v>0.45</v>
      </c>
      <c r="K119" s="271">
        <v>0.45</v>
      </c>
      <c r="L119" s="271">
        <v>0.45</v>
      </c>
      <c r="M119" s="271">
        <v>0.74</v>
      </c>
      <c r="N119" s="271">
        <v>0.87</v>
      </c>
      <c r="O119" s="271">
        <v>0.9</v>
      </c>
      <c r="P119" s="271">
        <v>0.9</v>
      </c>
      <c r="Q119" s="271">
        <v>0.9</v>
      </c>
      <c r="R119" s="271">
        <v>0.9</v>
      </c>
      <c r="S119" s="271">
        <v>0.9</v>
      </c>
      <c r="T119" s="271">
        <v>0.9</v>
      </c>
      <c r="U119" s="271">
        <v>0.9</v>
      </c>
      <c r="V119" s="271">
        <v>0.9</v>
      </c>
      <c r="W119" s="271">
        <v>0.7</v>
      </c>
      <c r="X119" s="271">
        <v>0.5</v>
      </c>
      <c r="Y119" s="271">
        <v>0.5</v>
      </c>
      <c r="Z119" s="271">
        <v>0.5</v>
      </c>
      <c r="AA119" s="271">
        <v>0.45</v>
      </c>
      <c r="AB119" s="271">
        <v>0.45</v>
      </c>
      <c r="AC119" s="272">
        <v>0.45</v>
      </c>
      <c r="AD119" s="260"/>
      <c r="AE119" s="260"/>
      <c r="AF119" s="260"/>
      <c r="AG119" s="260"/>
      <c r="AH119" s="260"/>
      <c r="AI119" s="260"/>
      <c r="AJ119" s="260"/>
      <c r="AK119" s="260"/>
    </row>
    <row r="120" spans="1:39" ht="39.6" customHeight="1" x14ac:dyDescent="0.3">
      <c r="A120" s="1070"/>
      <c r="B120" s="1055"/>
      <c r="C120" s="1063"/>
      <c r="D120" s="1067"/>
      <c r="E120" s="229" t="s">
        <v>443</v>
      </c>
      <c r="F120" s="273">
        <v>0.43</v>
      </c>
      <c r="G120" s="273">
        <v>0.43</v>
      </c>
      <c r="H120" s="273">
        <v>0.43</v>
      </c>
      <c r="I120" s="273">
        <v>0.43</v>
      </c>
      <c r="J120" s="273">
        <v>0.43</v>
      </c>
      <c r="K120" s="273">
        <v>0.43</v>
      </c>
      <c r="L120" s="273">
        <v>0.43</v>
      </c>
      <c r="M120" s="273">
        <v>0.43</v>
      </c>
      <c r="N120" s="273">
        <v>0.43</v>
      </c>
      <c r="O120" s="273">
        <v>0.43</v>
      </c>
      <c r="P120" s="273">
        <v>0.43</v>
      </c>
      <c r="Q120" s="273">
        <v>0.43</v>
      </c>
      <c r="R120" s="273">
        <v>0.43</v>
      </c>
      <c r="S120" s="273">
        <v>0.43</v>
      </c>
      <c r="T120" s="273">
        <v>0.43</v>
      </c>
      <c r="U120" s="273">
        <v>0.43</v>
      </c>
      <c r="V120" s="273">
        <v>0.43</v>
      </c>
      <c r="W120" s="273">
        <v>0.43</v>
      </c>
      <c r="X120" s="273">
        <v>0.43</v>
      </c>
      <c r="Y120" s="273">
        <v>0.43</v>
      </c>
      <c r="Z120" s="273">
        <v>0.43</v>
      </c>
      <c r="AA120" s="273">
        <v>0.43</v>
      </c>
      <c r="AB120" s="273">
        <v>0.43</v>
      </c>
      <c r="AC120" s="274">
        <v>0.43</v>
      </c>
      <c r="AD120" s="260"/>
      <c r="AE120" s="260"/>
      <c r="AF120" s="260"/>
      <c r="AG120" s="260"/>
      <c r="AH120" s="260"/>
      <c r="AI120" s="260"/>
      <c r="AJ120" s="260"/>
      <c r="AK120" s="260"/>
    </row>
    <row r="121" spans="1:39" ht="39.6" customHeight="1" x14ac:dyDescent="0.3">
      <c r="A121" s="1071"/>
      <c r="B121" s="1061"/>
      <c r="C121" s="1064"/>
      <c r="D121" s="1068"/>
      <c r="E121" s="275" t="s">
        <v>444</v>
      </c>
      <c r="F121" s="276">
        <v>0.43</v>
      </c>
      <c r="G121" s="276">
        <v>0.43</v>
      </c>
      <c r="H121" s="276">
        <v>0.43</v>
      </c>
      <c r="I121" s="276">
        <v>0.43</v>
      </c>
      <c r="J121" s="276">
        <v>0.43</v>
      </c>
      <c r="K121" s="276">
        <v>0.43</v>
      </c>
      <c r="L121" s="276">
        <v>0.43</v>
      </c>
      <c r="M121" s="276">
        <v>0.43</v>
      </c>
      <c r="N121" s="276">
        <v>0.43</v>
      </c>
      <c r="O121" s="276">
        <v>0.43</v>
      </c>
      <c r="P121" s="276">
        <v>0.43</v>
      </c>
      <c r="Q121" s="276">
        <v>0.43</v>
      </c>
      <c r="R121" s="276">
        <v>0.43</v>
      </c>
      <c r="S121" s="276">
        <v>0.43</v>
      </c>
      <c r="T121" s="276">
        <v>0.43</v>
      </c>
      <c r="U121" s="276">
        <v>0.43</v>
      </c>
      <c r="V121" s="276">
        <v>0.43</v>
      </c>
      <c r="W121" s="276">
        <v>0.43</v>
      </c>
      <c r="X121" s="276">
        <v>0.43</v>
      </c>
      <c r="Y121" s="276">
        <v>0.43</v>
      </c>
      <c r="Z121" s="276">
        <v>0.43</v>
      </c>
      <c r="AA121" s="276">
        <v>0.43</v>
      </c>
      <c r="AB121" s="276">
        <v>0.43</v>
      </c>
      <c r="AC121" s="277">
        <v>0.43</v>
      </c>
      <c r="AD121" s="260"/>
      <c r="AE121" s="260"/>
      <c r="AF121" s="260"/>
      <c r="AG121" s="260"/>
      <c r="AH121" s="260"/>
      <c r="AI121" s="260"/>
      <c r="AJ121" s="260"/>
      <c r="AK121" s="260"/>
    </row>
    <row r="122" spans="1:39" ht="39.6" customHeight="1" x14ac:dyDescent="0.3">
      <c r="A122" s="1069" t="s">
        <v>726</v>
      </c>
      <c r="B122" s="1054" t="s">
        <v>194</v>
      </c>
      <c r="C122" s="1062" t="s">
        <v>714</v>
      </c>
      <c r="D122" s="1002" t="s">
        <v>730</v>
      </c>
      <c r="E122" s="228" t="s">
        <v>442</v>
      </c>
      <c r="F122" s="278">
        <v>0</v>
      </c>
      <c r="G122" s="278">
        <v>0</v>
      </c>
      <c r="H122" s="278">
        <v>0</v>
      </c>
      <c r="I122" s="278">
        <v>0</v>
      </c>
      <c r="J122" s="278">
        <v>0</v>
      </c>
      <c r="K122" s="278">
        <v>1</v>
      </c>
      <c r="L122" s="278">
        <v>1</v>
      </c>
      <c r="M122" s="278">
        <v>1</v>
      </c>
      <c r="N122" s="278">
        <v>1</v>
      </c>
      <c r="O122" s="278">
        <v>1</v>
      </c>
      <c r="P122" s="278">
        <v>1</v>
      </c>
      <c r="Q122" s="278">
        <v>1</v>
      </c>
      <c r="R122" s="278">
        <v>1</v>
      </c>
      <c r="S122" s="278">
        <v>1</v>
      </c>
      <c r="T122" s="278">
        <v>1</v>
      </c>
      <c r="U122" s="278">
        <v>1</v>
      </c>
      <c r="V122" s="278">
        <v>1</v>
      </c>
      <c r="W122" s="278">
        <v>1</v>
      </c>
      <c r="X122" s="278">
        <v>1</v>
      </c>
      <c r="Y122" s="278">
        <v>1</v>
      </c>
      <c r="Z122" s="278">
        <v>1</v>
      </c>
      <c r="AA122" s="278">
        <v>1</v>
      </c>
      <c r="AB122" s="278">
        <v>1</v>
      </c>
      <c r="AC122" s="279">
        <v>1</v>
      </c>
      <c r="AD122" s="260"/>
      <c r="AE122" s="260"/>
      <c r="AF122" s="260"/>
      <c r="AG122" s="260"/>
      <c r="AH122" s="260"/>
      <c r="AI122" s="260"/>
      <c r="AJ122" s="260"/>
      <c r="AK122" s="260"/>
    </row>
    <row r="123" spans="1:39" ht="39.6" customHeight="1" x14ac:dyDescent="0.3">
      <c r="A123" s="1070"/>
      <c r="B123" s="1055"/>
      <c r="C123" s="1063"/>
      <c r="D123" s="1003"/>
      <c r="E123" s="229" t="s">
        <v>443</v>
      </c>
      <c r="F123" s="261">
        <v>0</v>
      </c>
      <c r="G123" s="261">
        <v>0</v>
      </c>
      <c r="H123" s="261">
        <v>0</v>
      </c>
      <c r="I123" s="261">
        <v>0</v>
      </c>
      <c r="J123" s="261">
        <v>0</v>
      </c>
      <c r="K123" s="263">
        <v>0</v>
      </c>
      <c r="L123" s="263">
        <v>0</v>
      </c>
      <c r="M123" s="263">
        <v>0</v>
      </c>
      <c r="N123" s="263">
        <v>0</v>
      </c>
      <c r="O123" s="263">
        <v>0</v>
      </c>
      <c r="P123" s="263">
        <v>0</v>
      </c>
      <c r="Q123" s="263">
        <v>0</v>
      </c>
      <c r="R123" s="263">
        <v>0</v>
      </c>
      <c r="S123" s="263">
        <v>0</v>
      </c>
      <c r="T123" s="263">
        <v>0</v>
      </c>
      <c r="U123" s="263">
        <v>0</v>
      </c>
      <c r="V123" s="263">
        <v>0</v>
      </c>
      <c r="W123" s="263">
        <v>0</v>
      </c>
      <c r="X123" s="263">
        <v>0</v>
      </c>
      <c r="Y123" s="261">
        <v>0</v>
      </c>
      <c r="Z123" s="261">
        <v>0</v>
      </c>
      <c r="AA123" s="261">
        <v>0</v>
      </c>
      <c r="AB123" s="261">
        <v>0</v>
      </c>
      <c r="AC123" s="264">
        <v>0</v>
      </c>
      <c r="AD123" s="260"/>
      <c r="AE123" s="260"/>
      <c r="AF123" s="260"/>
      <c r="AG123" s="260"/>
      <c r="AH123" s="260"/>
      <c r="AI123" s="260"/>
      <c r="AJ123" s="260"/>
      <c r="AK123" s="260"/>
    </row>
    <row r="124" spans="1:39" ht="39.6" customHeight="1" x14ac:dyDescent="0.3">
      <c r="A124" s="1071"/>
      <c r="B124" s="1061"/>
      <c r="C124" s="1064"/>
      <c r="D124" s="1004"/>
      <c r="E124" s="275" t="s">
        <v>444</v>
      </c>
      <c r="F124" s="269">
        <v>0</v>
      </c>
      <c r="G124" s="269">
        <v>0</v>
      </c>
      <c r="H124" s="269">
        <v>0</v>
      </c>
      <c r="I124" s="269">
        <v>0</v>
      </c>
      <c r="J124" s="269">
        <v>0</v>
      </c>
      <c r="K124" s="269">
        <v>0</v>
      </c>
      <c r="L124" s="269">
        <v>0</v>
      </c>
      <c r="M124" s="269">
        <v>0</v>
      </c>
      <c r="N124" s="269">
        <v>0</v>
      </c>
      <c r="O124" s="269">
        <v>0</v>
      </c>
      <c r="P124" s="269">
        <v>0</v>
      </c>
      <c r="Q124" s="269">
        <v>0</v>
      </c>
      <c r="R124" s="269">
        <v>0</v>
      </c>
      <c r="S124" s="269">
        <v>0</v>
      </c>
      <c r="T124" s="269">
        <v>0</v>
      </c>
      <c r="U124" s="269">
        <v>0</v>
      </c>
      <c r="V124" s="269">
        <v>0</v>
      </c>
      <c r="W124" s="269">
        <v>0</v>
      </c>
      <c r="X124" s="269">
        <v>0</v>
      </c>
      <c r="Y124" s="269">
        <v>0</v>
      </c>
      <c r="Z124" s="269">
        <v>0</v>
      </c>
      <c r="AA124" s="269">
        <v>0</v>
      </c>
      <c r="AB124" s="269">
        <v>0</v>
      </c>
      <c r="AC124" s="270">
        <v>0</v>
      </c>
      <c r="AD124" s="260"/>
      <c r="AE124" s="260"/>
      <c r="AF124" s="260"/>
      <c r="AG124" s="260"/>
      <c r="AH124" s="260"/>
      <c r="AI124" s="260"/>
      <c r="AJ124" s="260"/>
      <c r="AK124" s="260"/>
    </row>
    <row r="125" spans="1:39" ht="39.6" customHeight="1" x14ac:dyDescent="0.3">
      <c r="A125" s="1069" t="s">
        <v>726</v>
      </c>
      <c r="B125" s="1054" t="s">
        <v>194</v>
      </c>
      <c r="C125" s="1062" t="s">
        <v>711</v>
      </c>
      <c r="D125" s="1020" t="s">
        <v>728</v>
      </c>
      <c r="E125" s="228" t="s">
        <v>442</v>
      </c>
      <c r="F125" s="280">
        <v>0.05</v>
      </c>
      <c r="G125" s="280">
        <v>0.05</v>
      </c>
      <c r="H125" s="280">
        <v>0.05</v>
      </c>
      <c r="I125" s="280">
        <v>0.05</v>
      </c>
      <c r="J125" s="280">
        <v>0.05</v>
      </c>
      <c r="K125" s="280">
        <v>0.08</v>
      </c>
      <c r="L125" s="280">
        <v>7.0000000000000007E-2</v>
      </c>
      <c r="M125" s="280">
        <v>0.19</v>
      </c>
      <c r="N125" s="280">
        <v>0.35</v>
      </c>
      <c r="O125" s="280">
        <v>0.38</v>
      </c>
      <c r="P125" s="280">
        <v>0.39</v>
      </c>
      <c r="Q125" s="280">
        <v>0.47</v>
      </c>
      <c r="R125" s="280">
        <v>0.56999999999999995</v>
      </c>
      <c r="S125" s="280">
        <v>0.54</v>
      </c>
      <c r="T125" s="280">
        <v>0.34</v>
      </c>
      <c r="U125" s="280">
        <v>0.33</v>
      </c>
      <c r="V125" s="280">
        <v>0.44</v>
      </c>
      <c r="W125" s="280">
        <v>0.26</v>
      </c>
      <c r="X125" s="280">
        <v>0.21</v>
      </c>
      <c r="Y125" s="280">
        <v>0.15</v>
      </c>
      <c r="Z125" s="280">
        <v>0.17</v>
      </c>
      <c r="AA125" s="280">
        <v>0.08</v>
      </c>
      <c r="AB125" s="280">
        <v>0.05</v>
      </c>
      <c r="AC125" s="281">
        <v>0.05</v>
      </c>
      <c r="AD125" s="260"/>
      <c r="AE125" s="260"/>
      <c r="AF125" s="260"/>
      <c r="AG125" s="260"/>
      <c r="AH125" s="260"/>
      <c r="AI125" s="260"/>
      <c r="AJ125" s="260"/>
      <c r="AK125" s="260"/>
    </row>
    <row r="126" spans="1:39" ht="39.6" customHeight="1" x14ac:dyDescent="0.3">
      <c r="A126" s="1070"/>
      <c r="B126" s="1055"/>
      <c r="C126" s="1063"/>
      <c r="D126" s="1021"/>
      <c r="E126" s="229" t="s">
        <v>443</v>
      </c>
      <c r="F126" s="282">
        <v>0.05</v>
      </c>
      <c r="G126" s="282">
        <v>0.05</v>
      </c>
      <c r="H126" s="282">
        <v>0.05</v>
      </c>
      <c r="I126" s="282">
        <v>0.05</v>
      </c>
      <c r="J126" s="282">
        <v>0.05</v>
      </c>
      <c r="K126" s="282">
        <v>0.08</v>
      </c>
      <c r="L126" s="282">
        <v>7.0000000000000007E-2</v>
      </c>
      <c r="M126" s="282">
        <v>0.11</v>
      </c>
      <c r="N126" s="282">
        <v>0.15</v>
      </c>
      <c r="O126" s="282">
        <v>0.21</v>
      </c>
      <c r="P126" s="282">
        <v>0.19</v>
      </c>
      <c r="Q126" s="282">
        <v>0.23</v>
      </c>
      <c r="R126" s="282">
        <v>0.2</v>
      </c>
      <c r="S126" s="282">
        <v>0.19</v>
      </c>
      <c r="T126" s="282">
        <v>0.15</v>
      </c>
      <c r="U126" s="282">
        <v>0.12</v>
      </c>
      <c r="V126" s="282">
        <v>0.14000000000000001</v>
      </c>
      <c r="W126" s="282">
        <v>7.0000000000000007E-2</v>
      </c>
      <c r="X126" s="282">
        <v>7.0000000000000007E-2</v>
      </c>
      <c r="Y126" s="282">
        <v>7.0000000000000007E-2</v>
      </c>
      <c r="Z126" s="282">
        <v>7.0000000000000007E-2</v>
      </c>
      <c r="AA126" s="282">
        <v>0.09</v>
      </c>
      <c r="AB126" s="282">
        <v>0.05</v>
      </c>
      <c r="AC126" s="283">
        <v>0.05</v>
      </c>
      <c r="AD126" s="260"/>
      <c r="AE126" s="260"/>
      <c r="AF126" s="260"/>
      <c r="AG126" s="260"/>
      <c r="AH126" s="260"/>
      <c r="AI126" s="260"/>
      <c r="AJ126" s="260"/>
      <c r="AK126" s="260"/>
    </row>
    <row r="127" spans="1:39" ht="39.6" customHeight="1" x14ac:dyDescent="0.3">
      <c r="A127" s="1071"/>
      <c r="B127" s="1061"/>
      <c r="C127" s="1064"/>
      <c r="D127" s="1065"/>
      <c r="E127" s="275" t="s">
        <v>444</v>
      </c>
      <c r="F127" s="284">
        <v>0.04</v>
      </c>
      <c r="G127" s="284">
        <v>0.04</v>
      </c>
      <c r="H127" s="284">
        <v>0.04</v>
      </c>
      <c r="I127" s="284">
        <v>0.04</v>
      </c>
      <c r="J127" s="284">
        <v>0.04</v>
      </c>
      <c r="K127" s="284">
        <v>7.0000000000000007E-2</v>
      </c>
      <c r="L127" s="284">
        <v>0.04</v>
      </c>
      <c r="M127" s="284">
        <v>0.04</v>
      </c>
      <c r="N127" s="284">
        <v>0.04</v>
      </c>
      <c r="O127" s="284">
        <v>0.04</v>
      </c>
      <c r="P127" s="284">
        <v>0.04</v>
      </c>
      <c r="Q127" s="284">
        <v>0.06</v>
      </c>
      <c r="R127" s="284">
        <v>0.06</v>
      </c>
      <c r="S127" s="284">
        <v>0.09</v>
      </c>
      <c r="T127" s="284">
        <v>0.06</v>
      </c>
      <c r="U127" s="284">
        <v>0.04</v>
      </c>
      <c r="V127" s="284">
        <v>0.04</v>
      </c>
      <c r="W127" s="284">
        <v>0.04</v>
      </c>
      <c r="X127" s="284">
        <v>0.04</v>
      </c>
      <c r="Y127" s="284">
        <v>0.04</v>
      </c>
      <c r="Z127" s="284">
        <v>0.04</v>
      </c>
      <c r="AA127" s="284">
        <v>7.0000000000000007E-2</v>
      </c>
      <c r="AB127" s="284">
        <v>0.04</v>
      </c>
      <c r="AC127" s="285">
        <v>0.04</v>
      </c>
      <c r="AD127" s="260"/>
      <c r="AE127" s="260"/>
      <c r="AF127" s="260"/>
      <c r="AG127" s="260"/>
      <c r="AH127" s="260"/>
      <c r="AI127" s="260"/>
      <c r="AJ127" s="260"/>
      <c r="AK127" s="260"/>
    </row>
    <row r="128" spans="1:39" ht="36" customHeight="1" x14ac:dyDescent="0.3">
      <c r="A128" s="1069" t="s">
        <v>726</v>
      </c>
      <c r="B128" s="1054" t="s">
        <v>194</v>
      </c>
      <c r="C128" s="1087" t="s">
        <v>299</v>
      </c>
      <c r="D128" s="1020" t="s">
        <v>731</v>
      </c>
      <c r="E128" s="267" t="s">
        <v>442</v>
      </c>
      <c r="F128" s="278">
        <v>1</v>
      </c>
      <c r="G128" s="278">
        <v>1</v>
      </c>
      <c r="H128" s="278">
        <v>1</v>
      </c>
      <c r="I128" s="278">
        <v>1</v>
      </c>
      <c r="J128" s="278">
        <v>1</v>
      </c>
      <c r="K128" s="278">
        <v>0.25</v>
      </c>
      <c r="L128" s="278">
        <v>0.25</v>
      </c>
      <c r="M128" s="278">
        <v>0.25</v>
      </c>
      <c r="N128" s="278">
        <v>0.25</v>
      </c>
      <c r="O128" s="278">
        <v>0.25</v>
      </c>
      <c r="P128" s="278">
        <v>0.25</v>
      </c>
      <c r="Q128" s="278">
        <v>0.25</v>
      </c>
      <c r="R128" s="278">
        <v>0.25</v>
      </c>
      <c r="S128" s="278">
        <v>0.25</v>
      </c>
      <c r="T128" s="278">
        <v>0.25</v>
      </c>
      <c r="U128" s="278">
        <v>0.25</v>
      </c>
      <c r="V128" s="278">
        <v>0.25</v>
      </c>
      <c r="W128" s="278">
        <v>0.25</v>
      </c>
      <c r="X128" s="278">
        <v>0.25</v>
      </c>
      <c r="Y128" s="278">
        <v>0.25</v>
      </c>
      <c r="Z128" s="278">
        <v>0.25</v>
      </c>
      <c r="AA128" s="278">
        <v>0.25</v>
      </c>
      <c r="AB128" s="278">
        <v>0.25</v>
      </c>
      <c r="AC128" s="279">
        <v>0.25</v>
      </c>
      <c r="AD128" s="40"/>
      <c r="AE128" s="39"/>
      <c r="AF128" s="39"/>
      <c r="AG128" s="39"/>
      <c r="AH128" s="39"/>
      <c r="AI128" s="39"/>
      <c r="AJ128" s="39"/>
      <c r="AK128" s="39"/>
      <c r="AM128" s="50"/>
    </row>
    <row r="129" spans="1:39" ht="36" customHeight="1" x14ac:dyDescent="0.3">
      <c r="A129" s="1070"/>
      <c r="B129" s="1055"/>
      <c r="C129" s="1063"/>
      <c r="D129" s="1021"/>
      <c r="E129" s="229" t="s">
        <v>443</v>
      </c>
      <c r="F129" s="261">
        <v>1</v>
      </c>
      <c r="G129" s="261">
        <v>1</v>
      </c>
      <c r="H129" s="261">
        <v>1</v>
      </c>
      <c r="I129" s="261">
        <v>1</v>
      </c>
      <c r="J129" s="261">
        <v>1</v>
      </c>
      <c r="K129" s="263">
        <v>1</v>
      </c>
      <c r="L129" s="263">
        <v>1</v>
      </c>
      <c r="M129" s="263">
        <v>1</v>
      </c>
      <c r="N129" s="263">
        <v>1</v>
      </c>
      <c r="O129" s="263">
        <v>1</v>
      </c>
      <c r="P129" s="263">
        <v>1</v>
      </c>
      <c r="Q129" s="263">
        <v>1</v>
      </c>
      <c r="R129" s="263">
        <v>1</v>
      </c>
      <c r="S129" s="263">
        <v>1</v>
      </c>
      <c r="T129" s="263">
        <v>1</v>
      </c>
      <c r="U129" s="263">
        <v>1</v>
      </c>
      <c r="V129" s="263">
        <v>1</v>
      </c>
      <c r="W129" s="263">
        <v>1</v>
      </c>
      <c r="X129" s="263">
        <v>1</v>
      </c>
      <c r="Y129" s="261">
        <v>1</v>
      </c>
      <c r="Z129" s="261">
        <v>1</v>
      </c>
      <c r="AA129" s="261">
        <v>1</v>
      </c>
      <c r="AB129" s="261">
        <v>1</v>
      </c>
      <c r="AC129" s="264">
        <v>1</v>
      </c>
      <c r="AD129" s="40"/>
      <c r="AE129" s="39"/>
      <c r="AF129" s="39"/>
      <c r="AG129" s="39"/>
      <c r="AH129" s="39"/>
      <c r="AI129" s="39"/>
      <c r="AJ129" s="39"/>
      <c r="AK129" s="39"/>
      <c r="AM129" s="50"/>
    </row>
    <row r="130" spans="1:39" ht="36" customHeight="1" x14ac:dyDescent="0.3">
      <c r="A130" s="1071"/>
      <c r="B130" s="1061"/>
      <c r="C130" s="1088"/>
      <c r="D130" s="1065"/>
      <c r="E130" s="232" t="s">
        <v>444</v>
      </c>
      <c r="F130" s="265">
        <v>1</v>
      </c>
      <c r="G130" s="265">
        <v>1</v>
      </c>
      <c r="H130" s="265">
        <v>1</v>
      </c>
      <c r="I130" s="265">
        <v>1</v>
      </c>
      <c r="J130" s="265">
        <v>1</v>
      </c>
      <c r="K130" s="265">
        <v>1</v>
      </c>
      <c r="L130" s="265">
        <v>1</v>
      </c>
      <c r="M130" s="265">
        <v>1</v>
      </c>
      <c r="N130" s="265">
        <v>1</v>
      </c>
      <c r="O130" s="265">
        <v>1</v>
      </c>
      <c r="P130" s="265">
        <v>1</v>
      </c>
      <c r="Q130" s="265">
        <v>1</v>
      </c>
      <c r="R130" s="265">
        <v>1</v>
      </c>
      <c r="S130" s="265">
        <v>1</v>
      </c>
      <c r="T130" s="265">
        <v>1</v>
      </c>
      <c r="U130" s="265">
        <v>1</v>
      </c>
      <c r="V130" s="265">
        <v>1</v>
      </c>
      <c r="W130" s="265">
        <v>1</v>
      </c>
      <c r="X130" s="265">
        <v>1</v>
      </c>
      <c r="Y130" s="265">
        <v>1</v>
      </c>
      <c r="Z130" s="265">
        <v>1</v>
      </c>
      <c r="AA130" s="265">
        <v>1</v>
      </c>
      <c r="AB130" s="265">
        <v>1</v>
      </c>
      <c r="AC130" s="266">
        <v>1</v>
      </c>
      <c r="AD130" s="40"/>
      <c r="AE130" s="39"/>
      <c r="AF130" s="39"/>
      <c r="AG130" s="39"/>
      <c r="AH130" s="39"/>
      <c r="AI130" s="39"/>
      <c r="AJ130" s="39"/>
      <c r="AK130" s="39"/>
      <c r="AM130" s="50"/>
    </row>
    <row r="131" spans="1:39" ht="36" customHeight="1" x14ac:dyDescent="0.3">
      <c r="A131" s="1069" t="s">
        <v>726</v>
      </c>
      <c r="B131" s="1054" t="s">
        <v>194</v>
      </c>
      <c r="C131" s="1108" t="s">
        <v>715</v>
      </c>
      <c r="D131" s="1111" t="s">
        <v>728</v>
      </c>
      <c r="E131" s="286" t="s">
        <v>442</v>
      </c>
      <c r="F131" s="236">
        <v>60</v>
      </c>
      <c r="G131" s="236">
        <v>60</v>
      </c>
      <c r="H131" s="236">
        <v>60</v>
      </c>
      <c r="I131" s="236">
        <v>60</v>
      </c>
      <c r="J131" s="236">
        <v>60</v>
      </c>
      <c r="K131" s="236">
        <v>70</v>
      </c>
      <c r="L131" s="236">
        <v>70</v>
      </c>
      <c r="M131" s="236">
        <v>70</v>
      </c>
      <c r="N131" s="236">
        <v>70</v>
      </c>
      <c r="O131" s="236">
        <v>70</v>
      </c>
      <c r="P131" s="236">
        <v>70</v>
      </c>
      <c r="Q131" s="236">
        <v>70</v>
      </c>
      <c r="R131" s="236">
        <v>70</v>
      </c>
      <c r="S131" s="236">
        <v>70</v>
      </c>
      <c r="T131" s="236">
        <v>70</v>
      </c>
      <c r="U131" s="236">
        <v>70</v>
      </c>
      <c r="V131" s="236">
        <v>70</v>
      </c>
      <c r="W131" s="236">
        <v>70</v>
      </c>
      <c r="X131" s="236">
        <v>70</v>
      </c>
      <c r="Y131" s="236">
        <v>70</v>
      </c>
      <c r="Z131" s="236">
        <v>70</v>
      </c>
      <c r="AA131" s="236">
        <v>70</v>
      </c>
      <c r="AB131" s="236">
        <v>70</v>
      </c>
      <c r="AC131" s="237">
        <v>70</v>
      </c>
      <c r="AD131" s="40"/>
      <c r="AE131" s="39"/>
      <c r="AF131" s="39"/>
      <c r="AG131" s="39"/>
      <c r="AH131" s="39"/>
      <c r="AI131" s="39"/>
      <c r="AJ131" s="39"/>
      <c r="AK131" s="39"/>
      <c r="AM131" s="50"/>
    </row>
    <row r="132" spans="1:39" ht="36" customHeight="1" x14ac:dyDescent="0.3">
      <c r="A132" s="1070"/>
      <c r="B132" s="1055"/>
      <c r="C132" s="1109"/>
      <c r="D132" s="1112"/>
      <c r="E132" s="287" t="s">
        <v>443</v>
      </c>
      <c r="F132" s="234">
        <v>60</v>
      </c>
      <c r="G132" s="234">
        <v>60</v>
      </c>
      <c r="H132" s="234">
        <v>60</v>
      </c>
      <c r="I132" s="234">
        <v>60</v>
      </c>
      <c r="J132" s="234">
        <v>60</v>
      </c>
      <c r="K132" s="234">
        <v>60</v>
      </c>
      <c r="L132" s="234">
        <v>60</v>
      </c>
      <c r="M132" s="234">
        <v>60</v>
      </c>
      <c r="N132" s="234">
        <v>60</v>
      </c>
      <c r="O132" s="234">
        <v>60</v>
      </c>
      <c r="P132" s="234">
        <v>60</v>
      </c>
      <c r="Q132" s="234">
        <v>60</v>
      </c>
      <c r="R132" s="234">
        <v>60</v>
      </c>
      <c r="S132" s="234">
        <v>60</v>
      </c>
      <c r="T132" s="234">
        <v>60</v>
      </c>
      <c r="U132" s="234">
        <v>60</v>
      </c>
      <c r="V132" s="234">
        <v>60</v>
      </c>
      <c r="W132" s="234">
        <v>60</v>
      </c>
      <c r="X132" s="234">
        <v>60</v>
      </c>
      <c r="Y132" s="234">
        <v>60</v>
      </c>
      <c r="Z132" s="234">
        <v>60</v>
      </c>
      <c r="AA132" s="234">
        <v>60</v>
      </c>
      <c r="AB132" s="234">
        <v>60</v>
      </c>
      <c r="AC132" s="238">
        <v>60</v>
      </c>
      <c r="AD132" s="40"/>
      <c r="AE132" s="39"/>
      <c r="AF132" s="39"/>
      <c r="AG132" s="39"/>
      <c r="AH132" s="39"/>
      <c r="AI132" s="39"/>
      <c r="AJ132" s="39"/>
      <c r="AK132" s="39"/>
      <c r="AM132" s="50"/>
    </row>
    <row r="133" spans="1:39" ht="36" customHeight="1" x14ac:dyDescent="0.3">
      <c r="A133" s="1071"/>
      <c r="B133" s="1061"/>
      <c r="C133" s="1110"/>
      <c r="D133" s="1113"/>
      <c r="E133" s="288" t="s">
        <v>444</v>
      </c>
      <c r="F133" s="239">
        <v>60</v>
      </c>
      <c r="G133" s="239">
        <v>60</v>
      </c>
      <c r="H133" s="239">
        <v>60</v>
      </c>
      <c r="I133" s="239">
        <v>60</v>
      </c>
      <c r="J133" s="239">
        <v>60</v>
      </c>
      <c r="K133" s="239">
        <v>60</v>
      </c>
      <c r="L133" s="239">
        <v>60</v>
      </c>
      <c r="M133" s="239">
        <v>60</v>
      </c>
      <c r="N133" s="239">
        <v>60</v>
      </c>
      <c r="O133" s="239">
        <v>60</v>
      </c>
      <c r="P133" s="239">
        <v>60</v>
      </c>
      <c r="Q133" s="239">
        <v>60</v>
      </c>
      <c r="R133" s="239">
        <v>60</v>
      </c>
      <c r="S133" s="239">
        <v>60</v>
      </c>
      <c r="T133" s="239">
        <v>60</v>
      </c>
      <c r="U133" s="239">
        <v>60</v>
      </c>
      <c r="V133" s="239">
        <v>60</v>
      </c>
      <c r="W133" s="239">
        <v>60</v>
      </c>
      <c r="X133" s="239">
        <v>60</v>
      </c>
      <c r="Y133" s="239">
        <v>60</v>
      </c>
      <c r="Z133" s="239">
        <v>60</v>
      </c>
      <c r="AA133" s="239">
        <v>60</v>
      </c>
      <c r="AB133" s="239">
        <v>60</v>
      </c>
      <c r="AC133" s="240">
        <v>60</v>
      </c>
      <c r="AD133" s="40"/>
      <c r="AE133" s="39"/>
      <c r="AF133" s="39"/>
      <c r="AG133" s="39"/>
      <c r="AH133" s="39"/>
      <c r="AI133" s="39"/>
      <c r="AJ133" s="39"/>
      <c r="AK133" s="39"/>
      <c r="AM133" s="50"/>
    </row>
    <row r="134" spans="1:39" ht="36" customHeight="1" x14ac:dyDescent="0.3">
      <c r="A134" s="1069" t="s">
        <v>726</v>
      </c>
      <c r="B134" s="1054" t="s">
        <v>194</v>
      </c>
      <c r="C134" s="1114" t="s">
        <v>716</v>
      </c>
      <c r="D134" s="1115" t="s">
        <v>728</v>
      </c>
      <c r="E134" s="289" t="s">
        <v>442</v>
      </c>
      <c r="F134" s="235">
        <v>85</v>
      </c>
      <c r="G134" s="235">
        <v>85</v>
      </c>
      <c r="H134" s="235">
        <v>85</v>
      </c>
      <c r="I134" s="235">
        <v>85</v>
      </c>
      <c r="J134" s="235">
        <v>85</v>
      </c>
      <c r="K134" s="235">
        <v>75</v>
      </c>
      <c r="L134" s="235">
        <v>75</v>
      </c>
      <c r="M134" s="235">
        <v>75</v>
      </c>
      <c r="N134" s="235">
        <v>75</v>
      </c>
      <c r="O134" s="235">
        <v>75</v>
      </c>
      <c r="P134" s="235">
        <v>75</v>
      </c>
      <c r="Q134" s="235">
        <v>75</v>
      </c>
      <c r="R134" s="235">
        <v>75</v>
      </c>
      <c r="S134" s="235">
        <v>75</v>
      </c>
      <c r="T134" s="235">
        <v>75</v>
      </c>
      <c r="U134" s="235">
        <v>75</v>
      </c>
      <c r="V134" s="235">
        <v>75</v>
      </c>
      <c r="W134" s="235">
        <v>75</v>
      </c>
      <c r="X134" s="235">
        <v>75</v>
      </c>
      <c r="Y134" s="235">
        <v>75</v>
      </c>
      <c r="Z134" s="235">
        <v>75</v>
      </c>
      <c r="AA134" s="235">
        <v>75</v>
      </c>
      <c r="AB134" s="235">
        <v>75</v>
      </c>
      <c r="AC134" s="250">
        <v>75</v>
      </c>
      <c r="AD134" s="40"/>
      <c r="AE134" s="39"/>
      <c r="AF134" s="39"/>
      <c r="AG134" s="39"/>
      <c r="AH134" s="39"/>
      <c r="AI134" s="39"/>
      <c r="AJ134" s="39"/>
      <c r="AK134" s="39"/>
      <c r="AM134" s="50"/>
    </row>
    <row r="135" spans="1:39" ht="36" customHeight="1" x14ac:dyDescent="0.3">
      <c r="A135" s="1070"/>
      <c r="B135" s="1055"/>
      <c r="C135" s="1109"/>
      <c r="D135" s="1112"/>
      <c r="E135" s="287" t="s">
        <v>443</v>
      </c>
      <c r="F135" s="234">
        <v>85</v>
      </c>
      <c r="G135" s="234">
        <v>85</v>
      </c>
      <c r="H135" s="234">
        <v>85</v>
      </c>
      <c r="I135" s="234">
        <v>85</v>
      </c>
      <c r="J135" s="234">
        <v>85</v>
      </c>
      <c r="K135" s="234">
        <v>85</v>
      </c>
      <c r="L135" s="234">
        <v>85</v>
      </c>
      <c r="M135" s="234">
        <v>85</v>
      </c>
      <c r="N135" s="234">
        <v>85</v>
      </c>
      <c r="O135" s="234">
        <v>85</v>
      </c>
      <c r="P135" s="234">
        <v>85</v>
      </c>
      <c r="Q135" s="234">
        <v>85</v>
      </c>
      <c r="R135" s="234">
        <v>85</v>
      </c>
      <c r="S135" s="234">
        <v>85</v>
      </c>
      <c r="T135" s="234">
        <v>85</v>
      </c>
      <c r="U135" s="234">
        <v>85</v>
      </c>
      <c r="V135" s="234">
        <v>85</v>
      </c>
      <c r="W135" s="234">
        <v>85</v>
      </c>
      <c r="X135" s="234">
        <v>85</v>
      </c>
      <c r="Y135" s="234">
        <v>85</v>
      </c>
      <c r="Z135" s="234">
        <v>85</v>
      </c>
      <c r="AA135" s="234">
        <v>85</v>
      </c>
      <c r="AB135" s="234">
        <v>85</v>
      </c>
      <c r="AC135" s="238">
        <v>85</v>
      </c>
      <c r="AD135" s="40"/>
      <c r="AE135" s="39"/>
      <c r="AF135" s="39"/>
      <c r="AG135" s="39"/>
      <c r="AH135" s="39"/>
      <c r="AI135" s="39"/>
      <c r="AJ135" s="39"/>
      <c r="AK135" s="39"/>
      <c r="AM135" s="50"/>
    </row>
    <row r="136" spans="1:39" ht="36" customHeight="1" x14ac:dyDescent="0.3">
      <c r="A136" s="1071"/>
      <c r="B136" s="1061"/>
      <c r="C136" s="1110"/>
      <c r="D136" s="1113"/>
      <c r="E136" s="288" t="s">
        <v>444</v>
      </c>
      <c r="F136" s="239">
        <v>85</v>
      </c>
      <c r="G136" s="239">
        <v>85</v>
      </c>
      <c r="H136" s="239">
        <v>85</v>
      </c>
      <c r="I136" s="239">
        <v>85</v>
      </c>
      <c r="J136" s="239">
        <v>85</v>
      </c>
      <c r="K136" s="239">
        <v>85</v>
      </c>
      <c r="L136" s="239">
        <v>85</v>
      </c>
      <c r="M136" s="239">
        <v>85</v>
      </c>
      <c r="N136" s="239">
        <v>85</v>
      </c>
      <c r="O136" s="239">
        <v>85</v>
      </c>
      <c r="P136" s="239">
        <v>85</v>
      </c>
      <c r="Q136" s="239">
        <v>85</v>
      </c>
      <c r="R136" s="239">
        <v>85</v>
      </c>
      <c r="S136" s="239">
        <v>85</v>
      </c>
      <c r="T136" s="239">
        <v>85</v>
      </c>
      <c r="U136" s="239">
        <v>85</v>
      </c>
      <c r="V136" s="239">
        <v>85</v>
      </c>
      <c r="W136" s="239">
        <v>85</v>
      </c>
      <c r="X136" s="239">
        <v>85</v>
      </c>
      <c r="Y136" s="239">
        <v>85</v>
      </c>
      <c r="Z136" s="239">
        <v>85</v>
      </c>
      <c r="AA136" s="239">
        <v>85</v>
      </c>
      <c r="AB136" s="239">
        <v>85</v>
      </c>
      <c r="AC136" s="240">
        <v>85</v>
      </c>
      <c r="AD136" s="40"/>
      <c r="AE136" s="39"/>
      <c r="AF136" s="39"/>
      <c r="AG136" s="39"/>
      <c r="AH136" s="39"/>
      <c r="AI136" s="39"/>
      <c r="AJ136" s="39"/>
      <c r="AK136" s="39"/>
      <c r="AM136" s="50"/>
    </row>
    <row r="137" spans="1:39" ht="24.6" customHeight="1" x14ac:dyDescent="0.3">
      <c r="A137" s="1099" t="s">
        <v>155</v>
      </c>
      <c r="B137" s="1100"/>
      <c r="C137" s="1100"/>
      <c r="D137" s="1100"/>
      <c r="E137" s="1100"/>
      <c r="F137" s="1100"/>
      <c r="G137" s="1100"/>
      <c r="H137" s="1100"/>
      <c r="I137" s="1100"/>
      <c r="J137" s="1100"/>
      <c r="K137" s="1100"/>
      <c r="L137" s="1100"/>
      <c r="M137" s="1100"/>
      <c r="N137" s="1100"/>
      <c r="O137" s="1100"/>
      <c r="P137" s="1100"/>
      <c r="Q137" s="1100"/>
      <c r="R137" s="1100"/>
      <c r="S137" s="1100"/>
      <c r="T137" s="1100"/>
      <c r="U137" s="1100"/>
      <c r="V137" s="1100"/>
      <c r="W137" s="1100"/>
      <c r="X137" s="1100"/>
      <c r="Y137" s="1100"/>
      <c r="Z137" s="1100"/>
      <c r="AA137" s="1100"/>
      <c r="AB137" s="1100"/>
      <c r="AC137" s="1101"/>
      <c r="AD137" s="39"/>
      <c r="AE137" s="39"/>
      <c r="AF137" s="39"/>
      <c r="AG137" s="39"/>
      <c r="AH137" s="39"/>
      <c r="AI137" s="39"/>
      <c r="AJ137" s="39"/>
      <c r="AK137" s="39"/>
    </row>
    <row r="138" spans="1:39" ht="30.6" customHeight="1" x14ac:dyDescent="0.3">
      <c r="A138" s="1102" t="s">
        <v>732</v>
      </c>
      <c r="B138" s="1105" t="s">
        <v>155</v>
      </c>
      <c r="C138" s="1105" t="s">
        <v>707</v>
      </c>
      <c r="D138" s="993" t="s">
        <v>733</v>
      </c>
      <c r="E138" s="290" t="s">
        <v>442</v>
      </c>
      <c r="F138" s="291">
        <v>0.05</v>
      </c>
      <c r="G138" s="291">
        <v>0</v>
      </c>
      <c r="H138" s="291">
        <v>0</v>
      </c>
      <c r="I138" s="291">
        <v>0</v>
      </c>
      <c r="J138" s="291">
        <v>0</v>
      </c>
      <c r="K138" s="291">
        <v>0.05</v>
      </c>
      <c r="L138" s="291">
        <v>0.1</v>
      </c>
      <c r="M138" s="291">
        <v>0.4</v>
      </c>
      <c r="N138" s="291">
        <v>0.4</v>
      </c>
      <c r="O138" s="291">
        <v>0.4</v>
      </c>
      <c r="P138" s="291">
        <v>0.2</v>
      </c>
      <c r="Q138" s="291">
        <v>0.5</v>
      </c>
      <c r="R138" s="291">
        <v>0.8</v>
      </c>
      <c r="S138" s="291">
        <v>0.7</v>
      </c>
      <c r="T138" s="291">
        <v>0.4</v>
      </c>
      <c r="U138" s="291">
        <v>0.2</v>
      </c>
      <c r="V138" s="291">
        <v>0.25</v>
      </c>
      <c r="W138" s="291">
        <v>0.5</v>
      </c>
      <c r="X138" s="291">
        <v>0.8</v>
      </c>
      <c r="Y138" s="291">
        <v>0.8</v>
      </c>
      <c r="Z138" s="291">
        <v>0.8</v>
      </c>
      <c r="AA138" s="291">
        <v>0.5</v>
      </c>
      <c r="AB138" s="291">
        <v>0.35</v>
      </c>
      <c r="AC138" s="292">
        <v>0.2</v>
      </c>
      <c r="AD138" s="39"/>
      <c r="AE138" s="39"/>
      <c r="AF138" s="39"/>
      <c r="AG138" s="39"/>
      <c r="AH138" s="39"/>
      <c r="AI138" s="39"/>
      <c r="AJ138" s="39"/>
      <c r="AK138" s="39"/>
    </row>
    <row r="139" spans="1:39" ht="30.6" customHeight="1" x14ac:dyDescent="0.3">
      <c r="A139" s="1103"/>
      <c r="B139" s="1106"/>
      <c r="C139" s="1106"/>
      <c r="D139" s="994"/>
      <c r="E139" s="293" t="s">
        <v>443</v>
      </c>
      <c r="F139" s="294">
        <v>0.05</v>
      </c>
      <c r="G139" s="294">
        <v>0</v>
      </c>
      <c r="H139" s="294">
        <v>0</v>
      </c>
      <c r="I139" s="294">
        <v>0</v>
      </c>
      <c r="J139" s="294">
        <v>0</v>
      </c>
      <c r="K139" s="294">
        <v>0</v>
      </c>
      <c r="L139" s="294">
        <v>0.05</v>
      </c>
      <c r="M139" s="294">
        <v>0.5</v>
      </c>
      <c r="N139" s="294">
        <v>0.5</v>
      </c>
      <c r="O139" s="294">
        <v>0.4</v>
      </c>
      <c r="P139" s="294">
        <v>0.2</v>
      </c>
      <c r="Q139" s="294">
        <v>0.45</v>
      </c>
      <c r="R139" s="294">
        <v>0.5</v>
      </c>
      <c r="S139" s="294">
        <v>0.5</v>
      </c>
      <c r="T139" s="294">
        <v>0.35</v>
      </c>
      <c r="U139" s="294">
        <v>0.3</v>
      </c>
      <c r="V139" s="294">
        <v>0.3</v>
      </c>
      <c r="W139" s="294">
        <v>0.3</v>
      </c>
      <c r="X139" s="294">
        <v>0.7</v>
      </c>
      <c r="Y139" s="294">
        <v>0.9</v>
      </c>
      <c r="Z139" s="294">
        <v>0.7</v>
      </c>
      <c r="AA139" s="294">
        <v>0.65</v>
      </c>
      <c r="AB139" s="294">
        <v>0.55000000000000004</v>
      </c>
      <c r="AC139" s="295">
        <v>0.35</v>
      </c>
      <c r="AD139" s="39"/>
      <c r="AE139" s="39"/>
      <c r="AF139" s="39"/>
      <c r="AG139" s="39"/>
      <c r="AH139" s="39"/>
      <c r="AI139" s="39"/>
      <c r="AJ139" s="39"/>
      <c r="AK139" s="39"/>
    </row>
    <row r="140" spans="1:39" ht="30.6" customHeight="1" thickBot="1" x14ac:dyDescent="0.35">
      <c r="A140" s="1104"/>
      <c r="B140" s="1107"/>
      <c r="C140" s="1107"/>
      <c r="D140" s="995"/>
      <c r="E140" s="296" t="s">
        <v>444</v>
      </c>
      <c r="F140" s="297">
        <v>0.05</v>
      </c>
      <c r="G140" s="297">
        <v>0</v>
      </c>
      <c r="H140" s="297">
        <v>0</v>
      </c>
      <c r="I140" s="297">
        <v>0</v>
      </c>
      <c r="J140" s="297">
        <v>0</v>
      </c>
      <c r="K140" s="297">
        <v>0</v>
      </c>
      <c r="L140" s="297">
        <v>0.05</v>
      </c>
      <c r="M140" s="297">
        <v>0.5</v>
      </c>
      <c r="N140" s="297">
        <v>0.5</v>
      </c>
      <c r="O140" s="297">
        <v>0.2</v>
      </c>
      <c r="P140" s="297">
        <v>0.2</v>
      </c>
      <c r="Q140" s="297">
        <v>0.3</v>
      </c>
      <c r="R140" s="297">
        <v>0.5</v>
      </c>
      <c r="S140" s="297">
        <v>0.5</v>
      </c>
      <c r="T140" s="297">
        <v>0.3</v>
      </c>
      <c r="U140" s="297">
        <v>0.2</v>
      </c>
      <c r="V140" s="297">
        <v>0.25</v>
      </c>
      <c r="W140" s="297">
        <v>0.35</v>
      </c>
      <c r="X140" s="297">
        <v>0.55000000000000004</v>
      </c>
      <c r="Y140" s="297">
        <v>0.65</v>
      </c>
      <c r="Z140" s="297">
        <v>0.7</v>
      </c>
      <c r="AA140" s="297">
        <v>0.35</v>
      </c>
      <c r="AB140" s="297">
        <v>0.2</v>
      </c>
      <c r="AC140" s="298">
        <v>0.2</v>
      </c>
      <c r="AD140" s="39"/>
      <c r="AE140" s="39"/>
      <c r="AF140" s="39"/>
      <c r="AG140" s="39"/>
      <c r="AH140" s="39"/>
      <c r="AI140" s="39"/>
      <c r="AJ140" s="39"/>
      <c r="AK140" s="39"/>
    </row>
    <row r="141" spans="1:39" ht="30.6" customHeight="1" x14ac:dyDescent="0.3">
      <c r="A141" s="1102" t="str">
        <f>A138</f>
        <v>Dining and Café</v>
      </c>
      <c r="B141" s="1105" t="s">
        <v>155</v>
      </c>
      <c r="C141" s="1124" t="s">
        <v>709</v>
      </c>
      <c r="D141" s="993" t="s">
        <v>734</v>
      </c>
      <c r="E141" s="299" t="s">
        <v>442</v>
      </c>
      <c r="F141" s="300">
        <v>0.15</v>
      </c>
      <c r="G141" s="300">
        <v>0.15</v>
      </c>
      <c r="H141" s="300">
        <v>0.15</v>
      </c>
      <c r="I141" s="300">
        <v>0.15</v>
      </c>
      <c r="J141" s="300">
        <v>0.15</v>
      </c>
      <c r="K141" s="300">
        <v>0.2</v>
      </c>
      <c r="L141" s="301">
        <v>0.3</v>
      </c>
      <c r="M141" s="301">
        <f t="shared" ref="M141:AA143" si="4">M144-5%</f>
        <v>0.66999999999999993</v>
      </c>
      <c r="N141" s="301">
        <f t="shared" si="4"/>
        <v>0.73</v>
      </c>
      <c r="O141" s="301">
        <f t="shared" si="4"/>
        <v>0.75</v>
      </c>
      <c r="P141" s="301">
        <f t="shared" si="4"/>
        <v>0.85</v>
      </c>
      <c r="Q141" s="301">
        <f t="shared" si="4"/>
        <v>0.85</v>
      </c>
      <c r="R141" s="301">
        <f t="shared" si="4"/>
        <v>0.85</v>
      </c>
      <c r="S141" s="301">
        <f t="shared" si="4"/>
        <v>0.83</v>
      </c>
      <c r="T141" s="301">
        <f t="shared" si="4"/>
        <v>0.72</v>
      </c>
      <c r="U141" s="301">
        <f t="shared" si="4"/>
        <v>0.64999999999999991</v>
      </c>
      <c r="V141" s="301">
        <f t="shared" si="4"/>
        <v>0.66999999999999993</v>
      </c>
      <c r="W141" s="301">
        <f t="shared" si="4"/>
        <v>0.75</v>
      </c>
      <c r="X141" s="301">
        <f t="shared" si="4"/>
        <v>0.85</v>
      </c>
      <c r="Y141" s="301">
        <f t="shared" si="4"/>
        <v>0.85</v>
      </c>
      <c r="Z141" s="301">
        <f t="shared" si="4"/>
        <v>0.85</v>
      </c>
      <c r="AA141" s="301">
        <f t="shared" si="4"/>
        <v>0.75</v>
      </c>
      <c r="AB141" s="301">
        <f>AB144-5%</f>
        <v>0.56999999999999995</v>
      </c>
      <c r="AC141" s="302">
        <v>0.3</v>
      </c>
      <c r="AD141" s="39"/>
      <c r="AE141" s="39"/>
      <c r="AF141" s="39"/>
      <c r="AG141" s="39"/>
      <c r="AH141" s="39"/>
      <c r="AI141" s="39"/>
      <c r="AJ141" s="39"/>
      <c r="AK141" s="39"/>
    </row>
    <row r="142" spans="1:39" ht="30.6" customHeight="1" x14ac:dyDescent="0.3">
      <c r="A142" s="1103"/>
      <c r="B142" s="1106"/>
      <c r="C142" s="1125"/>
      <c r="D142" s="994"/>
      <c r="E142" s="303" t="s">
        <v>443</v>
      </c>
      <c r="F142" s="304">
        <f>F145</f>
        <v>0.15</v>
      </c>
      <c r="G142" s="294">
        <v>0.15</v>
      </c>
      <c r="H142" s="294">
        <v>0.15</v>
      </c>
      <c r="I142" s="294">
        <v>0.15</v>
      </c>
      <c r="J142" s="294">
        <v>0.15</v>
      </c>
      <c r="K142" s="304">
        <f>K145</f>
        <v>0.2</v>
      </c>
      <c r="L142" s="294">
        <v>0.3</v>
      </c>
      <c r="M142" s="304">
        <f t="shared" si="4"/>
        <v>0.66999999999999993</v>
      </c>
      <c r="N142" s="304">
        <f t="shared" si="4"/>
        <v>0.73</v>
      </c>
      <c r="O142" s="304">
        <f t="shared" si="4"/>
        <v>0.75</v>
      </c>
      <c r="P142" s="304">
        <f t="shared" si="4"/>
        <v>0.85</v>
      </c>
      <c r="Q142" s="304">
        <f t="shared" si="4"/>
        <v>0.85</v>
      </c>
      <c r="R142" s="304">
        <f t="shared" si="4"/>
        <v>0.85</v>
      </c>
      <c r="S142" s="304">
        <f t="shared" si="4"/>
        <v>0.83</v>
      </c>
      <c r="T142" s="304">
        <f t="shared" si="4"/>
        <v>0.72</v>
      </c>
      <c r="U142" s="304">
        <f t="shared" si="4"/>
        <v>0.64999999999999991</v>
      </c>
      <c r="V142" s="304">
        <f t="shared" si="4"/>
        <v>0.66999999999999993</v>
      </c>
      <c r="W142" s="304">
        <f t="shared" si="4"/>
        <v>0.75</v>
      </c>
      <c r="X142" s="304">
        <f t="shared" si="4"/>
        <v>0.85</v>
      </c>
      <c r="Y142" s="304">
        <f t="shared" si="4"/>
        <v>0.85</v>
      </c>
      <c r="Z142" s="304">
        <f t="shared" si="4"/>
        <v>0.85</v>
      </c>
      <c r="AA142" s="304">
        <f t="shared" si="4"/>
        <v>0.75</v>
      </c>
      <c r="AB142" s="304">
        <f>AB145-5%</f>
        <v>0.56999999999999995</v>
      </c>
      <c r="AC142" s="305">
        <v>0.3</v>
      </c>
      <c r="AD142" s="39"/>
      <c r="AE142" s="39"/>
      <c r="AF142" s="39"/>
      <c r="AG142" s="39"/>
      <c r="AH142" s="39"/>
      <c r="AI142" s="39"/>
      <c r="AJ142" s="39"/>
      <c r="AK142" s="39"/>
    </row>
    <row r="143" spans="1:39" ht="30.6" customHeight="1" thickBot="1" x14ac:dyDescent="0.35">
      <c r="A143" s="1104"/>
      <c r="B143" s="1107"/>
      <c r="C143" s="1126"/>
      <c r="D143" s="995"/>
      <c r="E143" s="306" t="s">
        <v>444</v>
      </c>
      <c r="F143" s="307">
        <v>0.2</v>
      </c>
      <c r="G143" s="307">
        <v>0.15</v>
      </c>
      <c r="H143" s="307">
        <v>0.15</v>
      </c>
      <c r="I143" s="307">
        <v>0.15</v>
      </c>
      <c r="J143" s="307">
        <v>0.15</v>
      </c>
      <c r="K143" s="307">
        <v>0.15</v>
      </c>
      <c r="L143" s="307">
        <v>0.3</v>
      </c>
      <c r="M143" s="308">
        <f t="shared" si="4"/>
        <v>0.66999999999999993</v>
      </c>
      <c r="N143" s="308">
        <f t="shared" si="4"/>
        <v>0.73</v>
      </c>
      <c r="O143" s="308">
        <f t="shared" si="4"/>
        <v>0.75</v>
      </c>
      <c r="P143" s="308">
        <f t="shared" si="4"/>
        <v>0.85</v>
      </c>
      <c r="Q143" s="308">
        <f t="shared" si="4"/>
        <v>0.85</v>
      </c>
      <c r="R143" s="308">
        <f t="shared" si="4"/>
        <v>0.85</v>
      </c>
      <c r="S143" s="308">
        <f t="shared" si="4"/>
        <v>0.83</v>
      </c>
      <c r="T143" s="308">
        <f t="shared" si="4"/>
        <v>0.72</v>
      </c>
      <c r="U143" s="308">
        <f t="shared" si="4"/>
        <v>0.64999999999999991</v>
      </c>
      <c r="V143" s="308">
        <f t="shared" si="4"/>
        <v>0.66999999999999993</v>
      </c>
      <c r="W143" s="308">
        <f t="shared" si="4"/>
        <v>0.75</v>
      </c>
      <c r="X143" s="308">
        <f t="shared" si="4"/>
        <v>0.85</v>
      </c>
      <c r="Y143" s="308">
        <f t="shared" si="4"/>
        <v>0.85</v>
      </c>
      <c r="Z143" s="308">
        <f t="shared" si="4"/>
        <v>0.85</v>
      </c>
      <c r="AA143" s="308">
        <f t="shared" si="4"/>
        <v>0.75</v>
      </c>
      <c r="AB143" s="308">
        <f>AB146-5%</f>
        <v>0.56999999999999995</v>
      </c>
      <c r="AC143" s="309">
        <v>0.3</v>
      </c>
      <c r="AD143" s="39"/>
      <c r="AE143" s="39"/>
      <c r="AF143" s="39"/>
      <c r="AG143" s="39"/>
      <c r="AH143" s="39"/>
      <c r="AI143" s="39"/>
      <c r="AJ143" s="39"/>
      <c r="AK143" s="39"/>
    </row>
    <row r="144" spans="1:39" ht="30.6" customHeight="1" x14ac:dyDescent="0.3">
      <c r="A144" s="1116" t="str">
        <f>A138</f>
        <v>Dining and Café</v>
      </c>
      <c r="B144" s="1117" t="s">
        <v>155</v>
      </c>
      <c r="C144" s="1124" t="s">
        <v>710</v>
      </c>
      <c r="D144" s="1130" t="s">
        <v>594</v>
      </c>
      <c r="E144" s="310" t="s">
        <v>442</v>
      </c>
      <c r="F144" s="291">
        <v>0.15</v>
      </c>
      <c r="G144" s="291">
        <v>0.15</v>
      </c>
      <c r="H144" s="291">
        <v>0.15</v>
      </c>
      <c r="I144" s="291">
        <v>0.15</v>
      </c>
      <c r="J144" s="291">
        <v>0.15</v>
      </c>
      <c r="K144" s="291">
        <v>0.2</v>
      </c>
      <c r="L144" s="311">
        <v>0.3</v>
      </c>
      <c r="M144" s="311">
        <v>0.72</v>
      </c>
      <c r="N144" s="311">
        <v>0.78</v>
      </c>
      <c r="O144" s="311">
        <v>0.8</v>
      </c>
      <c r="P144" s="291">
        <v>0.9</v>
      </c>
      <c r="Q144" s="291">
        <v>0.9</v>
      </c>
      <c r="R144" s="291">
        <v>0.9</v>
      </c>
      <c r="S144" s="311">
        <v>0.88</v>
      </c>
      <c r="T144" s="311">
        <v>0.77</v>
      </c>
      <c r="U144" s="311">
        <v>0.7</v>
      </c>
      <c r="V144" s="311">
        <v>0.72</v>
      </c>
      <c r="W144" s="311">
        <v>0.8</v>
      </c>
      <c r="X144" s="291">
        <v>0.9</v>
      </c>
      <c r="Y144" s="291">
        <v>0.9</v>
      </c>
      <c r="Z144" s="291">
        <v>0.9</v>
      </c>
      <c r="AA144" s="311">
        <v>0.8</v>
      </c>
      <c r="AB144" s="311">
        <v>0.62</v>
      </c>
      <c r="AC144" s="292">
        <v>0.3</v>
      </c>
      <c r="AD144" s="39"/>
      <c r="AE144" s="39"/>
      <c r="AF144" s="39"/>
      <c r="AG144" s="39"/>
      <c r="AH144" s="39"/>
      <c r="AI144" s="39"/>
      <c r="AJ144" s="39"/>
      <c r="AK144" s="39"/>
    </row>
    <row r="145" spans="1:37" ht="30.6" customHeight="1" x14ac:dyDescent="0.3">
      <c r="A145" s="1103"/>
      <c r="B145" s="1106"/>
      <c r="C145" s="1125"/>
      <c r="D145" s="1130"/>
      <c r="E145" s="312" t="s">
        <v>443</v>
      </c>
      <c r="F145" s="273">
        <v>0.15</v>
      </c>
      <c r="G145" s="294">
        <v>0.15</v>
      </c>
      <c r="H145" s="294">
        <v>0.15</v>
      </c>
      <c r="I145" s="294">
        <v>0.15</v>
      </c>
      <c r="J145" s="294">
        <v>0.15</v>
      </c>
      <c r="K145" s="273">
        <v>0.2</v>
      </c>
      <c r="L145" s="294">
        <v>0.3</v>
      </c>
      <c r="M145" s="273">
        <v>0.72</v>
      </c>
      <c r="N145" s="273">
        <v>0.78</v>
      </c>
      <c r="O145" s="273">
        <v>0.8</v>
      </c>
      <c r="P145" s="273">
        <v>0.9</v>
      </c>
      <c r="Q145" s="273">
        <v>0.9</v>
      </c>
      <c r="R145" s="273">
        <v>0.9</v>
      </c>
      <c r="S145" s="273">
        <v>0.88</v>
      </c>
      <c r="T145" s="273">
        <v>0.77</v>
      </c>
      <c r="U145" s="273">
        <v>0.7</v>
      </c>
      <c r="V145" s="273">
        <v>0.72</v>
      </c>
      <c r="W145" s="273">
        <v>0.8</v>
      </c>
      <c r="X145" s="294">
        <v>0.9</v>
      </c>
      <c r="Y145" s="294">
        <v>0.9</v>
      </c>
      <c r="Z145" s="294">
        <v>0.9</v>
      </c>
      <c r="AA145" s="273">
        <v>0.8</v>
      </c>
      <c r="AB145" s="273">
        <v>0.62</v>
      </c>
      <c r="AC145" s="295">
        <v>0.3</v>
      </c>
      <c r="AD145" s="39"/>
      <c r="AE145" s="39"/>
      <c r="AF145" s="39"/>
      <c r="AG145" s="39"/>
      <c r="AH145" s="39"/>
      <c r="AI145" s="39"/>
      <c r="AJ145" s="39"/>
      <c r="AK145" s="39"/>
    </row>
    <row r="146" spans="1:37" ht="30.6" customHeight="1" x14ac:dyDescent="0.3">
      <c r="A146" s="1127"/>
      <c r="B146" s="1128"/>
      <c r="C146" s="1129"/>
      <c r="D146" s="1130"/>
      <c r="E146" s="338" t="s">
        <v>444</v>
      </c>
      <c r="F146" s="382">
        <v>0.2</v>
      </c>
      <c r="G146" s="307">
        <v>0.15</v>
      </c>
      <c r="H146" s="307">
        <v>0.15</v>
      </c>
      <c r="I146" s="307">
        <v>0.15</v>
      </c>
      <c r="J146" s="307">
        <v>0.15</v>
      </c>
      <c r="K146" s="382">
        <v>0.15</v>
      </c>
      <c r="L146" s="307">
        <v>0.3</v>
      </c>
      <c r="M146" s="382">
        <v>0.72</v>
      </c>
      <c r="N146" s="382">
        <v>0.78</v>
      </c>
      <c r="O146" s="382">
        <v>0.8</v>
      </c>
      <c r="P146" s="382">
        <v>0.9</v>
      </c>
      <c r="Q146" s="382">
        <v>0.9</v>
      </c>
      <c r="R146" s="382">
        <v>0.9</v>
      </c>
      <c r="S146" s="382">
        <v>0.88</v>
      </c>
      <c r="T146" s="382">
        <v>0.77</v>
      </c>
      <c r="U146" s="382">
        <v>0.7</v>
      </c>
      <c r="V146" s="382">
        <v>0.72</v>
      </c>
      <c r="W146" s="382">
        <v>0.8</v>
      </c>
      <c r="X146" s="382">
        <v>0.9</v>
      </c>
      <c r="Y146" s="382">
        <v>0.9</v>
      </c>
      <c r="Z146" s="382">
        <v>0.9</v>
      </c>
      <c r="AA146" s="382">
        <v>0.8</v>
      </c>
      <c r="AB146" s="382">
        <v>0.62</v>
      </c>
      <c r="AC146" s="337">
        <v>0.3</v>
      </c>
      <c r="AD146" s="39"/>
      <c r="AE146" s="39"/>
      <c r="AF146" s="39"/>
      <c r="AG146" s="39"/>
      <c r="AH146" s="39"/>
      <c r="AI146" s="39"/>
      <c r="AJ146" s="39"/>
      <c r="AK146" s="39"/>
    </row>
    <row r="147" spans="1:37" ht="30.6" customHeight="1" x14ac:dyDescent="0.3">
      <c r="A147" s="1131" t="str">
        <f>A141</f>
        <v>Dining and Café</v>
      </c>
      <c r="B147" s="1134" t="str">
        <f>B141</f>
        <v>Restaurant</v>
      </c>
      <c r="C147" s="1137" t="s">
        <v>713</v>
      </c>
      <c r="D147" s="1139" t="s">
        <v>735</v>
      </c>
      <c r="E147" s="384" t="s">
        <v>442</v>
      </c>
      <c r="F147" s="385">
        <v>0.9</v>
      </c>
      <c r="G147" s="385">
        <v>0.9</v>
      </c>
      <c r="H147" s="385">
        <v>0.9</v>
      </c>
      <c r="I147" s="385">
        <v>0.9</v>
      </c>
      <c r="J147" s="385">
        <v>0.9</v>
      </c>
      <c r="K147" s="385">
        <v>0.9</v>
      </c>
      <c r="L147" s="385">
        <v>0.9</v>
      </c>
      <c r="M147" s="385">
        <v>0.9</v>
      </c>
      <c r="N147" s="385">
        <v>0.9</v>
      </c>
      <c r="O147" s="385">
        <v>0.9</v>
      </c>
      <c r="P147" s="385">
        <v>0.9</v>
      </c>
      <c r="Q147" s="385">
        <v>0.9</v>
      </c>
      <c r="R147" s="385">
        <v>0.9</v>
      </c>
      <c r="S147" s="385">
        <v>0.9</v>
      </c>
      <c r="T147" s="385">
        <v>0.9</v>
      </c>
      <c r="U147" s="385">
        <v>0.9</v>
      </c>
      <c r="V147" s="385">
        <v>0.9</v>
      </c>
      <c r="W147" s="385">
        <v>0.9</v>
      </c>
      <c r="X147" s="385">
        <v>0.9</v>
      </c>
      <c r="Y147" s="385">
        <v>0.9</v>
      </c>
      <c r="Z147" s="385">
        <v>0.9</v>
      </c>
      <c r="AA147" s="385">
        <v>0.9</v>
      </c>
      <c r="AB147" s="385">
        <v>0.9</v>
      </c>
      <c r="AC147" s="386">
        <v>0.9</v>
      </c>
      <c r="AD147" s="39"/>
      <c r="AE147" s="39"/>
      <c r="AF147" s="39"/>
      <c r="AG147" s="39"/>
      <c r="AH147" s="39"/>
      <c r="AI147" s="39"/>
      <c r="AJ147" s="39"/>
      <c r="AK147" s="39"/>
    </row>
    <row r="148" spans="1:37" ht="30.6" customHeight="1" x14ac:dyDescent="0.3">
      <c r="A148" s="1132"/>
      <c r="B148" s="1135"/>
      <c r="C148" s="1063"/>
      <c r="D148" s="1140"/>
      <c r="E148" s="387" t="s">
        <v>443</v>
      </c>
      <c r="F148" s="381">
        <v>0.9</v>
      </c>
      <c r="G148" s="381">
        <v>0.9</v>
      </c>
      <c r="H148" s="381">
        <v>0.9</v>
      </c>
      <c r="I148" s="381">
        <v>0.9</v>
      </c>
      <c r="J148" s="381">
        <v>0.9</v>
      </c>
      <c r="K148" s="381">
        <v>0.9</v>
      </c>
      <c r="L148" s="381">
        <v>0.9</v>
      </c>
      <c r="M148" s="381">
        <v>0.9</v>
      </c>
      <c r="N148" s="381">
        <v>0.9</v>
      </c>
      <c r="O148" s="381">
        <v>0.9</v>
      </c>
      <c r="P148" s="381">
        <v>0.9</v>
      </c>
      <c r="Q148" s="381">
        <v>0.9</v>
      </c>
      <c r="R148" s="381">
        <v>0.9</v>
      </c>
      <c r="S148" s="381">
        <v>0.9</v>
      </c>
      <c r="T148" s="381">
        <v>0.9</v>
      </c>
      <c r="U148" s="381">
        <v>0.9</v>
      </c>
      <c r="V148" s="381">
        <v>0.9</v>
      </c>
      <c r="W148" s="381">
        <v>0.9</v>
      </c>
      <c r="X148" s="381">
        <v>0.9</v>
      </c>
      <c r="Y148" s="381">
        <v>0.9</v>
      </c>
      <c r="Z148" s="381">
        <v>0.9</v>
      </c>
      <c r="AA148" s="381">
        <v>0.9</v>
      </c>
      <c r="AB148" s="381">
        <v>0.9</v>
      </c>
      <c r="AC148" s="388">
        <v>0.9</v>
      </c>
      <c r="AD148" s="39"/>
      <c r="AE148" s="39"/>
      <c r="AF148" s="39"/>
      <c r="AG148" s="39"/>
      <c r="AH148" s="39"/>
      <c r="AI148" s="39"/>
      <c r="AJ148" s="39"/>
      <c r="AK148" s="39"/>
    </row>
    <row r="149" spans="1:37" ht="30.6" customHeight="1" x14ac:dyDescent="0.3">
      <c r="A149" s="1133"/>
      <c r="B149" s="1136"/>
      <c r="C149" s="1138"/>
      <c r="D149" s="1141"/>
      <c r="E149" s="389" t="s">
        <v>444</v>
      </c>
      <c r="F149" s="390">
        <v>0.9</v>
      </c>
      <c r="G149" s="390">
        <v>0.9</v>
      </c>
      <c r="H149" s="390">
        <v>0.9</v>
      </c>
      <c r="I149" s="390">
        <v>0.9</v>
      </c>
      <c r="J149" s="390">
        <v>0.9</v>
      </c>
      <c r="K149" s="390">
        <v>0.9</v>
      </c>
      <c r="L149" s="390">
        <v>0.9</v>
      </c>
      <c r="M149" s="390">
        <v>0.9</v>
      </c>
      <c r="N149" s="390">
        <v>0.9</v>
      </c>
      <c r="O149" s="390">
        <v>0.9</v>
      </c>
      <c r="P149" s="390">
        <v>0.9</v>
      </c>
      <c r="Q149" s="390">
        <v>0.9</v>
      </c>
      <c r="R149" s="390">
        <v>0.9</v>
      </c>
      <c r="S149" s="390">
        <v>0.9</v>
      </c>
      <c r="T149" s="390">
        <v>0.9</v>
      </c>
      <c r="U149" s="390">
        <v>0.9</v>
      </c>
      <c r="V149" s="390">
        <v>0.9</v>
      </c>
      <c r="W149" s="390">
        <v>0.9</v>
      </c>
      <c r="X149" s="390">
        <v>0.9</v>
      </c>
      <c r="Y149" s="390">
        <v>0.9</v>
      </c>
      <c r="Z149" s="390">
        <v>0.9</v>
      </c>
      <c r="AA149" s="390">
        <v>0.9</v>
      </c>
      <c r="AB149" s="390">
        <v>0.9</v>
      </c>
      <c r="AC149" s="391">
        <v>0.9</v>
      </c>
      <c r="AD149" s="39"/>
      <c r="AE149" s="39"/>
      <c r="AF149" s="39"/>
      <c r="AG149" s="39"/>
      <c r="AH149" s="39"/>
      <c r="AI149" s="39"/>
      <c r="AJ149" s="39"/>
      <c r="AK149" s="39"/>
    </row>
    <row r="150" spans="1:37" ht="30.6" customHeight="1" x14ac:dyDescent="0.3">
      <c r="A150" s="1116" t="str">
        <f>A138</f>
        <v>Dining and Café</v>
      </c>
      <c r="B150" s="1117" t="s">
        <v>155</v>
      </c>
      <c r="C150" s="1118" t="s">
        <v>714</v>
      </c>
      <c r="D150" s="1121" t="s">
        <v>736</v>
      </c>
      <c r="E150" s="392" t="s">
        <v>442</v>
      </c>
      <c r="F150" s="300">
        <v>1</v>
      </c>
      <c r="G150" s="301">
        <v>0</v>
      </c>
      <c r="H150" s="301">
        <v>0</v>
      </c>
      <c r="I150" s="300">
        <v>0</v>
      </c>
      <c r="J150" s="301">
        <v>1</v>
      </c>
      <c r="K150" s="301">
        <v>1</v>
      </c>
      <c r="L150" s="300">
        <v>1</v>
      </c>
      <c r="M150" s="300">
        <v>1</v>
      </c>
      <c r="N150" s="300">
        <v>1</v>
      </c>
      <c r="O150" s="300">
        <v>1</v>
      </c>
      <c r="P150" s="300">
        <v>1</v>
      </c>
      <c r="Q150" s="300">
        <v>1</v>
      </c>
      <c r="R150" s="300">
        <v>1</v>
      </c>
      <c r="S150" s="300">
        <v>1</v>
      </c>
      <c r="T150" s="300">
        <v>1</v>
      </c>
      <c r="U150" s="300">
        <v>1</v>
      </c>
      <c r="V150" s="300">
        <v>1</v>
      </c>
      <c r="W150" s="300">
        <v>1</v>
      </c>
      <c r="X150" s="300">
        <v>1</v>
      </c>
      <c r="Y150" s="300">
        <v>1</v>
      </c>
      <c r="Z150" s="300">
        <v>1</v>
      </c>
      <c r="AA150" s="300">
        <v>1</v>
      </c>
      <c r="AB150" s="300">
        <v>1</v>
      </c>
      <c r="AC150" s="383">
        <v>1</v>
      </c>
      <c r="AD150" s="39"/>
      <c r="AE150" s="39"/>
      <c r="AF150" s="39"/>
      <c r="AG150" s="39"/>
      <c r="AH150" s="39"/>
      <c r="AI150" s="39"/>
      <c r="AJ150" s="39"/>
      <c r="AK150" s="39"/>
    </row>
    <row r="151" spans="1:37" ht="30.6" customHeight="1" x14ac:dyDescent="0.3">
      <c r="A151" s="1103"/>
      <c r="B151" s="1106"/>
      <c r="C151" s="1119"/>
      <c r="D151" s="1121"/>
      <c r="E151" s="312" t="s">
        <v>443</v>
      </c>
      <c r="F151" s="294">
        <v>1</v>
      </c>
      <c r="G151" s="301">
        <v>0</v>
      </c>
      <c r="H151" s="301">
        <v>0</v>
      </c>
      <c r="I151" s="294">
        <v>0</v>
      </c>
      <c r="J151" s="294">
        <v>0</v>
      </c>
      <c r="K151" s="304">
        <v>1</v>
      </c>
      <c r="L151" s="304">
        <v>1</v>
      </c>
      <c r="M151" s="304">
        <v>1</v>
      </c>
      <c r="N151" s="294">
        <v>1</v>
      </c>
      <c r="O151" s="294">
        <v>1</v>
      </c>
      <c r="P151" s="294">
        <v>1</v>
      </c>
      <c r="Q151" s="294">
        <v>1</v>
      </c>
      <c r="R151" s="294">
        <v>1</v>
      </c>
      <c r="S151" s="294">
        <v>1</v>
      </c>
      <c r="T151" s="294">
        <v>1</v>
      </c>
      <c r="U151" s="294">
        <v>1</v>
      </c>
      <c r="V151" s="294">
        <v>1</v>
      </c>
      <c r="W151" s="294">
        <v>1</v>
      </c>
      <c r="X151" s="294">
        <v>1</v>
      </c>
      <c r="Y151" s="294">
        <v>1</v>
      </c>
      <c r="Z151" s="294">
        <v>1</v>
      </c>
      <c r="AA151" s="294">
        <v>1</v>
      </c>
      <c r="AB151" s="294">
        <v>1</v>
      </c>
      <c r="AC151" s="295">
        <v>1</v>
      </c>
      <c r="AD151" s="39"/>
      <c r="AE151" s="39"/>
      <c r="AF151" s="39"/>
      <c r="AG151" s="39"/>
      <c r="AH151" s="39"/>
      <c r="AI151" s="39"/>
      <c r="AJ151" s="39"/>
      <c r="AK151" s="39"/>
    </row>
    <row r="152" spans="1:37" ht="30.6" customHeight="1" thickBot="1" x14ac:dyDescent="0.35">
      <c r="A152" s="1104"/>
      <c r="B152" s="1107"/>
      <c r="C152" s="1120"/>
      <c r="D152" s="1122"/>
      <c r="E152" s="313" t="s">
        <v>444</v>
      </c>
      <c r="F152" s="297">
        <v>1</v>
      </c>
      <c r="G152" s="316">
        <v>0</v>
      </c>
      <c r="H152" s="316">
        <v>0</v>
      </c>
      <c r="I152" s="297">
        <v>0</v>
      </c>
      <c r="J152" s="297">
        <v>0</v>
      </c>
      <c r="K152" s="317">
        <v>1</v>
      </c>
      <c r="L152" s="317">
        <v>1</v>
      </c>
      <c r="M152" s="317">
        <v>1</v>
      </c>
      <c r="N152" s="317">
        <v>1</v>
      </c>
      <c r="O152" s="297">
        <v>1</v>
      </c>
      <c r="P152" s="297">
        <v>1</v>
      </c>
      <c r="Q152" s="297">
        <v>1</v>
      </c>
      <c r="R152" s="297">
        <v>1</v>
      </c>
      <c r="S152" s="297">
        <v>1</v>
      </c>
      <c r="T152" s="297">
        <v>1</v>
      </c>
      <c r="U152" s="297">
        <v>1</v>
      </c>
      <c r="V152" s="297">
        <v>1</v>
      </c>
      <c r="W152" s="297">
        <v>1</v>
      </c>
      <c r="X152" s="297">
        <v>1</v>
      </c>
      <c r="Y152" s="297">
        <v>1</v>
      </c>
      <c r="Z152" s="297">
        <v>1</v>
      </c>
      <c r="AA152" s="297">
        <v>1</v>
      </c>
      <c r="AB152" s="297">
        <v>1</v>
      </c>
      <c r="AC152" s="298">
        <v>1</v>
      </c>
      <c r="AD152" s="39"/>
      <c r="AE152" s="39"/>
      <c r="AF152" s="39"/>
      <c r="AG152" s="39"/>
      <c r="AH152" s="39"/>
      <c r="AI152" s="39"/>
      <c r="AJ152" s="39"/>
      <c r="AK152" s="39"/>
    </row>
    <row r="153" spans="1:37" ht="30.6" customHeight="1" x14ac:dyDescent="0.3">
      <c r="A153" s="1102" t="str">
        <f>A138</f>
        <v>Dining and Café</v>
      </c>
      <c r="B153" s="1105" t="s">
        <v>155</v>
      </c>
      <c r="C153" s="1123" t="s">
        <v>711</v>
      </c>
      <c r="D153" s="993" t="s">
        <v>737</v>
      </c>
      <c r="E153" s="299" t="s">
        <v>442</v>
      </c>
      <c r="F153" s="300">
        <v>0.2</v>
      </c>
      <c r="G153" s="301">
        <v>0</v>
      </c>
      <c r="H153" s="301">
        <v>0</v>
      </c>
      <c r="I153" s="300">
        <v>0</v>
      </c>
      <c r="J153" s="300">
        <v>0</v>
      </c>
      <c r="K153" s="301">
        <v>0.6</v>
      </c>
      <c r="L153" s="301">
        <v>0.6</v>
      </c>
      <c r="M153" s="300">
        <v>0.6</v>
      </c>
      <c r="N153" s="300">
        <v>0.55000000000000004</v>
      </c>
      <c r="O153" s="300">
        <v>0.45</v>
      </c>
      <c r="P153" s="300">
        <v>0.4</v>
      </c>
      <c r="Q153" s="300">
        <v>0.45</v>
      </c>
      <c r="R153" s="300">
        <v>0.4</v>
      </c>
      <c r="S153" s="300">
        <v>0.35</v>
      </c>
      <c r="T153" s="300">
        <v>0.3</v>
      </c>
      <c r="U153" s="300">
        <v>0.3</v>
      </c>
      <c r="V153" s="300">
        <v>0.3</v>
      </c>
      <c r="W153" s="300">
        <v>0.4</v>
      </c>
      <c r="X153" s="300">
        <v>0.55000000000000004</v>
      </c>
      <c r="Y153" s="300">
        <v>0.6</v>
      </c>
      <c r="Z153" s="300">
        <v>0.5</v>
      </c>
      <c r="AA153" s="300">
        <v>0.55000000000000004</v>
      </c>
      <c r="AB153" s="300">
        <v>0.45</v>
      </c>
      <c r="AC153" s="302">
        <v>0.25</v>
      </c>
      <c r="AD153" s="39"/>
      <c r="AE153" s="39"/>
      <c r="AF153" s="39"/>
      <c r="AG153" s="39"/>
      <c r="AH153" s="39"/>
      <c r="AI153" s="39"/>
      <c r="AJ153" s="39"/>
      <c r="AK153" s="39"/>
    </row>
    <row r="154" spans="1:37" ht="30.6" customHeight="1" x14ac:dyDescent="0.3">
      <c r="A154" s="1103"/>
      <c r="B154" s="1106"/>
      <c r="C154" s="1119"/>
      <c r="D154" s="994"/>
      <c r="E154" s="303" t="s">
        <v>443</v>
      </c>
      <c r="F154" s="294">
        <v>0.2</v>
      </c>
      <c r="G154" s="304">
        <v>0</v>
      </c>
      <c r="H154" s="304">
        <v>0</v>
      </c>
      <c r="I154" s="294">
        <v>0</v>
      </c>
      <c r="J154" s="294">
        <v>0</v>
      </c>
      <c r="K154" s="294">
        <v>0</v>
      </c>
      <c r="L154" s="304">
        <v>0.5</v>
      </c>
      <c r="M154" s="304">
        <v>0.5</v>
      </c>
      <c r="N154" s="304">
        <v>0.5</v>
      </c>
      <c r="O154" s="294">
        <v>0.5</v>
      </c>
      <c r="P154" s="294">
        <v>0.45</v>
      </c>
      <c r="Q154" s="294">
        <v>0.5</v>
      </c>
      <c r="R154" s="294">
        <v>0.5</v>
      </c>
      <c r="S154" s="294">
        <v>0.45</v>
      </c>
      <c r="T154" s="294">
        <v>0.4</v>
      </c>
      <c r="U154" s="294">
        <v>0.4</v>
      </c>
      <c r="V154" s="294">
        <v>0.35</v>
      </c>
      <c r="W154" s="294">
        <v>0.4</v>
      </c>
      <c r="X154" s="294">
        <v>0.55000000000000004</v>
      </c>
      <c r="Y154" s="294">
        <v>0.55000000000000004</v>
      </c>
      <c r="Z154" s="294">
        <v>0.5</v>
      </c>
      <c r="AA154" s="294">
        <v>0.55000000000000004</v>
      </c>
      <c r="AB154" s="294">
        <v>0.4</v>
      </c>
      <c r="AC154" s="305">
        <v>0.3</v>
      </c>
      <c r="AD154" s="39"/>
      <c r="AE154" s="39"/>
      <c r="AF154" s="39"/>
      <c r="AG154" s="39"/>
      <c r="AH154" s="39"/>
      <c r="AI154" s="39"/>
      <c r="AJ154" s="39"/>
      <c r="AK154" s="39"/>
    </row>
    <row r="155" spans="1:37" ht="30.6" customHeight="1" thickBot="1" x14ac:dyDescent="0.35">
      <c r="A155" s="1104"/>
      <c r="B155" s="1107"/>
      <c r="C155" s="1120"/>
      <c r="D155" s="995"/>
      <c r="E155" s="306" t="s">
        <v>444</v>
      </c>
      <c r="F155" s="307">
        <v>0.25</v>
      </c>
      <c r="G155" s="308">
        <v>0</v>
      </c>
      <c r="H155" s="308">
        <v>0</v>
      </c>
      <c r="I155" s="307">
        <v>0</v>
      </c>
      <c r="J155" s="307">
        <v>0</v>
      </c>
      <c r="K155" s="307">
        <v>0</v>
      </c>
      <c r="L155" s="308">
        <v>0.5</v>
      </c>
      <c r="M155" s="308">
        <v>0.5</v>
      </c>
      <c r="N155" s="308">
        <v>0.5</v>
      </c>
      <c r="O155" s="308">
        <v>0.5</v>
      </c>
      <c r="P155" s="307">
        <v>0.5</v>
      </c>
      <c r="Q155" s="307">
        <v>0.5</v>
      </c>
      <c r="R155" s="307">
        <v>0.4</v>
      </c>
      <c r="S155" s="307">
        <v>0.4</v>
      </c>
      <c r="T155" s="307">
        <v>0.3</v>
      </c>
      <c r="U155" s="307">
        <v>0.3</v>
      </c>
      <c r="V155" s="307">
        <v>0.3</v>
      </c>
      <c r="W155" s="307">
        <v>0.4</v>
      </c>
      <c r="X155" s="307">
        <v>0.5</v>
      </c>
      <c r="Y155" s="307">
        <v>0.5</v>
      </c>
      <c r="Z155" s="307">
        <v>0.4</v>
      </c>
      <c r="AA155" s="307">
        <v>0.5</v>
      </c>
      <c r="AB155" s="307">
        <v>0.4</v>
      </c>
      <c r="AC155" s="309">
        <v>0.2</v>
      </c>
      <c r="AD155" s="39"/>
      <c r="AE155" s="39"/>
      <c r="AF155" s="39"/>
      <c r="AG155" s="39"/>
      <c r="AH155" s="39"/>
      <c r="AI155" s="39"/>
      <c r="AJ155" s="39"/>
      <c r="AK155" s="39"/>
    </row>
    <row r="156" spans="1:37" ht="30.6" customHeight="1" x14ac:dyDescent="0.3">
      <c r="A156" s="1102" t="str">
        <f>A138</f>
        <v>Dining and Café</v>
      </c>
      <c r="B156" s="1105" t="s">
        <v>155</v>
      </c>
      <c r="C156" s="1123" t="s">
        <v>299</v>
      </c>
      <c r="D156" s="1149" t="s">
        <v>738</v>
      </c>
      <c r="E156" s="310" t="s">
        <v>442</v>
      </c>
      <c r="F156" s="315">
        <v>0.25</v>
      </c>
      <c r="G156" s="315">
        <v>0</v>
      </c>
      <c r="H156" s="315">
        <v>0</v>
      </c>
      <c r="I156" s="291">
        <v>1</v>
      </c>
      <c r="J156" s="315">
        <v>0.25</v>
      </c>
      <c r="K156" s="318">
        <v>0.25</v>
      </c>
      <c r="L156" s="319">
        <v>0.25</v>
      </c>
      <c r="M156" s="319">
        <v>0.25</v>
      </c>
      <c r="N156" s="319">
        <v>0.25</v>
      </c>
      <c r="O156" s="291">
        <v>0.25</v>
      </c>
      <c r="P156" s="291">
        <v>0.25</v>
      </c>
      <c r="Q156" s="291">
        <v>0.25</v>
      </c>
      <c r="R156" s="291">
        <v>0.25</v>
      </c>
      <c r="S156" s="291">
        <v>0.25</v>
      </c>
      <c r="T156" s="291">
        <v>0.25</v>
      </c>
      <c r="U156" s="291">
        <v>0.25</v>
      </c>
      <c r="V156" s="315">
        <v>0.25</v>
      </c>
      <c r="W156" s="291">
        <v>0.25</v>
      </c>
      <c r="X156" s="291">
        <v>0.25</v>
      </c>
      <c r="Y156" s="291">
        <v>0.25</v>
      </c>
      <c r="Z156" s="291">
        <v>0.25</v>
      </c>
      <c r="AA156" s="291">
        <v>0.25</v>
      </c>
      <c r="AB156" s="291">
        <v>0.25</v>
      </c>
      <c r="AC156" s="292">
        <v>0.25</v>
      </c>
      <c r="AD156" s="39"/>
      <c r="AE156" s="39"/>
      <c r="AF156" s="39"/>
      <c r="AG156" s="39"/>
      <c r="AH156" s="39"/>
      <c r="AI156" s="39"/>
      <c r="AJ156" s="39"/>
      <c r="AK156" s="39"/>
    </row>
    <row r="157" spans="1:37" ht="30.6" customHeight="1" x14ac:dyDescent="0.3">
      <c r="A157" s="1103"/>
      <c r="B157" s="1106"/>
      <c r="C157" s="1119"/>
      <c r="D157" s="1121"/>
      <c r="E157" s="312" t="s">
        <v>443</v>
      </c>
      <c r="F157" s="304">
        <v>0.25</v>
      </c>
      <c r="G157" s="304">
        <v>0</v>
      </c>
      <c r="H157" s="294">
        <v>0</v>
      </c>
      <c r="I157" s="294">
        <v>1</v>
      </c>
      <c r="J157" s="294">
        <v>1</v>
      </c>
      <c r="K157" s="304">
        <v>0.25</v>
      </c>
      <c r="L157" s="304">
        <v>0.25</v>
      </c>
      <c r="M157" s="304">
        <v>0.25</v>
      </c>
      <c r="N157" s="294">
        <v>0.25</v>
      </c>
      <c r="O157" s="294">
        <v>0.25</v>
      </c>
      <c r="P157" s="294">
        <v>0.25</v>
      </c>
      <c r="Q157" s="294">
        <v>0.25</v>
      </c>
      <c r="R157" s="294">
        <v>0.25</v>
      </c>
      <c r="S157" s="294">
        <v>0.25</v>
      </c>
      <c r="T157" s="294">
        <v>0.25</v>
      </c>
      <c r="U157" s="294">
        <v>0.25</v>
      </c>
      <c r="V157" s="294">
        <v>0.25</v>
      </c>
      <c r="W157" s="294">
        <v>0.25</v>
      </c>
      <c r="X157" s="294">
        <v>0.25</v>
      </c>
      <c r="Y157" s="294">
        <v>0.25</v>
      </c>
      <c r="Z157" s="294">
        <v>0.25</v>
      </c>
      <c r="AA157" s="294">
        <v>0.25</v>
      </c>
      <c r="AB157" s="294">
        <v>0.25</v>
      </c>
      <c r="AC157" s="295">
        <v>0.25</v>
      </c>
      <c r="AD157" s="39"/>
      <c r="AE157" s="39"/>
      <c r="AF157" s="39"/>
      <c r="AG157" s="39"/>
      <c r="AH157" s="39"/>
      <c r="AI157" s="39"/>
      <c r="AJ157" s="39"/>
      <c r="AK157" s="39"/>
    </row>
    <row r="158" spans="1:37" ht="30.6" customHeight="1" thickBot="1" x14ac:dyDescent="0.35">
      <c r="A158" s="1104"/>
      <c r="B158" s="1107"/>
      <c r="C158" s="1120"/>
      <c r="D158" s="1122"/>
      <c r="E158" s="338" t="s">
        <v>444</v>
      </c>
      <c r="F158" s="308">
        <v>0.25</v>
      </c>
      <c r="G158" s="308">
        <v>0</v>
      </c>
      <c r="H158" s="308">
        <v>0</v>
      </c>
      <c r="I158" s="307">
        <v>1</v>
      </c>
      <c r="J158" s="307">
        <v>1</v>
      </c>
      <c r="K158" s="336">
        <v>0.25</v>
      </c>
      <c r="L158" s="336">
        <v>0.25</v>
      </c>
      <c r="M158" s="336">
        <v>0.25</v>
      </c>
      <c r="N158" s="336">
        <v>0.25</v>
      </c>
      <c r="O158" s="307">
        <v>0.25</v>
      </c>
      <c r="P158" s="307">
        <v>0.25</v>
      </c>
      <c r="Q158" s="307">
        <v>0.25</v>
      </c>
      <c r="R158" s="307">
        <v>0.25</v>
      </c>
      <c r="S158" s="307">
        <v>0.25</v>
      </c>
      <c r="T158" s="307">
        <v>0.25</v>
      </c>
      <c r="U158" s="307">
        <v>0.25</v>
      </c>
      <c r="V158" s="307">
        <v>0.25</v>
      </c>
      <c r="W158" s="307">
        <v>0.25</v>
      </c>
      <c r="X158" s="307">
        <v>0.25</v>
      </c>
      <c r="Y158" s="307">
        <v>0.25</v>
      </c>
      <c r="Z158" s="307">
        <v>0.25</v>
      </c>
      <c r="AA158" s="307">
        <v>0.25</v>
      </c>
      <c r="AB158" s="307">
        <v>0.25</v>
      </c>
      <c r="AC158" s="337">
        <v>0.25</v>
      </c>
      <c r="AD158" s="39"/>
      <c r="AE158" s="39"/>
      <c r="AF158" s="39"/>
      <c r="AG158" s="39"/>
      <c r="AH158" s="39"/>
      <c r="AI158" s="39"/>
      <c r="AJ158" s="39"/>
      <c r="AK158" s="39"/>
    </row>
    <row r="159" spans="1:37" ht="30.6" customHeight="1" x14ac:dyDescent="0.3">
      <c r="A159" s="1150" t="str">
        <f>A138</f>
        <v>Dining and Café</v>
      </c>
      <c r="B159" s="1153" t="str">
        <f>B153</f>
        <v>Restaurant</v>
      </c>
      <c r="C159" s="1062" t="s">
        <v>715</v>
      </c>
      <c r="D159" s="1155" t="s">
        <v>735</v>
      </c>
      <c r="E159" s="339" t="s">
        <v>442</v>
      </c>
      <c r="F159" s="236">
        <v>70</v>
      </c>
      <c r="G159" s="236">
        <v>60</v>
      </c>
      <c r="H159" s="236">
        <v>60</v>
      </c>
      <c r="I159" s="236">
        <v>60</v>
      </c>
      <c r="J159" s="236">
        <v>70</v>
      </c>
      <c r="K159" s="236">
        <v>70</v>
      </c>
      <c r="L159" s="236">
        <v>70</v>
      </c>
      <c r="M159" s="236">
        <v>70</v>
      </c>
      <c r="N159" s="236">
        <v>70</v>
      </c>
      <c r="O159" s="236">
        <v>70</v>
      </c>
      <c r="P159" s="236">
        <v>70</v>
      </c>
      <c r="Q159" s="236">
        <v>70</v>
      </c>
      <c r="R159" s="236">
        <v>70</v>
      </c>
      <c r="S159" s="236">
        <v>70</v>
      </c>
      <c r="T159" s="236">
        <v>70</v>
      </c>
      <c r="U159" s="236">
        <v>70</v>
      </c>
      <c r="V159" s="236">
        <v>70</v>
      </c>
      <c r="W159" s="236">
        <v>70</v>
      </c>
      <c r="X159" s="236">
        <v>70</v>
      </c>
      <c r="Y159" s="236">
        <v>70</v>
      </c>
      <c r="Z159" s="236">
        <v>70</v>
      </c>
      <c r="AA159" s="236">
        <v>70</v>
      </c>
      <c r="AB159" s="236">
        <v>70</v>
      </c>
      <c r="AC159" s="237">
        <v>70</v>
      </c>
      <c r="AD159" s="39"/>
      <c r="AE159" s="39"/>
      <c r="AF159" s="39"/>
      <c r="AG159" s="39"/>
      <c r="AH159" s="39"/>
      <c r="AI159" s="39"/>
      <c r="AJ159" s="39"/>
      <c r="AK159" s="39"/>
    </row>
    <row r="160" spans="1:37" ht="30.6" customHeight="1" x14ac:dyDescent="0.3">
      <c r="A160" s="1151"/>
      <c r="B160" s="1135"/>
      <c r="C160" s="1063"/>
      <c r="D160" s="1140"/>
      <c r="E160" s="340" t="s">
        <v>443</v>
      </c>
      <c r="F160" s="234">
        <v>70</v>
      </c>
      <c r="G160" s="234">
        <v>60</v>
      </c>
      <c r="H160" s="234">
        <v>60</v>
      </c>
      <c r="I160" s="234">
        <v>60</v>
      </c>
      <c r="J160" s="234">
        <v>60</v>
      </c>
      <c r="K160" s="234">
        <v>70</v>
      </c>
      <c r="L160" s="234">
        <v>70</v>
      </c>
      <c r="M160" s="234">
        <v>70</v>
      </c>
      <c r="N160" s="234">
        <v>70</v>
      </c>
      <c r="O160" s="234">
        <v>70</v>
      </c>
      <c r="P160" s="234">
        <v>70</v>
      </c>
      <c r="Q160" s="234">
        <v>70</v>
      </c>
      <c r="R160" s="234">
        <v>70</v>
      </c>
      <c r="S160" s="234">
        <v>70</v>
      </c>
      <c r="T160" s="234">
        <v>70</v>
      </c>
      <c r="U160" s="234">
        <v>70</v>
      </c>
      <c r="V160" s="234">
        <v>70</v>
      </c>
      <c r="W160" s="234">
        <v>70</v>
      </c>
      <c r="X160" s="234">
        <v>70</v>
      </c>
      <c r="Y160" s="234">
        <v>70</v>
      </c>
      <c r="Z160" s="234">
        <v>70</v>
      </c>
      <c r="AA160" s="234">
        <v>70</v>
      </c>
      <c r="AB160" s="234">
        <v>70</v>
      </c>
      <c r="AC160" s="238">
        <v>70</v>
      </c>
      <c r="AD160" s="39"/>
      <c r="AE160" s="39"/>
      <c r="AF160" s="39"/>
      <c r="AG160" s="39"/>
      <c r="AH160" s="39"/>
      <c r="AI160" s="39"/>
      <c r="AJ160" s="39"/>
      <c r="AK160" s="39"/>
    </row>
    <row r="161" spans="1:37" ht="30.6" customHeight="1" thickBot="1" x14ac:dyDescent="0.35">
      <c r="A161" s="1152"/>
      <c r="B161" s="1154"/>
      <c r="C161" s="1088"/>
      <c r="D161" s="1156"/>
      <c r="E161" s="341" t="s">
        <v>444</v>
      </c>
      <c r="F161" s="239">
        <v>70</v>
      </c>
      <c r="G161" s="239">
        <v>60</v>
      </c>
      <c r="H161" s="239">
        <v>60</v>
      </c>
      <c r="I161" s="239">
        <v>60</v>
      </c>
      <c r="J161" s="239">
        <v>60</v>
      </c>
      <c r="K161" s="239">
        <v>70</v>
      </c>
      <c r="L161" s="239">
        <v>70</v>
      </c>
      <c r="M161" s="239">
        <v>70</v>
      </c>
      <c r="N161" s="239">
        <v>70</v>
      </c>
      <c r="O161" s="239">
        <v>70</v>
      </c>
      <c r="P161" s="239">
        <v>70</v>
      </c>
      <c r="Q161" s="239">
        <v>70</v>
      </c>
      <c r="R161" s="239">
        <v>70</v>
      </c>
      <c r="S161" s="239">
        <v>70</v>
      </c>
      <c r="T161" s="239">
        <v>70</v>
      </c>
      <c r="U161" s="239">
        <v>70</v>
      </c>
      <c r="V161" s="239">
        <v>70</v>
      </c>
      <c r="W161" s="239">
        <v>70</v>
      </c>
      <c r="X161" s="239">
        <v>70</v>
      </c>
      <c r="Y161" s="239">
        <v>70</v>
      </c>
      <c r="Z161" s="239">
        <v>70</v>
      </c>
      <c r="AA161" s="239">
        <v>70</v>
      </c>
      <c r="AB161" s="239">
        <v>70</v>
      </c>
      <c r="AC161" s="240">
        <v>70</v>
      </c>
      <c r="AD161" s="39"/>
      <c r="AE161" s="39"/>
      <c r="AF161" s="39"/>
      <c r="AG161" s="39"/>
      <c r="AH161" s="39"/>
      <c r="AI161" s="39"/>
      <c r="AJ161" s="39"/>
      <c r="AK161" s="39"/>
    </row>
    <row r="162" spans="1:37" ht="30.6" customHeight="1" x14ac:dyDescent="0.3">
      <c r="A162" s="1142" t="str">
        <f>A138</f>
        <v>Dining and Café</v>
      </c>
      <c r="B162" s="1145" t="str">
        <f>B156</f>
        <v>Restaurant</v>
      </c>
      <c r="C162" s="1147" t="s">
        <v>716</v>
      </c>
      <c r="D162" s="1002" t="s">
        <v>735</v>
      </c>
      <c r="E162" s="339" t="s">
        <v>442</v>
      </c>
      <c r="F162" s="236">
        <v>75</v>
      </c>
      <c r="G162" s="236">
        <v>85</v>
      </c>
      <c r="H162" s="236">
        <v>85</v>
      </c>
      <c r="I162" s="236">
        <v>85</v>
      </c>
      <c r="J162" s="236">
        <v>75</v>
      </c>
      <c r="K162" s="236">
        <v>75</v>
      </c>
      <c r="L162" s="236">
        <v>75</v>
      </c>
      <c r="M162" s="236">
        <v>75</v>
      </c>
      <c r="N162" s="236">
        <v>75</v>
      </c>
      <c r="O162" s="236">
        <v>75</v>
      </c>
      <c r="P162" s="236">
        <v>75</v>
      </c>
      <c r="Q162" s="236">
        <v>75</v>
      </c>
      <c r="R162" s="236">
        <v>75</v>
      </c>
      <c r="S162" s="236">
        <v>75</v>
      </c>
      <c r="T162" s="236">
        <v>75</v>
      </c>
      <c r="U162" s="236">
        <v>75</v>
      </c>
      <c r="V162" s="236">
        <v>75</v>
      </c>
      <c r="W162" s="236">
        <v>75</v>
      </c>
      <c r="X162" s="236">
        <v>75</v>
      </c>
      <c r="Y162" s="236">
        <v>75</v>
      </c>
      <c r="Z162" s="236">
        <v>75</v>
      </c>
      <c r="AA162" s="236">
        <v>75</v>
      </c>
      <c r="AB162" s="236">
        <v>75</v>
      </c>
      <c r="AC162" s="237">
        <v>75</v>
      </c>
      <c r="AD162" s="39"/>
      <c r="AE162" s="39"/>
      <c r="AF162" s="39"/>
      <c r="AG162" s="39"/>
      <c r="AH162" s="39"/>
      <c r="AI162" s="39"/>
      <c r="AJ162" s="39"/>
      <c r="AK162" s="39"/>
    </row>
    <row r="163" spans="1:37" ht="30.6" customHeight="1" x14ac:dyDescent="0.3">
      <c r="A163" s="1143"/>
      <c r="B163" s="1135"/>
      <c r="C163" s="1063"/>
      <c r="D163" s="1003"/>
      <c r="E163" s="340" t="s">
        <v>443</v>
      </c>
      <c r="F163" s="234">
        <v>75</v>
      </c>
      <c r="G163" s="234">
        <v>85</v>
      </c>
      <c r="H163" s="234">
        <v>85</v>
      </c>
      <c r="I163" s="234">
        <v>85</v>
      </c>
      <c r="J163" s="234">
        <v>85</v>
      </c>
      <c r="K163" s="234">
        <v>75</v>
      </c>
      <c r="L163" s="234">
        <v>75</v>
      </c>
      <c r="M163" s="234">
        <v>75</v>
      </c>
      <c r="N163" s="234">
        <v>75</v>
      </c>
      <c r="O163" s="234">
        <v>75</v>
      </c>
      <c r="P163" s="234">
        <v>75</v>
      </c>
      <c r="Q163" s="234">
        <v>75</v>
      </c>
      <c r="R163" s="234">
        <v>75</v>
      </c>
      <c r="S163" s="234">
        <v>75</v>
      </c>
      <c r="T163" s="234">
        <v>75</v>
      </c>
      <c r="U163" s="234">
        <v>75</v>
      </c>
      <c r="V163" s="234">
        <v>75</v>
      </c>
      <c r="W163" s="234">
        <v>75</v>
      </c>
      <c r="X163" s="234">
        <v>75</v>
      </c>
      <c r="Y163" s="234">
        <v>75</v>
      </c>
      <c r="Z163" s="234">
        <v>75</v>
      </c>
      <c r="AA163" s="234">
        <v>75</v>
      </c>
      <c r="AB163" s="234">
        <v>75</v>
      </c>
      <c r="AC163" s="238">
        <v>75</v>
      </c>
      <c r="AD163" s="39"/>
      <c r="AE163" s="39"/>
      <c r="AF163" s="39"/>
      <c r="AG163" s="39"/>
      <c r="AH163" s="39"/>
      <c r="AI163" s="39"/>
      <c r="AJ163" s="39"/>
      <c r="AK163" s="39"/>
    </row>
    <row r="164" spans="1:37" ht="30.6" customHeight="1" thickBot="1" x14ac:dyDescent="0.35">
      <c r="A164" s="1144"/>
      <c r="B164" s="1146"/>
      <c r="C164" s="1148"/>
      <c r="D164" s="1004"/>
      <c r="E164" s="341" t="s">
        <v>444</v>
      </c>
      <c r="F164" s="239">
        <v>75</v>
      </c>
      <c r="G164" s="239">
        <v>85</v>
      </c>
      <c r="H164" s="239">
        <v>85</v>
      </c>
      <c r="I164" s="239">
        <v>85</v>
      </c>
      <c r="J164" s="239">
        <v>85</v>
      </c>
      <c r="K164" s="239">
        <v>75</v>
      </c>
      <c r="L164" s="239">
        <v>75</v>
      </c>
      <c r="M164" s="239">
        <v>75</v>
      </c>
      <c r="N164" s="239">
        <v>75</v>
      </c>
      <c r="O164" s="239">
        <v>75</v>
      </c>
      <c r="P164" s="239">
        <v>75</v>
      </c>
      <c r="Q164" s="239">
        <v>75</v>
      </c>
      <c r="R164" s="239">
        <v>75</v>
      </c>
      <c r="S164" s="239">
        <v>75</v>
      </c>
      <c r="T164" s="239">
        <v>75</v>
      </c>
      <c r="U164" s="239">
        <v>75</v>
      </c>
      <c r="V164" s="239">
        <v>75</v>
      </c>
      <c r="W164" s="239">
        <v>75</v>
      </c>
      <c r="X164" s="239">
        <v>75</v>
      </c>
      <c r="Y164" s="239">
        <v>75</v>
      </c>
      <c r="Z164" s="239">
        <v>75</v>
      </c>
      <c r="AA164" s="239">
        <v>75</v>
      </c>
      <c r="AB164" s="239">
        <v>75</v>
      </c>
      <c r="AC164" s="240">
        <v>75</v>
      </c>
      <c r="AD164" s="39"/>
      <c r="AE164" s="39"/>
      <c r="AF164" s="39"/>
      <c r="AG164" s="39"/>
      <c r="AH164" s="39"/>
      <c r="AI164" s="39"/>
      <c r="AJ164" s="39"/>
      <c r="AK164" s="39"/>
    </row>
    <row r="165" spans="1:37" ht="30.6" customHeight="1" thickBot="1" x14ac:dyDescent="0.35">
      <c r="A165" s="1099" t="s">
        <v>179</v>
      </c>
      <c r="B165" s="1100"/>
      <c r="C165" s="1100"/>
      <c r="D165" s="1100"/>
      <c r="E165" s="1100"/>
      <c r="F165" s="1100"/>
      <c r="G165" s="1100"/>
      <c r="H165" s="1100"/>
      <c r="I165" s="1100"/>
      <c r="J165" s="1100"/>
      <c r="K165" s="1100"/>
      <c r="L165" s="1100"/>
      <c r="M165" s="1100"/>
      <c r="N165" s="1100"/>
      <c r="O165" s="1100"/>
      <c r="P165" s="1100"/>
      <c r="Q165" s="1100"/>
      <c r="R165" s="1100"/>
      <c r="S165" s="1100"/>
      <c r="T165" s="1100"/>
      <c r="U165" s="1100"/>
      <c r="V165" s="1100"/>
      <c r="W165" s="1100"/>
      <c r="X165" s="1100"/>
      <c r="Y165" s="1100"/>
      <c r="Z165" s="1100"/>
      <c r="AA165" s="1100"/>
      <c r="AB165" s="1100"/>
      <c r="AC165" s="1101"/>
      <c r="AD165" s="39"/>
      <c r="AE165" s="39"/>
      <c r="AF165" s="39"/>
      <c r="AG165" s="39"/>
      <c r="AH165" s="39"/>
      <c r="AI165" s="39"/>
      <c r="AJ165" s="39"/>
      <c r="AK165" s="39"/>
    </row>
    <row r="166" spans="1:37" ht="30.6" customHeight="1" x14ac:dyDescent="0.3">
      <c r="A166" s="1102" t="s">
        <v>179</v>
      </c>
      <c r="B166" s="1105" t="s">
        <v>179</v>
      </c>
      <c r="C166" s="1105" t="s">
        <v>739</v>
      </c>
      <c r="D166" s="993" t="s">
        <v>733</v>
      </c>
      <c r="E166" s="290" t="s">
        <v>442</v>
      </c>
      <c r="F166" s="291">
        <v>0.05</v>
      </c>
      <c r="G166" s="291">
        <v>0</v>
      </c>
      <c r="H166" s="291">
        <v>0</v>
      </c>
      <c r="I166" s="291">
        <v>0</v>
      </c>
      <c r="J166" s="291">
        <v>0</v>
      </c>
      <c r="K166" s="291">
        <v>0.05</v>
      </c>
      <c r="L166" s="291">
        <v>0.1</v>
      </c>
      <c r="M166" s="291">
        <v>0.4</v>
      </c>
      <c r="N166" s="291">
        <v>0.4</v>
      </c>
      <c r="O166" s="291">
        <v>0.4</v>
      </c>
      <c r="P166" s="291">
        <v>0.2</v>
      </c>
      <c r="Q166" s="291">
        <v>0.5</v>
      </c>
      <c r="R166" s="291">
        <v>0.8</v>
      </c>
      <c r="S166" s="291">
        <v>0.7</v>
      </c>
      <c r="T166" s="291">
        <v>0.4</v>
      </c>
      <c r="U166" s="291">
        <v>0.2</v>
      </c>
      <c r="V166" s="291">
        <v>0.25</v>
      </c>
      <c r="W166" s="291">
        <v>0.5</v>
      </c>
      <c r="X166" s="291">
        <v>0.8</v>
      </c>
      <c r="Y166" s="291">
        <v>0.8</v>
      </c>
      <c r="Z166" s="291">
        <v>0.8</v>
      </c>
      <c r="AA166" s="291">
        <v>0.5</v>
      </c>
      <c r="AB166" s="291">
        <v>0.35</v>
      </c>
      <c r="AC166" s="292">
        <v>0.2</v>
      </c>
      <c r="AD166" s="39"/>
      <c r="AE166" s="39"/>
      <c r="AF166" s="39"/>
      <c r="AG166" s="39"/>
      <c r="AH166" s="39"/>
      <c r="AI166" s="39"/>
      <c r="AJ166" s="39"/>
      <c r="AK166" s="39"/>
    </row>
    <row r="167" spans="1:37" ht="30.6" customHeight="1" x14ac:dyDescent="0.3">
      <c r="A167" s="1103"/>
      <c r="B167" s="1106"/>
      <c r="C167" s="1106"/>
      <c r="D167" s="994"/>
      <c r="E167" s="293" t="s">
        <v>443</v>
      </c>
      <c r="F167" s="294">
        <v>0.05</v>
      </c>
      <c r="G167" s="294">
        <v>0</v>
      </c>
      <c r="H167" s="294">
        <v>0</v>
      </c>
      <c r="I167" s="294">
        <v>0</v>
      </c>
      <c r="J167" s="294">
        <v>0</v>
      </c>
      <c r="K167" s="294">
        <v>0</v>
      </c>
      <c r="L167" s="294">
        <v>0.05</v>
      </c>
      <c r="M167" s="294">
        <v>0.5</v>
      </c>
      <c r="N167" s="294">
        <v>0.5</v>
      </c>
      <c r="O167" s="294">
        <v>0.4</v>
      </c>
      <c r="P167" s="294">
        <v>0.2</v>
      </c>
      <c r="Q167" s="294">
        <v>0.45</v>
      </c>
      <c r="R167" s="294">
        <v>0.5</v>
      </c>
      <c r="S167" s="294">
        <v>0.5</v>
      </c>
      <c r="T167" s="294">
        <v>0.35</v>
      </c>
      <c r="U167" s="294">
        <v>0.3</v>
      </c>
      <c r="V167" s="294">
        <v>0.3</v>
      </c>
      <c r="W167" s="294">
        <v>0.3</v>
      </c>
      <c r="X167" s="294">
        <v>0.7</v>
      </c>
      <c r="Y167" s="294">
        <v>0.9</v>
      </c>
      <c r="Z167" s="294">
        <v>0.7</v>
      </c>
      <c r="AA167" s="294">
        <v>0.65</v>
      </c>
      <c r="AB167" s="294">
        <v>0.55000000000000004</v>
      </c>
      <c r="AC167" s="295">
        <v>0.35</v>
      </c>
      <c r="AD167" s="39"/>
      <c r="AE167" s="39"/>
      <c r="AF167" s="39"/>
      <c r="AG167" s="39"/>
      <c r="AH167" s="39"/>
      <c r="AI167" s="39"/>
      <c r="AJ167" s="39"/>
      <c r="AK167" s="39"/>
    </row>
    <row r="168" spans="1:37" ht="30.6" customHeight="1" thickBot="1" x14ac:dyDescent="0.35">
      <c r="A168" s="1104"/>
      <c r="B168" s="1107"/>
      <c r="C168" s="1107"/>
      <c r="D168" s="995"/>
      <c r="E168" s="296" t="s">
        <v>444</v>
      </c>
      <c r="F168" s="297">
        <v>0.05</v>
      </c>
      <c r="G168" s="297">
        <v>0</v>
      </c>
      <c r="H168" s="297">
        <v>0</v>
      </c>
      <c r="I168" s="297">
        <v>0</v>
      </c>
      <c r="J168" s="297">
        <v>0</v>
      </c>
      <c r="K168" s="297">
        <v>0</v>
      </c>
      <c r="L168" s="297">
        <v>0.05</v>
      </c>
      <c r="M168" s="297">
        <v>0.5</v>
      </c>
      <c r="N168" s="297">
        <v>0.5</v>
      </c>
      <c r="O168" s="297">
        <v>0.2</v>
      </c>
      <c r="P168" s="297">
        <v>0.2</v>
      </c>
      <c r="Q168" s="297">
        <v>0.3</v>
      </c>
      <c r="R168" s="297">
        <v>0.5</v>
      </c>
      <c r="S168" s="297">
        <v>0.5</v>
      </c>
      <c r="T168" s="297">
        <v>0.3</v>
      </c>
      <c r="U168" s="297">
        <v>0.2</v>
      </c>
      <c r="V168" s="297">
        <v>0.25</v>
      </c>
      <c r="W168" s="297">
        <v>0.35</v>
      </c>
      <c r="X168" s="297">
        <v>0.55000000000000004</v>
      </c>
      <c r="Y168" s="297">
        <v>0.65</v>
      </c>
      <c r="Z168" s="297">
        <v>0.7</v>
      </c>
      <c r="AA168" s="297">
        <v>0.35</v>
      </c>
      <c r="AB168" s="297">
        <v>0.2</v>
      </c>
      <c r="AC168" s="298">
        <v>0.2</v>
      </c>
      <c r="AD168" s="39"/>
      <c r="AE168" s="39"/>
      <c r="AF168" s="39"/>
      <c r="AG168" s="39"/>
      <c r="AH168" s="39"/>
      <c r="AI168" s="39"/>
      <c r="AJ168" s="39"/>
      <c r="AK168" s="39"/>
    </row>
    <row r="169" spans="1:37" ht="30.6" customHeight="1" x14ac:dyDescent="0.3">
      <c r="A169" s="1102" t="s">
        <v>179</v>
      </c>
      <c r="B169" s="1105" t="s">
        <v>179</v>
      </c>
      <c r="C169" s="1159" t="s">
        <v>709</v>
      </c>
      <c r="D169" s="993" t="s">
        <v>734</v>
      </c>
      <c r="E169" s="299" t="s">
        <v>442</v>
      </c>
      <c r="F169" s="300">
        <v>0.15</v>
      </c>
      <c r="G169" s="300">
        <v>0.15</v>
      </c>
      <c r="H169" s="300">
        <v>0.15</v>
      </c>
      <c r="I169" s="300">
        <v>0.15</v>
      </c>
      <c r="J169" s="300">
        <v>0.15</v>
      </c>
      <c r="K169" s="300">
        <v>0.2</v>
      </c>
      <c r="L169" s="301">
        <v>0.3</v>
      </c>
      <c r="M169" s="301">
        <f t="shared" ref="M169:AA171" si="5">M172-5%</f>
        <v>0.66999999999999993</v>
      </c>
      <c r="N169" s="301">
        <f t="shared" si="5"/>
        <v>0.73</v>
      </c>
      <c r="O169" s="301">
        <f t="shared" si="5"/>
        <v>0.75</v>
      </c>
      <c r="P169" s="301">
        <f t="shared" si="5"/>
        <v>0.85</v>
      </c>
      <c r="Q169" s="301">
        <f t="shared" si="5"/>
        <v>0.85</v>
      </c>
      <c r="R169" s="301">
        <f t="shared" si="5"/>
        <v>0.85</v>
      </c>
      <c r="S169" s="301">
        <f t="shared" si="5"/>
        <v>0.83</v>
      </c>
      <c r="T169" s="301">
        <f t="shared" si="5"/>
        <v>0.72</v>
      </c>
      <c r="U169" s="301">
        <f t="shared" si="5"/>
        <v>0.64999999999999991</v>
      </c>
      <c r="V169" s="301">
        <f t="shared" si="5"/>
        <v>0.66999999999999993</v>
      </c>
      <c r="W169" s="301">
        <f t="shared" si="5"/>
        <v>0.75</v>
      </c>
      <c r="X169" s="301">
        <f t="shared" si="5"/>
        <v>0.85</v>
      </c>
      <c r="Y169" s="301">
        <f t="shared" si="5"/>
        <v>0.85</v>
      </c>
      <c r="Z169" s="301">
        <f t="shared" si="5"/>
        <v>0.85</v>
      </c>
      <c r="AA169" s="301">
        <f t="shared" si="5"/>
        <v>0.75</v>
      </c>
      <c r="AB169" s="301">
        <f>AB172-5%</f>
        <v>0.56999999999999995</v>
      </c>
      <c r="AC169" s="302">
        <v>0.3</v>
      </c>
      <c r="AD169" s="39"/>
      <c r="AE169" s="39"/>
      <c r="AF169" s="39"/>
      <c r="AG169" s="39"/>
      <c r="AH169" s="39"/>
      <c r="AI169" s="39"/>
      <c r="AJ169" s="39"/>
      <c r="AK169" s="39"/>
    </row>
    <row r="170" spans="1:37" ht="30.6" customHeight="1" x14ac:dyDescent="0.3">
      <c r="A170" s="1103"/>
      <c r="B170" s="1106"/>
      <c r="C170" s="1125"/>
      <c r="D170" s="994"/>
      <c r="E170" s="303" t="s">
        <v>443</v>
      </c>
      <c r="F170" s="304">
        <f>F173</f>
        <v>0.15</v>
      </c>
      <c r="G170" s="294">
        <v>0.15</v>
      </c>
      <c r="H170" s="294">
        <v>0.15</v>
      </c>
      <c r="I170" s="294">
        <v>0.15</v>
      </c>
      <c r="J170" s="294">
        <v>0.15</v>
      </c>
      <c r="K170" s="304">
        <f>K173</f>
        <v>0.2</v>
      </c>
      <c r="L170" s="294">
        <v>0.3</v>
      </c>
      <c r="M170" s="304">
        <f t="shared" si="5"/>
        <v>0.66999999999999993</v>
      </c>
      <c r="N170" s="304">
        <f t="shared" si="5"/>
        <v>0.73</v>
      </c>
      <c r="O170" s="304">
        <f t="shared" si="5"/>
        <v>0.75</v>
      </c>
      <c r="P170" s="304">
        <f t="shared" si="5"/>
        <v>0.85</v>
      </c>
      <c r="Q170" s="304">
        <f t="shared" si="5"/>
        <v>0.85</v>
      </c>
      <c r="R170" s="304">
        <f t="shared" si="5"/>
        <v>0.85</v>
      </c>
      <c r="S170" s="304">
        <f t="shared" si="5"/>
        <v>0.83</v>
      </c>
      <c r="T170" s="304">
        <f t="shared" si="5"/>
        <v>0.72</v>
      </c>
      <c r="U170" s="304">
        <f t="shared" si="5"/>
        <v>0.64999999999999991</v>
      </c>
      <c r="V170" s="304">
        <f t="shared" si="5"/>
        <v>0.66999999999999993</v>
      </c>
      <c r="W170" s="304">
        <f t="shared" si="5"/>
        <v>0.75</v>
      </c>
      <c r="X170" s="304">
        <f t="shared" si="5"/>
        <v>0.85</v>
      </c>
      <c r="Y170" s="304">
        <f t="shared" si="5"/>
        <v>0.85</v>
      </c>
      <c r="Z170" s="304">
        <f t="shared" si="5"/>
        <v>0.85</v>
      </c>
      <c r="AA170" s="304">
        <f t="shared" si="5"/>
        <v>0.75</v>
      </c>
      <c r="AB170" s="304">
        <f>AB173-5%</f>
        <v>0.56999999999999995</v>
      </c>
      <c r="AC170" s="305">
        <v>0.3</v>
      </c>
      <c r="AD170" s="39"/>
      <c r="AE170" s="39"/>
      <c r="AF170" s="39"/>
      <c r="AG170" s="39"/>
      <c r="AH170" s="39"/>
      <c r="AI170" s="39"/>
      <c r="AJ170" s="39"/>
      <c r="AK170" s="39"/>
    </row>
    <row r="171" spans="1:37" ht="30.6" customHeight="1" thickBot="1" x14ac:dyDescent="0.35">
      <c r="A171" s="1104"/>
      <c r="B171" s="1107"/>
      <c r="C171" s="1126"/>
      <c r="D171" s="995"/>
      <c r="E171" s="306" t="s">
        <v>444</v>
      </c>
      <c r="F171" s="307">
        <v>0.2</v>
      </c>
      <c r="G171" s="307">
        <v>0.15</v>
      </c>
      <c r="H171" s="307">
        <v>0.15</v>
      </c>
      <c r="I171" s="307">
        <v>0.15</v>
      </c>
      <c r="J171" s="307">
        <v>0.15</v>
      </c>
      <c r="K171" s="307">
        <v>0.15</v>
      </c>
      <c r="L171" s="307">
        <v>0.3</v>
      </c>
      <c r="M171" s="308">
        <f t="shared" si="5"/>
        <v>0.66999999999999993</v>
      </c>
      <c r="N171" s="308">
        <f t="shared" si="5"/>
        <v>0.73</v>
      </c>
      <c r="O171" s="308">
        <f t="shared" si="5"/>
        <v>0.75</v>
      </c>
      <c r="P171" s="308">
        <f t="shared" si="5"/>
        <v>0.85</v>
      </c>
      <c r="Q171" s="308">
        <f t="shared" si="5"/>
        <v>0.85</v>
      </c>
      <c r="R171" s="308">
        <f t="shared" si="5"/>
        <v>0.85</v>
      </c>
      <c r="S171" s="308">
        <f t="shared" si="5"/>
        <v>0.83</v>
      </c>
      <c r="T171" s="308">
        <f t="shared" si="5"/>
        <v>0.72</v>
      </c>
      <c r="U171" s="308">
        <f t="shared" si="5"/>
        <v>0.64999999999999991</v>
      </c>
      <c r="V171" s="308">
        <f t="shared" si="5"/>
        <v>0.66999999999999993</v>
      </c>
      <c r="W171" s="308">
        <f t="shared" si="5"/>
        <v>0.75</v>
      </c>
      <c r="X171" s="308">
        <f t="shared" si="5"/>
        <v>0.85</v>
      </c>
      <c r="Y171" s="308">
        <f t="shared" si="5"/>
        <v>0.85</v>
      </c>
      <c r="Z171" s="308">
        <f t="shared" si="5"/>
        <v>0.85</v>
      </c>
      <c r="AA171" s="308">
        <f t="shared" si="5"/>
        <v>0.75</v>
      </c>
      <c r="AB171" s="308">
        <f>AB174-5%</f>
        <v>0.56999999999999995</v>
      </c>
      <c r="AC171" s="309">
        <v>0.3</v>
      </c>
      <c r="AD171" s="39"/>
      <c r="AE171" s="39"/>
      <c r="AF171" s="39"/>
      <c r="AG171" s="39"/>
      <c r="AH171" s="39"/>
      <c r="AI171" s="39"/>
      <c r="AJ171" s="39"/>
      <c r="AK171" s="39"/>
    </row>
    <row r="172" spans="1:37" ht="30.6" customHeight="1" x14ac:dyDescent="0.3">
      <c r="A172" s="1116" t="s">
        <v>179</v>
      </c>
      <c r="B172" s="1117" t="s">
        <v>179</v>
      </c>
      <c r="C172" s="1124" t="s">
        <v>740</v>
      </c>
      <c r="D172" s="1130" t="s">
        <v>594</v>
      </c>
      <c r="E172" s="310" t="s">
        <v>442</v>
      </c>
      <c r="F172" s="291">
        <v>0.15</v>
      </c>
      <c r="G172" s="291">
        <v>0.15</v>
      </c>
      <c r="H172" s="291">
        <v>0.15</v>
      </c>
      <c r="I172" s="291">
        <v>0.15</v>
      </c>
      <c r="J172" s="291">
        <v>0.15</v>
      </c>
      <c r="K172" s="291">
        <v>0.2</v>
      </c>
      <c r="L172" s="311">
        <v>0.3</v>
      </c>
      <c r="M172" s="311">
        <v>0.72</v>
      </c>
      <c r="N172" s="311">
        <v>0.78</v>
      </c>
      <c r="O172" s="311">
        <v>0.8</v>
      </c>
      <c r="P172" s="291">
        <v>0.9</v>
      </c>
      <c r="Q172" s="291">
        <v>0.9</v>
      </c>
      <c r="R172" s="291">
        <v>0.9</v>
      </c>
      <c r="S172" s="311">
        <v>0.88</v>
      </c>
      <c r="T172" s="311">
        <v>0.77</v>
      </c>
      <c r="U172" s="311">
        <v>0.7</v>
      </c>
      <c r="V172" s="311">
        <v>0.72</v>
      </c>
      <c r="W172" s="311">
        <v>0.8</v>
      </c>
      <c r="X172" s="291">
        <v>0.9</v>
      </c>
      <c r="Y172" s="291">
        <v>0.9</v>
      </c>
      <c r="Z172" s="291">
        <v>0.9</v>
      </c>
      <c r="AA172" s="311">
        <v>0.8</v>
      </c>
      <c r="AB172" s="311">
        <v>0.62</v>
      </c>
      <c r="AC172" s="292">
        <v>0.3</v>
      </c>
      <c r="AD172" s="39"/>
      <c r="AE172" s="39"/>
      <c r="AF172" s="39"/>
      <c r="AG172" s="39"/>
      <c r="AH172" s="39"/>
      <c r="AI172" s="39"/>
      <c r="AJ172" s="39"/>
      <c r="AK172" s="39"/>
    </row>
    <row r="173" spans="1:37" ht="30.6" customHeight="1" x14ac:dyDescent="0.3">
      <c r="A173" s="1103"/>
      <c r="B173" s="1106"/>
      <c r="C173" s="1125"/>
      <c r="D173" s="1130"/>
      <c r="E173" s="312" t="s">
        <v>443</v>
      </c>
      <c r="F173" s="273">
        <v>0.15</v>
      </c>
      <c r="G173" s="294">
        <v>0.15</v>
      </c>
      <c r="H173" s="294">
        <v>0.15</v>
      </c>
      <c r="I173" s="294">
        <v>0.15</v>
      </c>
      <c r="J173" s="294">
        <v>0.15</v>
      </c>
      <c r="K173" s="273">
        <v>0.2</v>
      </c>
      <c r="L173" s="294">
        <v>0.3</v>
      </c>
      <c r="M173" s="273">
        <v>0.72</v>
      </c>
      <c r="N173" s="273">
        <v>0.78</v>
      </c>
      <c r="O173" s="273">
        <v>0.8</v>
      </c>
      <c r="P173" s="273">
        <v>0.9</v>
      </c>
      <c r="Q173" s="273">
        <v>0.9</v>
      </c>
      <c r="R173" s="273">
        <v>0.9</v>
      </c>
      <c r="S173" s="273">
        <v>0.88</v>
      </c>
      <c r="T173" s="273">
        <v>0.77</v>
      </c>
      <c r="U173" s="273">
        <v>0.7</v>
      </c>
      <c r="V173" s="273">
        <v>0.72</v>
      </c>
      <c r="W173" s="273">
        <v>0.8</v>
      </c>
      <c r="X173" s="294">
        <v>0.9</v>
      </c>
      <c r="Y173" s="294">
        <v>0.9</v>
      </c>
      <c r="Z173" s="294">
        <v>0.9</v>
      </c>
      <c r="AA173" s="273">
        <v>0.8</v>
      </c>
      <c r="AB173" s="273">
        <v>0.62</v>
      </c>
      <c r="AC173" s="295">
        <v>0.3</v>
      </c>
      <c r="AD173" s="39"/>
      <c r="AE173" s="39"/>
      <c r="AF173" s="39"/>
      <c r="AG173" s="39"/>
      <c r="AH173" s="39"/>
      <c r="AI173" s="39"/>
      <c r="AJ173" s="39"/>
      <c r="AK173" s="39"/>
    </row>
    <row r="174" spans="1:37" ht="30.6" customHeight="1" thickBot="1" x14ac:dyDescent="0.35">
      <c r="A174" s="1104"/>
      <c r="B174" s="1107"/>
      <c r="C174" s="1157"/>
      <c r="D174" s="1158"/>
      <c r="E174" s="313" t="s">
        <v>444</v>
      </c>
      <c r="F174" s="314">
        <v>0.2</v>
      </c>
      <c r="G174" s="297">
        <v>0.15</v>
      </c>
      <c r="H174" s="297">
        <v>0.15</v>
      </c>
      <c r="I174" s="297">
        <v>0.15</v>
      </c>
      <c r="J174" s="297">
        <v>0.15</v>
      </c>
      <c r="K174" s="314">
        <v>0.15</v>
      </c>
      <c r="L174" s="297">
        <v>0.3</v>
      </c>
      <c r="M174" s="314">
        <v>0.72</v>
      </c>
      <c r="N174" s="314">
        <v>0.78</v>
      </c>
      <c r="O174" s="314">
        <v>0.8</v>
      </c>
      <c r="P174" s="314">
        <v>0.9</v>
      </c>
      <c r="Q174" s="314">
        <v>0.9</v>
      </c>
      <c r="R174" s="314">
        <v>0.9</v>
      </c>
      <c r="S174" s="314">
        <v>0.88</v>
      </c>
      <c r="T174" s="314">
        <v>0.77</v>
      </c>
      <c r="U174" s="314">
        <v>0.7</v>
      </c>
      <c r="V174" s="314">
        <v>0.72</v>
      </c>
      <c r="W174" s="314">
        <v>0.8</v>
      </c>
      <c r="X174" s="314">
        <v>0.9</v>
      </c>
      <c r="Y174" s="314">
        <v>0.9</v>
      </c>
      <c r="Z174" s="314">
        <v>0.9</v>
      </c>
      <c r="AA174" s="314">
        <v>0.8</v>
      </c>
      <c r="AB174" s="314">
        <v>0.62</v>
      </c>
      <c r="AC174" s="298">
        <v>0.3</v>
      </c>
      <c r="AD174" s="39"/>
      <c r="AE174" s="39"/>
      <c r="AF174" s="39"/>
      <c r="AG174" s="39"/>
      <c r="AH174" s="39"/>
      <c r="AI174" s="39"/>
      <c r="AJ174" s="39"/>
      <c r="AK174" s="39"/>
    </row>
    <row r="175" spans="1:37" ht="30.6" customHeight="1" x14ac:dyDescent="0.3">
      <c r="A175" s="1102" t="s">
        <v>179</v>
      </c>
      <c r="B175" s="1105" t="s">
        <v>179</v>
      </c>
      <c r="C175" s="1118" t="s">
        <v>714</v>
      </c>
      <c r="D175" s="1149" t="s">
        <v>741</v>
      </c>
      <c r="E175" s="310" t="s">
        <v>442</v>
      </c>
      <c r="F175" s="291">
        <v>1</v>
      </c>
      <c r="G175" s="315">
        <v>0</v>
      </c>
      <c r="H175" s="315">
        <v>0</v>
      </c>
      <c r="I175" s="291">
        <v>0</v>
      </c>
      <c r="J175" s="315">
        <v>1</v>
      </c>
      <c r="K175" s="315">
        <v>1</v>
      </c>
      <c r="L175" s="291">
        <v>1</v>
      </c>
      <c r="M175" s="291">
        <v>1</v>
      </c>
      <c r="N175" s="291">
        <v>1</v>
      </c>
      <c r="O175" s="291">
        <v>1</v>
      </c>
      <c r="P175" s="291">
        <v>1</v>
      </c>
      <c r="Q175" s="291">
        <v>1</v>
      </c>
      <c r="R175" s="291">
        <v>1</v>
      </c>
      <c r="S175" s="291">
        <v>1</v>
      </c>
      <c r="T175" s="291">
        <v>1</v>
      </c>
      <c r="U175" s="291">
        <v>1</v>
      </c>
      <c r="V175" s="291">
        <v>1</v>
      </c>
      <c r="W175" s="291">
        <v>1</v>
      </c>
      <c r="X175" s="291">
        <v>1</v>
      </c>
      <c r="Y175" s="291">
        <v>1</v>
      </c>
      <c r="Z175" s="291">
        <v>1</v>
      </c>
      <c r="AA175" s="291">
        <v>1</v>
      </c>
      <c r="AB175" s="291">
        <v>1</v>
      </c>
      <c r="AC175" s="292">
        <v>1</v>
      </c>
      <c r="AD175" s="39"/>
      <c r="AE175" s="39"/>
      <c r="AF175" s="39"/>
      <c r="AG175" s="39"/>
      <c r="AH175" s="39"/>
      <c r="AI175" s="39"/>
      <c r="AJ175" s="39"/>
      <c r="AK175" s="39"/>
    </row>
    <row r="176" spans="1:37" ht="30.6" customHeight="1" x14ac:dyDescent="0.3">
      <c r="A176" s="1103"/>
      <c r="B176" s="1106"/>
      <c r="C176" s="1119"/>
      <c r="D176" s="1121"/>
      <c r="E176" s="312" t="s">
        <v>443</v>
      </c>
      <c r="F176" s="294">
        <v>1</v>
      </c>
      <c r="G176" s="301">
        <v>0</v>
      </c>
      <c r="H176" s="301">
        <v>0</v>
      </c>
      <c r="I176" s="294">
        <v>0</v>
      </c>
      <c r="J176" s="294">
        <v>0</v>
      </c>
      <c r="K176" s="304">
        <v>1</v>
      </c>
      <c r="L176" s="304">
        <v>1</v>
      </c>
      <c r="M176" s="304">
        <v>1</v>
      </c>
      <c r="N176" s="294">
        <v>1</v>
      </c>
      <c r="O176" s="294">
        <v>1</v>
      </c>
      <c r="P176" s="294">
        <v>1</v>
      </c>
      <c r="Q176" s="294">
        <v>1</v>
      </c>
      <c r="R176" s="294">
        <v>1</v>
      </c>
      <c r="S176" s="294">
        <v>1</v>
      </c>
      <c r="T176" s="294">
        <v>1</v>
      </c>
      <c r="U176" s="294">
        <v>1</v>
      </c>
      <c r="V176" s="294">
        <v>1</v>
      </c>
      <c r="W176" s="294">
        <v>1</v>
      </c>
      <c r="X176" s="294">
        <v>1</v>
      </c>
      <c r="Y176" s="294">
        <v>1</v>
      </c>
      <c r="Z176" s="294">
        <v>1</v>
      </c>
      <c r="AA176" s="294">
        <v>1</v>
      </c>
      <c r="AB176" s="294">
        <v>1</v>
      </c>
      <c r="AC176" s="295">
        <v>1</v>
      </c>
      <c r="AD176" s="39"/>
      <c r="AE176" s="39"/>
      <c r="AF176" s="39"/>
      <c r="AG176" s="39"/>
      <c r="AH176" s="39"/>
      <c r="AI176" s="39"/>
      <c r="AJ176" s="39"/>
      <c r="AK176" s="39"/>
    </row>
    <row r="177" spans="1:37" ht="30.6" customHeight="1" thickBot="1" x14ac:dyDescent="0.35">
      <c r="A177" s="1104"/>
      <c r="B177" s="1107"/>
      <c r="C177" s="1120"/>
      <c r="D177" s="1122"/>
      <c r="E177" s="313" t="s">
        <v>444</v>
      </c>
      <c r="F177" s="297">
        <v>1</v>
      </c>
      <c r="G177" s="316">
        <v>0</v>
      </c>
      <c r="H177" s="316">
        <v>0</v>
      </c>
      <c r="I177" s="297">
        <v>0</v>
      </c>
      <c r="J177" s="297">
        <v>0</v>
      </c>
      <c r="K177" s="317">
        <v>1</v>
      </c>
      <c r="L177" s="317">
        <v>1</v>
      </c>
      <c r="M177" s="317">
        <v>1</v>
      </c>
      <c r="N177" s="317">
        <v>1</v>
      </c>
      <c r="O177" s="297">
        <v>1</v>
      </c>
      <c r="P177" s="297">
        <v>1</v>
      </c>
      <c r="Q177" s="297">
        <v>1</v>
      </c>
      <c r="R177" s="297">
        <v>1</v>
      </c>
      <c r="S177" s="297">
        <v>1</v>
      </c>
      <c r="T177" s="297">
        <v>1</v>
      </c>
      <c r="U177" s="297">
        <v>1</v>
      </c>
      <c r="V177" s="297">
        <v>1</v>
      </c>
      <c r="W177" s="297">
        <v>1</v>
      </c>
      <c r="X177" s="297">
        <v>1</v>
      </c>
      <c r="Y177" s="297">
        <v>1</v>
      </c>
      <c r="Z177" s="297">
        <v>1</v>
      </c>
      <c r="AA177" s="297">
        <v>1</v>
      </c>
      <c r="AB177" s="297">
        <v>1</v>
      </c>
      <c r="AC177" s="298">
        <v>1</v>
      </c>
      <c r="AD177" s="39"/>
      <c r="AE177" s="39"/>
      <c r="AF177" s="39"/>
      <c r="AG177" s="39"/>
      <c r="AH177" s="39"/>
      <c r="AI177" s="39"/>
      <c r="AJ177" s="39"/>
      <c r="AK177" s="39"/>
    </row>
    <row r="178" spans="1:37" ht="30.6" customHeight="1" x14ac:dyDescent="0.3">
      <c r="A178" s="1102" t="s">
        <v>179</v>
      </c>
      <c r="B178" s="1105" t="s">
        <v>179</v>
      </c>
      <c r="C178" s="1123" t="s">
        <v>711</v>
      </c>
      <c r="D178" s="993" t="s">
        <v>737</v>
      </c>
      <c r="E178" s="299" t="s">
        <v>442</v>
      </c>
      <c r="F178" s="300">
        <v>0.2</v>
      </c>
      <c r="G178" s="301">
        <v>0</v>
      </c>
      <c r="H178" s="301">
        <v>0</v>
      </c>
      <c r="I178" s="300">
        <v>0</v>
      </c>
      <c r="J178" s="300">
        <v>0</v>
      </c>
      <c r="K178" s="301">
        <v>0.6</v>
      </c>
      <c r="L178" s="301">
        <v>0.6</v>
      </c>
      <c r="M178" s="300">
        <v>0.6</v>
      </c>
      <c r="N178" s="300">
        <v>0.55000000000000004</v>
      </c>
      <c r="O178" s="300">
        <v>0.45</v>
      </c>
      <c r="P178" s="300">
        <v>0.4</v>
      </c>
      <c r="Q178" s="300">
        <v>0.45</v>
      </c>
      <c r="R178" s="300">
        <v>0.4</v>
      </c>
      <c r="S178" s="300">
        <v>0.35</v>
      </c>
      <c r="T178" s="300">
        <v>0.3</v>
      </c>
      <c r="U178" s="300">
        <v>0.3</v>
      </c>
      <c r="V178" s="300">
        <v>0.3</v>
      </c>
      <c r="W178" s="300">
        <v>0.4</v>
      </c>
      <c r="X178" s="300">
        <v>0.55000000000000004</v>
      </c>
      <c r="Y178" s="300">
        <v>0.6</v>
      </c>
      <c r="Z178" s="300">
        <v>0.5</v>
      </c>
      <c r="AA178" s="300">
        <v>0.55000000000000004</v>
      </c>
      <c r="AB178" s="300">
        <v>0.45</v>
      </c>
      <c r="AC178" s="302">
        <v>0.25</v>
      </c>
      <c r="AD178" s="39"/>
      <c r="AE178" s="39"/>
      <c r="AF178" s="39"/>
      <c r="AG178" s="39"/>
      <c r="AH178" s="39"/>
      <c r="AI178" s="39"/>
      <c r="AJ178" s="39"/>
      <c r="AK178" s="39"/>
    </row>
    <row r="179" spans="1:37" ht="30.6" customHeight="1" x14ac:dyDescent="0.3">
      <c r="A179" s="1103"/>
      <c r="B179" s="1106"/>
      <c r="C179" s="1119"/>
      <c r="D179" s="994"/>
      <c r="E179" s="303" t="s">
        <v>443</v>
      </c>
      <c r="F179" s="294">
        <v>0.2</v>
      </c>
      <c r="G179" s="304">
        <v>0</v>
      </c>
      <c r="H179" s="304">
        <v>0</v>
      </c>
      <c r="I179" s="294">
        <v>0</v>
      </c>
      <c r="J179" s="294">
        <v>0</v>
      </c>
      <c r="K179" s="294">
        <v>0</v>
      </c>
      <c r="L179" s="304">
        <v>0.5</v>
      </c>
      <c r="M179" s="304">
        <v>0.5</v>
      </c>
      <c r="N179" s="304">
        <v>0.5</v>
      </c>
      <c r="O179" s="294">
        <v>0.5</v>
      </c>
      <c r="P179" s="294">
        <v>0.45</v>
      </c>
      <c r="Q179" s="294">
        <v>0.5</v>
      </c>
      <c r="R179" s="294">
        <v>0.5</v>
      </c>
      <c r="S179" s="294">
        <v>0.45</v>
      </c>
      <c r="T179" s="294">
        <v>0.4</v>
      </c>
      <c r="U179" s="294">
        <v>0.4</v>
      </c>
      <c r="V179" s="294">
        <v>0.35</v>
      </c>
      <c r="W179" s="294">
        <v>0.4</v>
      </c>
      <c r="X179" s="294">
        <v>0.55000000000000004</v>
      </c>
      <c r="Y179" s="294">
        <v>0.55000000000000004</v>
      </c>
      <c r="Z179" s="294">
        <v>0.5</v>
      </c>
      <c r="AA179" s="294">
        <v>0.55000000000000004</v>
      </c>
      <c r="AB179" s="294">
        <v>0.4</v>
      </c>
      <c r="AC179" s="305">
        <v>0.3</v>
      </c>
      <c r="AD179" s="39"/>
      <c r="AE179" s="39"/>
      <c r="AF179" s="39"/>
      <c r="AG179" s="39"/>
      <c r="AH179" s="39"/>
      <c r="AI179" s="39"/>
      <c r="AJ179" s="39"/>
      <c r="AK179" s="39"/>
    </row>
    <row r="180" spans="1:37" ht="30.6" customHeight="1" thickBot="1" x14ac:dyDescent="0.35">
      <c r="A180" s="1104"/>
      <c r="B180" s="1107"/>
      <c r="C180" s="1162"/>
      <c r="D180" s="995"/>
      <c r="E180" s="306" t="s">
        <v>444</v>
      </c>
      <c r="F180" s="307">
        <v>0.25</v>
      </c>
      <c r="G180" s="308">
        <v>0</v>
      </c>
      <c r="H180" s="308">
        <v>0</v>
      </c>
      <c r="I180" s="307">
        <v>0</v>
      </c>
      <c r="J180" s="307">
        <v>0</v>
      </c>
      <c r="K180" s="307">
        <v>0</v>
      </c>
      <c r="L180" s="308">
        <v>0.5</v>
      </c>
      <c r="M180" s="308">
        <v>0.5</v>
      </c>
      <c r="N180" s="308">
        <v>0.5</v>
      </c>
      <c r="O180" s="308">
        <v>0.5</v>
      </c>
      <c r="P180" s="307">
        <v>0.5</v>
      </c>
      <c r="Q180" s="307">
        <v>0.5</v>
      </c>
      <c r="R180" s="307">
        <v>0.4</v>
      </c>
      <c r="S180" s="307">
        <v>0.4</v>
      </c>
      <c r="T180" s="307">
        <v>0.3</v>
      </c>
      <c r="U180" s="307">
        <v>0.3</v>
      </c>
      <c r="V180" s="307">
        <v>0.3</v>
      </c>
      <c r="W180" s="307">
        <v>0.4</v>
      </c>
      <c r="X180" s="307">
        <v>0.5</v>
      </c>
      <c r="Y180" s="307">
        <v>0.5</v>
      </c>
      <c r="Z180" s="307">
        <v>0.4</v>
      </c>
      <c r="AA180" s="307">
        <v>0.5</v>
      </c>
      <c r="AB180" s="307">
        <v>0.4</v>
      </c>
      <c r="AC180" s="309">
        <v>0.2</v>
      </c>
      <c r="AD180" s="39"/>
      <c r="AE180" s="39"/>
      <c r="AF180" s="39"/>
      <c r="AG180" s="39"/>
      <c r="AH180" s="39"/>
      <c r="AI180" s="39"/>
      <c r="AJ180" s="39"/>
      <c r="AK180" s="39"/>
    </row>
    <row r="181" spans="1:37" ht="30.6" customHeight="1" x14ac:dyDescent="0.3">
      <c r="A181" s="1102" t="s">
        <v>179</v>
      </c>
      <c r="B181" s="1105" t="s">
        <v>179</v>
      </c>
      <c r="C181" s="1123" t="s">
        <v>299</v>
      </c>
      <c r="D181" s="993" t="s">
        <v>738</v>
      </c>
      <c r="E181" s="320" t="s">
        <v>442</v>
      </c>
      <c r="F181" s="315">
        <v>0.25</v>
      </c>
      <c r="G181" s="315">
        <v>0</v>
      </c>
      <c r="H181" s="315">
        <v>0</v>
      </c>
      <c r="I181" s="291">
        <v>1</v>
      </c>
      <c r="J181" s="315">
        <v>0.25</v>
      </c>
      <c r="K181" s="318">
        <v>0.25</v>
      </c>
      <c r="L181" s="319">
        <v>0.25</v>
      </c>
      <c r="M181" s="319">
        <v>0.25</v>
      </c>
      <c r="N181" s="319">
        <v>0.25</v>
      </c>
      <c r="O181" s="291">
        <v>0.25</v>
      </c>
      <c r="P181" s="291">
        <v>0.25</v>
      </c>
      <c r="Q181" s="291">
        <v>0.25</v>
      </c>
      <c r="R181" s="291">
        <v>0.25</v>
      </c>
      <c r="S181" s="291">
        <v>0.25</v>
      </c>
      <c r="T181" s="291">
        <v>0.25</v>
      </c>
      <c r="U181" s="291">
        <v>0.25</v>
      </c>
      <c r="V181" s="315">
        <v>0.25</v>
      </c>
      <c r="W181" s="291">
        <v>0.25</v>
      </c>
      <c r="X181" s="291">
        <v>0.25</v>
      </c>
      <c r="Y181" s="291">
        <v>0.25</v>
      </c>
      <c r="Z181" s="291">
        <v>0.25</v>
      </c>
      <c r="AA181" s="291">
        <v>0.25</v>
      </c>
      <c r="AB181" s="291">
        <v>0.25</v>
      </c>
      <c r="AC181" s="292">
        <v>0.25</v>
      </c>
      <c r="AD181" s="39"/>
      <c r="AE181" s="39"/>
      <c r="AF181" s="39"/>
      <c r="AG181" s="39"/>
      <c r="AH181" s="39"/>
      <c r="AI181" s="39"/>
      <c r="AJ181" s="39"/>
      <c r="AK181" s="39"/>
    </row>
    <row r="182" spans="1:37" ht="30.6" customHeight="1" x14ac:dyDescent="0.3">
      <c r="A182" s="1103"/>
      <c r="B182" s="1106"/>
      <c r="C182" s="1119"/>
      <c r="D182" s="994"/>
      <c r="E182" s="303" t="s">
        <v>443</v>
      </c>
      <c r="F182" s="304">
        <v>0.25</v>
      </c>
      <c r="G182" s="304">
        <v>0</v>
      </c>
      <c r="H182" s="294">
        <v>0</v>
      </c>
      <c r="I182" s="294">
        <v>1</v>
      </c>
      <c r="J182" s="294">
        <v>1</v>
      </c>
      <c r="K182" s="304">
        <v>0.25</v>
      </c>
      <c r="L182" s="304">
        <v>0.25</v>
      </c>
      <c r="M182" s="304">
        <v>0.25</v>
      </c>
      <c r="N182" s="294">
        <v>0.25</v>
      </c>
      <c r="O182" s="294">
        <v>0.25</v>
      </c>
      <c r="P182" s="294">
        <v>0.25</v>
      </c>
      <c r="Q182" s="294">
        <v>0.25</v>
      </c>
      <c r="R182" s="294">
        <v>0.25</v>
      </c>
      <c r="S182" s="294">
        <v>0.25</v>
      </c>
      <c r="T182" s="294">
        <v>0.25</v>
      </c>
      <c r="U182" s="294">
        <v>0.25</v>
      </c>
      <c r="V182" s="294">
        <v>0.25</v>
      </c>
      <c r="W182" s="294">
        <v>0.25</v>
      </c>
      <c r="X182" s="294">
        <v>0.25</v>
      </c>
      <c r="Y182" s="294">
        <v>0.25</v>
      </c>
      <c r="Z182" s="294">
        <v>0.25</v>
      </c>
      <c r="AA182" s="294">
        <v>0.25</v>
      </c>
      <c r="AB182" s="294">
        <v>0.25</v>
      </c>
      <c r="AC182" s="295">
        <v>0.25</v>
      </c>
      <c r="AD182" s="39"/>
      <c r="AE182" s="39"/>
      <c r="AF182" s="39"/>
      <c r="AG182" s="39"/>
      <c r="AH182" s="39"/>
      <c r="AI182" s="39"/>
      <c r="AJ182" s="39"/>
      <c r="AK182" s="39"/>
    </row>
    <row r="183" spans="1:37" ht="30.6" customHeight="1" thickBot="1" x14ac:dyDescent="0.35">
      <c r="A183" s="1104"/>
      <c r="B183" s="1107"/>
      <c r="C183" s="1120"/>
      <c r="D183" s="995"/>
      <c r="E183" s="321" t="s">
        <v>444</v>
      </c>
      <c r="F183" s="317">
        <v>0.25</v>
      </c>
      <c r="G183" s="317">
        <v>0</v>
      </c>
      <c r="H183" s="317">
        <v>0</v>
      </c>
      <c r="I183" s="297">
        <v>1</v>
      </c>
      <c r="J183" s="297">
        <v>1</v>
      </c>
      <c r="K183" s="316">
        <v>0.25</v>
      </c>
      <c r="L183" s="316">
        <v>0.25</v>
      </c>
      <c r="M183" s="316">
        <v>0.25</v>
      </c>
      <c r="N183" s="316">
        <v>0.25</v>
      </c>
      <c r="O183" s="297">
        <v>0.25</v>
      </c>
      <c r="P183" s="297">
        <v>0.25</v>
      </c>
      <c r="Q183" s="297">
        <v>0.25</v>
      </c>
      <c r="R183" s="297">
        <v>0.25</v>
      </c>
      <c r="S183" s="297">
        <v>0.25</v>
      </c>
      <c r="T183" s="297">
        <v>0.25</v>
      </c>
      <c r="U183" s="297">
        <v>0.25</v>
      </c>
      <c r="V183" s="297">
        <v>0.25</v>
      </c>
      <c r="W183" s="297">
        <v>0.25</v>
      </c>
      <c r="X183" s="297">
        <v>0.25</v>
      </c>
      <c r="Y183" s="297">
        <v>0.25</v>
      </c>
      <c r="Z183" s="297">
        <v>0.25</v>
      </c>
      <c r="AA183" s="297">
        <v>0.25</v>
      </c>
      <c r="AB183" s="297">
        <v>0.25</v>
      </c>
      <c r="AC183" s="298">
        <v>0.25</v>
      </c>
      <c r="AD183" s="39"/>
      <c r="AE183" s="39"/>
      <c r="AF183" s="39"/>
      <c r="AG183" s="39"/>
      <c r="AH183" s="39"/>
      <c r="AI183" s="39"/>
      <c r="AJ183" s="39"/>
      <c r="AK183" s="39"/>
    </row>
    <row r="184" spans="1:37" ht="30.6" customHeight="1" x14ac:dyDescent="0.3">
      <c r="A184" s="1102" t="s">
        <v>179</v>
      </c>
      <c r="B184" s="1105" t="s">
        <v>179</v>
      </c>
      <c r="C184" s="1160" t="s">
        <v>742</v>
      </c>
      <c r="D184" s="993" t="s">
        <v>737</v>
      </c>
      <c r="E184" s="220" t="s">
        <v>442</v>
      </c>
      <c r="F184" s="258">
        <v>0</v>
      </c>
      <c r="G184" s="258">
        <v>0</v>
      </c>
      <c r="H184" s="258">
        <v>0</v>
      </c>
      <c r="I184" s="258">
        <v>0</v>
      </c>
      <c r="J184" s="258">
        <v>0</v>
      </c>
      <c r="K184" s="322">
        <v>1</v>
      </c>
      <c r="L184" s="258">
        <v>1</v>
      </c>
      <c r="M184" s="258">
        <v>1</v>
      </c>
      <c r="N184" s="258">
        <v>1</v>
      </c>
      <c r="O184" s="258">
        <v>1</v>
      </c>
      <c r="P184" s="258">
        <v>1</v>
      </c>
      <c r="Q184" s="258">
        <v>1</v>
      </c>
      <c r="R184" s="258">
        <v>1</v>
      </c>
      <c r="S184" s="258">
        <v>1</v>
      </c>
      <c r="T184" s="258">
        <v>1</v>
      </c>
      <c r="U184" s="258">
        <v>1</v>
      </c>
      <c r="V184" s="258">
        <v>1</v>
      </c>
      <c r="W184" s="258">
        <v>1</v>
      </c>
      <c r="X184" s="258">
        <v>1</v>
      </c>
      <c r="Y184" s="258">
        <v>0</v>
      </c>
      <c r="Z184" s="258">
        <v>0</v>
      </c>
      <c r="AA184" s="258">
        <v>0</v>
      </c>
      <c r="AB184" s="258">
        <v>0</v>
      </c>
      <c r="AC184" s="259">
        <v>0</v>
      </c>
      <c r="AD184" s="39"/>
      <c r="AE184" s="39"/>
      <c r="AF184" s="39"/>
      <c r="AG184" s="39"/>
      <c r="AH184" s="39"/>
      <c r="AI184" s="39"/>
      <c r="AJ184" s="39"/>
      <c r="AK184" s="39"/>
    </row>
    <row r="185" spans="1:37" ht="30.6" customHeight="1" x14ac:dyDescent="0.3">
      <c r="A185" s="1103"/>
      <c r="B185" s="1106"/>
      <c r="C185" s="1045"/>
      <c r="D185" s="994"/>
      <c r="E185" s="222" t="s">
        <v>443</v>
      </c>
      <c r="F185" s="261">
        <v>0</v>
      </c>
      <c r="G185" s="261">
        <v>0</v>
      </c>
      <c r="H185" s="261">
        <v>0</v>
      </c>
      <c r="I185" s="261">
        <v>0</v>
      </c>
      <c r="J185" s="261">
        <v>0</v>
      </c>
      <c r="K185" s="261">
        <v>0</v>
      </c>
      <c r="L185" s="323">
        <v>1</v>
      </c>
      <c r="M185" s="323">
        <v>1</v>
      </c>
      <c r="N185" s="261">
        <v>1</v>
      </c>
      <c r="O185" s="261">
        <v>1</v>
      </c>
      <c r="P185" s="261">
        <v>1</v>
      </c>
      <c r="Q185" s="261">
        <v>1</v>
      </c>
      <c r="R185" s="261">
        <v>1</v>
      </c>
      <c r="S185" s="261">
        <v>1</v>
      </c>
      <c r="T185" s="261">
        <v>1</v>
      </c>
      <c r="U185" s="261">
        <v>1</v>
      </c>
      <c r="V185" s="261">
        <v>1</v>
      </c>
      <c r="W185" s="261">
        <v>1</v>
      </c>
      <c r="X185" s="261">
        <v>1</v>
      </c>
      <c r="Y185" s="261">
        <v>0</v>
      </c>
      <c r="Z185" s="261">
        <v>0</v>
      </c>
      <c r="AA185" s="261">
        <v>0</v>
      </c>
      <c r="AB185" s="261">
        <v>0</v>
      </c>
      <c r="AC185" s="264">
        <v>0</v>
      </c>
      <c r="AD185" s="39"/>
      <c r="AE185" s="39"/>
      <c r="AF185" s="39"/>
      <c r="AG185" s="39"/>
      <c r="AH185" s="39"/>
      <c r="AI185" s="39"/>
      <c r="AJ185" s="39"/>
      <c r="AK185" s="39"/>
    </row>
    <row r="186" spans="1:37" ht="30.6" customHeight="1" thickBot="1" x14ac:dyDescent="0.35">
      <c r="A186" s="1104"/>
      <c r="B186" s="1107"/>
      <c r="C186" s="1161"/>
      <c r="D186" s="995"/>
      <c r="E186" s="253" t="s">
        <v>444</v>
      </c>
      <c r="F186" s="265">
        <v>0</v>
      </c>
      <c r="G186" s="265">
        <v>0</v>
      </c>
      <c r="H186" s="265">
        <v>0</v>
      </c>
      <c r="I186" s="265">
        <v>0</v>
      </c>
      <c r="J186" s="265">
        <v>0</v>
      </c>
      <c r="K186" s="265">
        <v>0</v>
      </c>
      <c r="L186" s="324">
        <v>1</v>
      </c>
      <c r="M186" s="324">
        <v>1</v>
      </c>
      <c r="N186" s="324">
        <v>1</v>
      </c>
      <c r="O186" s="265">
        <v>1</v>
      </c>
      <c r="P186" s="265">
        <v>1</v>
      </c>
      <c r="Q186" s="265">
        <v>1</v>
      </c>
      <c r="R186" s="265">
        <v>1</v>
      </c>
      <c r="S186" s="265">
        <v>1</v>
      </c>
      <c r="T186" s="265">
        <v>1</v>
      </c>
      <c r="U186" s="265">
        <v>1</v>
      </c>
      <c r="V186" s="265">
        <v>1</v>
      </c>
      <c r="W186" s="265">
        <v>1</v>
      </c>
      <c r="X186" s="265">
        <v>1</v>
      </c>
      <c r="Y186" s="265">
        <v>0</v>
      </c>
      <c r="Z186" s="265">
        <v>0</v>
      </c>
      <c r="AA186" s="265">
        <v>0</v>
      </c>
      <c r="AB186" s="265">
        <v>0</v>
      </c>
      <c r="AC186" s="266">
        <v>0</v>
      </c>
      <c r="AD186" s="39"/>
      <c r="AE186" s="39"/>
      <c r="AF186" s="39"/>
      <c r="AG186" s="39"/>
      <c r="AH186" s="39"/>
      <c r="AI186" s="39"/>
      <c r="AJ186" s="39"/>
      <c r="AK186" s="39"/>
    </row>
    <row r="187" spans="1:37" ht="30.6" customHeight="1" x14ac:dyDescent="0.3">
      <c r="A187" s="1102" t="s">
        <v>179</v>
      </c>
      <c r="B187" s="1105" t="s">
        <v>179</v>
      </c>
      <c r="C187" s="1123" t="s">
        <v>743</v>
      </c>
      <c r="D187" s="993" t="s">
        <v>744</v>
      </c>
      <c r="E187" s="325" t="s">
        <v>442</v>
      </c>
      <c r="F187" s="326">
        <v>0</v>
      </c>
      <c r="G187" s="326">
        <v>0</v>
      </c>
      <c r="H187" s="326">
        <v>0</v>
      </c>
      <c r="I187" s="326">
        <v>0</v>
      </c>
      <c r="J187" s="326">
        <v>0</v>
      </c>
      <c r="K187" s="327">
        <v>1</v>
      </c>
      <c r="L187" s="326">
        <v>0.5</v>
      </c>
      <c r="M187" s="326">
        <v>1</v>
      </c>
      <c r="N187" s="326">
        <v>0.5</v>
      </c>
      <c r="O187" s="326">
        <v>1</v>
      </c>
      <c r="P187" s="326">
        <v>0.5</v>
      </c>
      <c r="Q187" s="326">
        <v>1</v>
      </c>
      <c r="R187" s="326">
        <v>0.5</v>
      </c>
      <c r="S187" s="326">
        <v>1</v>
      </c>
      <c r="T187" s="326">
        <v>0.5</v>
      </c>
      <c r="U187" s="326">
        <v>1</v>
      </c>
      <c r="V187" s="326">
        <v>0.5</v>
      </c>
      <c r="W187" s="326">
        <v>1</v>
      </c>
      <c r="X187" s="326">
        <v>0.5</v>
      </c>
      <c r="Y187" s="326">
        <v>0</v>
      </c>
      <c r="Z187" s="326">
        <v>0</v>
      </c>
      <c r="AA187" s="326">
        <v>0</v>
      </c>
      <c r="AB187" s="326">
        <v>0</v>
      </c>
      <c r="AC187" s="328">
        <v>0</v>
      </c>
      <c r="AD187" s="39"/>
      <c r="AE187" s="39"/>
      <c r="AF187" s="39"/>
      <c r="AG187" s="39"/>
      <c r="AH187" s="39"/>
      <c r="AI187" s="39"/>
      <c r="AJ187" s="39"/>
      <c r="AK187" s="39"/>
    </row>
    <row r="188" spans="1:37" ht="30.6" customHeight="1" x14ac:dyDescent="0.3">
      <c r="A188" s="1103"/>
      <c r="B188" s="1106"/>
      <c r="C188" s="1119"/>
      <c r="D188" s="994"/>
      <c r="E188" s="303" t="s">
        <v>443</v>
      </c>
      <c r="F188" s="329">
        <v>0</v>
      </c>
      <c r="G188" s="329">
        <v>0</v>
      </c>
      <c r="H188" s="329">
        <v>0</v>
      </c>
      <c r="I188" s="329">
        <v>0</v>
      </c>
      <c r="J188" s="329">
        <v>0</v>
      </c>
      <c r="K188" s="329">
        <v>0</v>
      </c>
      <c r="L188" s="301">
        <v>0.5</v>
      </c>
      <c r="M188" s="304">
        <v>1</v>
      </c>
      <c r="N188" s="304">
        <v>0.5</v>
      </c>
      <c r="O188" s="329">
        <v>1</v>
      </c>
      <c r="P188" s="329">
        <v>0.5</v>
      </c>
      <c r="Q188" s="329">
        <v>1</v>
      </c>
      <c r="R188" s="329">
        <v>0.5</v>
      </c>
      <c r="S188" s="329">
        <v>1</v>
      </c>
      <c r="T188" s="329">
        <v>0.5</v>
      </c>
      <c r="U188" s="329">
        <v>1</v>
      </c>
      <c r="V188" s="329">
        <v>0.5</v>
      </c>
      <c r="W188" s="329">
        <v>1</v>
      </c>
      <c r="X188" s="329">
        <v>0.5</v>
      </c>
      <c r="Y188" s="329">
        <v>0</v>
      </c>
      <c r="Z188" s="329">
        <v>0</v>
      </c>
      <c r="AA188" s="329">
        <v>0</v>
      </c>
      <c r="AB188" s="329">
        <v>0</v>
      </c>
      <c r="AC188" s="330">
        <v>0</v>
      </c>
      <c r="AD188" s="39"/>
      <c r="AE188" s="39"/>
      <c r="AF188" s="39"/>
      <c r="AG188" s="39"/>
      <c r="AH188" s="39"/>
      <c r="AI188" s="39"/>
      <c r="AJ188" s="39"/>
      <c r="AK188" s="39"/>
    </row>
    <row r="189" spans="1:37" ht="30.6" customHeight="1" thickBot="1" x14ac:dyDescent="0.35">
      <c r="A189" s="1104"/>
      <c r="B189" s="1107"/>
      <c r="C189" s="1120"/>
      <c r="D189" s="995"/>
      <c r="E189" s="331" t="s">
        <v>444</v>
      </c>
      <c r="F189" s="332">
        <v>0</v>
      </c>
      <c r="G189" s="332">
        <v>0</v>
      </c>
      <c r="H189" s="332">
        <v>0</v>
      </c>
      <c r="I189" s="332">
        <v>0</v>
      </c>
      <c r="J189" s="332">
        <v>0</v>
      </c>
      <c r="K189" s="332">
        <v>0</v>
      </c>
      <c r="L189" s="333">
        <v>0.5</v>
      </c>
      <c r="M189" s="333">
        <v>1</v>
      </c>
      <c r="N189" s="333">
        <v>0.5</v>
      </c>
      <c r="O189" s="332">
        <v>1</v>
      </c>
      <c r="P189" s="332">
        <v>0.5</v>
      </c>
      <c r="Q189" s="332">
        <v>1</v>
      </c>
      <c r="R189" s="332">
        <v>0.5</v>
      </c>
      <c r="S189" s="332">
        <v>1</v>
      </c>
      <c r="T189" s="332">
        <v>0.5</v>
      </c>
      <c r="U189" s="332">
        <v>1</v>
      </c>
      <c r="V189" s="332">
        <v>0.5</v>
      </c>
      <c r="W189" s="332">
        <v>1</v>
      </c>
      <c r="X189" s="332">
        <v>0.5</v>
      </c>
      <c r="Y189" s="332">
        <v>0</v>
      </c>
      <c r="Z189" s="332">
        <v>0</v>
      </c>
      <c r="AA189" s="332">
        <v>0</v>
      </c>
      <c r="AB189" s="332">
        <v>0</v>
      </c>
      <c r="AC189" s="334">
        <v>0</v>
      </c>
      <c r="AD189" s="39"/>
      <c r="AE189" s="39"/>
      <c r="AF189" s="39"/>
      <c r="AG189" s="39"/>
      <c r="AH189" s="39"/>
      <c r="AI189" s="39"/>
      <c r="AJ189" s="39"/>
      <c r="AK189" s="39"/>
    </row>
    <row r="190" spans="1:37" ht="30.6" customHeight="1" x14ac:dyDescent="0.3">
      <c r="A190" s="1102" t="s">
        <v>179</v>
      </c>
      <c r="B190" s="1105" t="s">
        <v>179</v>
      </c>
      <c r="C190" s="1160" t="s">
        <v>713</v>
      </c>
      <c r="D190" s="993" t="s">
        <v>735</v>
      </c>
      <c r="E190" s="220" t="s">
        <v>442</v>
      </c>
      <c r="F190" s="258">
        <v>0.9</v>
      </c>
      <c r="G190" s="258">
        <v>0.9</v>
      </c>
      <c r="H190" s="258">
        <v>0.9</v>
      </c>
      <c r="I190" s="258">
        <v>0.9</v>
      </c>
      <c r="J190" s="258">
        <v>0.9</v>
      </c>
      <c r="K190" s="258">
        <v>0.9</v>
      </c>
      <c r="L190" s="258">
        <v>0.9</v>
      </c>
      <c r="M190" s="258">
        <v>0.9</v>
      </c>
      <c r="N190" s="258">
        <v>0.9</v>
      </c>
      <c r="O190" s="258">
        <v>0.9</v>
      </c>
      <c r="P190" s="258">
        <v>0.9</v>
      </c>
      <c r="Q190" s="258">
        <v>0.9</v>
      </c>
      <c r="R190" s="258">
        <v>0.9</v>
      </c>
      <c r="S190" s="258">
        <v>0.9</v>
      </c>
      <c r="T190" s="258">
        <v>0.9</v>
      </c>
      <c r="U190" s="258">
        <v>0.9</v>
      </c>
      <c r="V190" s="258">
        <v>0.9</v>
      </c>
      <c r="W190" s="258">
        <v>0.9</v>
      </c>
      <c r="X190" s="258">
        <v>0.9</v>
      </c>
      <c r="Y190" s="258">
        <v>0.9</v>
      </c>
      <c r="Z190" s="258">
        <v>0.9</v>
      </c>
      <c r="AA190" s="258">
        <v>0.9</v>
      </c>
      <c r="AB190" s="258">
        <v>0.9</v>
      </c>
      <c r="AC190" s="259">
        <v>0.9</v>
      </c>
      <c r="AD190" s="39"/>
      <c r="AE190" s="39"/>
      <c r="AF190" s="39"/>
      <c r="AG190" s="39"/>
      <c r="AH190" s="39"/>
      <c r="AI190" s="39"/>
      <c r="AJ190" s="39"/>
      <c r="AK190" s="39"/>
    </row>
    <row r="191" spans="1:37" ht="30.6" customHeight="1" x14ac:dyDescent="0.3">
      <c r="A191" s="1103"/>
      <c r="B191" s="1106"/>
      <c r="C191" s="1045"/>
      <c r="D191" s="994"/>
      <c r="E191" s="222" t="s">
        <v>443</v>
      </c>
      <c r="F191" s="261">
        <v>0.9</v>
      </c>
      <c r="G191" s="261">
        <v>0.9</v>
      </c>
      <c r="H191" s="261">
        <v>0.9</v>
      </c>
      <c r="I191" s="261">
        <v>0.9</v>
      </c>
      <c r="J191" s="261">
        <v>0.9</v>
      </c>
      <c r="K191" s="261">
        <v>0.9</v>
      </c>
      <c r="L191" s="261">
        <v>0.9</v>
      </c>
      <c r="M191" s="261">
        <v>0.9</v>
      </c>
      <c r="N191" s="261">
        <v>0.9</v>
      </c>
      <c r="O191" s="261">
        <v>0.9</v>
      </c>
      <c r="P191" s="261">
        <v>0.9</v>
      </c>
      <c r="Q191" s="261">
        <v>0.9</v>
      </c>
      <c r="R191" s="261">
        <v>0.9</v>
      </c>
      <c r="S191" s="261">
        <v>0.9</v>
      </c>
      <c r="T191" s="261">
        <v>0.9</v>
      </c>
      <c r="U191" s="261">
        <v>0.9</v>
      </c>
      <c r="V191" s="261">
        <v>0.9</v>
      </c>
      <c r="W191" s="261">
        <v>0.9</v>
      </c>
      <c r="X191" s="261">
        <v>0.9</v>
      </c>
      <c r="Y191" s="261">
        <v>0.9</v>
      </c>
      <c r="Z191" s="261">
        <v>0.9</v>
      </c>
      <c r="AA191" s="261">
        <v>0.9</v>
      </c>
      <c r="AB191" s="261">
        <v>0.9</v>
      </c>
      <c r="AC191" s="264">
        <v>0.9</v>
      </c>
      <c r="AD191" s="39"/>
      <c r="AE191" s="39"/>
      <c r="AF191" s="39"/>
      <c r="AG191" s="39"/>
      <c r="AH191" s="39"/>
      <c r="AI191" s="39"/>
      <c r="AJ191" s="39"/>
      <c r="AK191" s="39"/>
    </row>
    <row r="192" spans="1:37" ht="30.6" customHeight="1" thickBot="1" x14ac:dyDescent="0.35">
      <c r="A192" s="1104"/>
      <c r="B192" s="1107"/>
      <c r="C192" s="1046"/>
      <c r="D192" s="995"/>
      <c r="E192" s="224" t="s">
        <v>444</v>
      </c>
      <c r="F192" s="269">
        <v>0.9</v>
      </c>
      <c r="G192" s="269">
        <v>0.9</v>
      </c>
      <c r="H192" s="269">
        <v>0.9</v>
      </c>
      <c r="I192" s="269">
        <v>0.9</v>
      </c>
      <c r="J192" s="269">
        <v>0.9</v>
      </c>
      <c r="K192" s="269">
        <v>0.9</v>
      </c>
      <c r="L192" s="269">
        <v>0.9</v>
      </c>
      <c r="M192" s="269">
        <v>0.9</v>
      </c>
      <c r="N192" s="269">
        <v>0.9</v>
      </c>
      <c r="O192" s="269">
        <v>0.9</v>
      </c>
      <c r="P192" s="269">
        <v>0.9</v>
      </c>
      <c r="Q192" s="269">
        <v>0.9</v>
      </c>
      <c r="R192" s="269">
        <v>0.9</v>
      </c>
      <c r="S192" s="269">
        <v>0.9</v>
      </c>
      <c r="T192" s="269">
        <v>0.9</v>
      </c>
      <c r="U192" s="269">
        <v>0.9</v>
      </c>
      <c r="V192" s="269">
        <v>0.9</v>
      </c>
      <c r="W192" s="269">
        <v>0.9</v>
      </c>
      <c r="X192" s="269">
        <v>0.9</v>
      </c>
      <c r="Y192" s="269">
        <v>0.9</v>
      </c>
      <c r="Z192" s="269">
        <v>0.9</v>
      </c>
      <c r="AA192" s="269">
        <v>0.9</v>
      </c>
      <c r="AB192" s="269">
        <v>0.9</v>
      </c>
      <c r="AC192" s="270">
        <v>0.9</v>
      </c>
      <c r="AD192" s="39"/>
      <c r="AE192" s="39"/>
      <c r="AF192" s="39"/>
      <c r="AG192" s="39"/>
      <c r="AH192" s="39"/>
      <c r="AI192" s="39"/>
      <c r="AJ192" s="39"/>
      <c r="AK192" s="39"/>
    </row>
    <row r="193" spans="1:39" ht="30.6" customHeight="1" x14ac:dyDescent="0.3">
      <c r="A193" s="1102" t="s">
        <v>179</v>
      </c>
      <c r="B193" s="1105" t="s">
        <v>179</v>
      </c>
      <c r="C193" s="1044" t="s">
        <v>712</v>
      </c>
      <c r="D193" s="993" t="s">
        <v>745</v>
      </c>
      <c r="E193" s="252" t="s">
        <v>442</v>
      </c>
      <c r="F193" s="278">
        <v>0.5</v>
      </c>
      <c r="G193" s="278">
        <v>0</v>
      </c>
      <c r="H193" s="278">
        <v>0</v>
      </c>
      <c r="I193" s="278">
        <v>0</v>
      </c>
      <c r="J193" s="278">
        <v>0</v>
      </c>
      <c r="K193" s="278">
        <v>0</v>
      </c>
      <c r="L193" s="335">
        <v>0.5</v>
      </c>
      <c r="M193" s="335">
        <v>0.9</v>
      </c>
      <c r="N193" s="335">
        <v>0.9</v>
      </c>
      <c r="O193" s="335">
        <v>0.9</v>
      </c>
      <c r="P193" s="278">
        <v>0.9</v>
      </c>
      <c r="Q193" s="278">
        <v>0.9</v>
      </c>
      <c r="R193" s="278">
        <v>0.9</v>
      </c>
      <c r="S193" s="278">
        <v>0.9</v>
      </c>
      <c r="T193" s="278">
        <v>0.75</v>
      </c>
      <c r="U193" s="278">
        <v>0.75</v>
      </c>
      <c r="V193" s="278">
        <v>0.75</v>
      </c>
      <c r="W193" s="278">
        <v>0.9</v>
      </c>
      <c r="X193" s="278">
        <v>0.9</v>
      </c>
      <c r="Y193" s="278">
        <v>0.9</v>
      </c>
      <c r="Z193" s="278">
        <v>0.9</v>
      </c>
      <c r="AA193" s="278">
        <v>0.75</v>
      </c>
      <c r="AB193" s="278">
        <v>0.5</v>
      </c>
      <c r="AC193" s="279">
        <v>0.5</v>
      </c>
      <c r="AD193" s="39"/>
      <c r="AE193" s="39"/>
      <c r="AF193" s="39"/>
      <c r="AG193" s="39"/>
      <c r="AH193" s="39"/>
      <c r="AI193" s="39"/>
      <c r="AJ193" s="39"/>
      <c r="AK193" s="39"/>
    </row>
    <row r="194" spans="1:39" ht="30.6" customHeight="1" x14ac:dyDescent="0.3">
      <c r="A194" s="1103"/>
      <c r="B194" s="1106"/>
      <c r="C194" s="1045"/>
      <c r="D194" s="994"/>
      <c r="E194" s="222" t="s">
        <v>443</v>
      </c>
      <c r="F194" s="261">
        <v>0.5</v>
      </c>
      <c r="G194" s="261">
        <v>0</v>
      </c>
      <c r="H194" s="261">
        <v>0</v>
      </c>
      <c r="I194" s="261">
        <v>0</v>
      </c>
      <c r="J194" s="261">
        <v>0</v>
      </c>
      <c r="K194" s="261">
        <v>0</v>
      </c>
      <c r="L194" s="323">
        <v>0.5</v>
      </c>
      <c r="M194" s="323">
        <v>0.9</v>
      </c>
      <c r="N194" s="323">
        <v>0.9</v>
      </c>
      <c r="O194" s="323">
        <v>0.9</v>
      </c>
      <c r="P194" s="261">
        <v>0.9</v>
      </c>
      <c r="Q194" s="261">
        <v>0.9</v>
      </c>
      <c r="R194" s="261">
        <v>0.9</v>
      </c>
      <c r="S194" s="261">
        <v>0.9</v>
      </c>
      <c r="T194" s="261">
        <v>0.75</v>
      </c>
      <c r="U194" s="261">
        <v>0.75</v>
      </c>
      <c r="V194" s="261">
        <v>0.75</v>
      </c>
      <c r="W194" s="261">
        <v>0.9</v>
      </c>
      <c r="X194" s="261">
        <v>0.9</v>
      </c>
      <c r="Y194" s="261">
        <v>0.9</v>
      </c>
      <c r="Z194" s="261">
        <v>0.9</v>
      </c>
      <c r="AA194" s="261">
        <v>0.75</v>
      </c>
      <c r="AB194" s="261">
        <v>0.75</v>
      </c>
      <c r="AC194" s="264">
        <v>0.5</v>
      </c>
      <c r="AD194" s="39"/>
      <c r="AE194" s="39"/>
      <c r="AF194" s="39"/>
      <c r="AG194" s="39"/>
      <c r="AH194" s="39"/>
      <c r="AI194" s="39"/>
      <c r="AJ194" s="39"/>
      <c r="AK194" s="39"/>
    </row>
    <row r="195" spans="1:39" ht="30.6" customHeight="1" thickBot="1" x14ac:dyDescent="0.35">
      <c r="A195" s="1104"/>
      <c r="B195" s="1107"/>
      <c r="C195" s="1046"/>
      <c r="D195" s="995"/>
      <c r="E195" s="253" t="s">
        <v>444</v>
      </c>
      <c r="F195" s="265">
        <v>0.5</v>
      </c>
      <c r="G195" s="265">
        <v>0</v>
      </c>
      <c r="H195" s="265">
        <v>0</v>
      </c>
      <c r="I195" s="265">
        <v>0</v>
      </c>
      <c r="J195" s="265">
        <v>0</v>
      </c>
      <c r="K195" s="265">
        <v>0</v>
      </c>
      <c r="L195" s="324">
        <v>0.5</v>
      </c>
      <c r="M195" s="324">
        <v>0.9</v>
      </c>
      <c r="N195" s="324">
        <v>0.9</v>
      </c>
      <c r="O195" s="324">
        <v>0.9</v>
      </c>
      <c r="P195" s="265">
        <v>0.9</v>
      </c>
      <c r="Q195" s="265">
        <v>0.9</v>
      </c>
      <c r="R195" s="265">
        <v>0.9</v>
      </c>
      <c r="S195" s="265">
        <v>0.9</v>
      </c>
      <c r="T195" s="265">
        <v>0.75</v>
      </c>
      <c r="U195" s="265">
        <v>0.75</v>
      </c>
      <c r="V195" s="265">
        <v>0.75</v>
      </c>
      <c r="W195" s="265">
        <v>0.9</v>
      </c>
      <c r="X195" s="265">
        <v>0.9</v>
      </c>
      <c r="Y195" s="265">
        <v>0.9</v>
      </c>
      <c r="Z195" s="265">
        <v>0.9</v>
      </c>
      <c r="AA195" s="265">
        <v>0.75</v>
      </c>
      <c r="AB195" s="265">
        <v>0.5</v>
      </c>
      <c r="AC195" s="266">
        <v>0.5</v>
      </c>
      <c r="AD195" s="39"/>
      <c r="AE195" s="39"/>
      <c r="AF195" s="39"/>
      <c r="AG195" s="39"/>
      <c r="AH195" s="39"/>
      <c r="AI195" s="39"/>
      <c r="AJ195" s="39"/>
      <c r="AK195" s="39"/>
    </row>
    <row r="196" spans="1:39" ht="30.6" customHeight="1" x14ac:dyDescent="0.3">
      <c r="A196" s="1142" t="str">
        <f>A190</f>
        <v>Kitchen</v>
      </c>
      <c r="B196" s="1145" t="str">
        <f>B190</f>
        <v>Kitchen</v>
      </c>
      <c r="C196" s="1147" t="s">
        <v>715</v>
      </c>
      <c r="D196" s="1164" t="s">
        <v>746</v>
      </c>
      <c r="E196" s="342" t="s">
        <v>442</v>
      </c>
      <c r="F196" s="236">
        <f>IF(F187=1,Thermostat!$B$7,Thermostat!$B$8)</f>
        <v>60</v>
      </c>
      <c r="G196" s="236">
        <f>IF(G187=1,Thermostat!$B$7,Thermostat!$B$8)</f>
        <v>60</v>
      </c>
      <c r="H196" s="236">
        <f>IF(H187=1,Thermostat!$B$7,Thermostat!$B$8)</f>
        <v>60</v>
      </c>
      <c r="I196" s="236">
        <f>IF(I187=1,Thermostat!$B$7,Thermostat!$B$8)</f>
        <v>60</v>
      </c>
      <c r="J196" s="236">
        <f>IF(J187=1,Thermostat!$B$7,Thermostat!$B$8)</f>
        <v>60</v>
      </c>
      <c r="K196" s="236">
        <f>IF(K187=1,Thermostat!$B$7,Thermostat!$B$8)</f>
        <v>66</v>
      </c>
      <c r="L196" s="236">
        <f>IF(L187=1,Thermostat!$B$7,Thermostat!$B$8)</f>
        <v>60</v>
      </c>
      <c r="M196" s="236">
        <f>IF(M187=1,Thermostat!$B$7,Thermostat!$B$8)</f>
        <v>66</v>
      </c>
      <c r="N196" s="236">
        <f>IF(N187=1,Thermostat!$B$7,Thermostat!$B$8)</f>
        <v>60</v>
      </c>
      <c r="O196" s="236">
        <f>IF(O187=1,Thermostat!$B$7,Thermostat!$B$8)</f>
        <v>66</v>
      </c>
      <c r="P196" s="236">
        <f>IF(P187=1,Thermostat!$B$7,Thermostat!$B$8)</f>
        <v>60</v>
      </c>
      <c r="Q196" s="236">
        <f>IF(Q187=1,Thermostat!$B$7,Thermostat!$B$8)</f>
        <v>66</v>
      </c>
      <c r="R196" s="236">
        <f>IF(R187=1,Thermostat!$B$7,Thermostat!$B$8)</f>
        <v>60</v>
      </c>
      <c r="S196" s="236">
        <f>IF(S187=1,Thermostat!$B$7,Thermostat!$B$8)</f>
        <v>66</v>
      </c>
      <c r="T196" s="236">
        <f>IF(T187=1,Thermostat!$B$7,Thermostat!$B$8)</f>
        <v>60</v>
      </c>
      <c r="U196" s="236">
        <f>IF(U187=1,Thermostat!$B$7,Thermostat!$B$8)</f>
        <v>66</v>
      </c>
      <c r="V196" s="236">
        <f>IF(V187=1,Thermostat!$B$7,Thermostat!$B$8)</f>
        <v>60</v>
      </c>
      <c r="W196" s="236">
        <f>IF(W187=1,Thermostat!$B$7,Thermostat!$B$8)</f>
        <v>66</v>
      </c>
      <c r="X196" s="236">
        <f>IF(X187=1,Thermostat!$B$7,Thermostat!$B$8)</f>
        <v>60</v>
      </c>
      <c r="Y196" s="236">
        <f>IF(Y187=1,Thermostat!$B$7,Thermostat!$B$8)</f>
        <v>60</v>
      </c>
      <c r="Z196" s="236">
        <f>IF(Z187=1,Thermostat!$B$7,Thermostat!$B$8)</f>
        <v>60</v>
      </c>
      <c r="AA196" s="236">
        <f>IF(AA187=1,Thermostat!$B$7,Thermostat!$B$8)</f>
        <v>60</v>
      </c>
      <c r="AB196" s="236">
        <f>IF(AB187=1,Thermostat!$B$7,Thermostat!$B$8)</f>
        <v>60</v>
      </c>
      <c r="AC196" s="237">
        <f>IF(AC187=1,Thermostat!$B$7,Thermostat!$B$8)</f>
        <v>60</v>
      </c>
      <c r="AD196" s="39"/>
      <c r="AE196" s="39"/>
      <c r="AF196" s="39"/>
      <c r="AG196" s="39"/>
      <c r="AH196" s="39"/>
      <c r="AI196" s="39"/>
      <c r="AJ196" s="39"/>
      <c r="AK196" s="39"/>
    </row>
    <row r="197" spans="1:39" ht="30.6" customHeight="1" x14ac:dyDescent="0.3">
      <c r="A197" s="1143"/>
      <c r="B197" s="1135"/>
      <c r="C197" s="1063"/>
      <c r="D197" s="1140"/>
      <c r="E197" s="343" t="s">
        <v>443</v>
      </c>
      <c r="F197" s="234">
        <f>IF(F188=1,Thermostat!$B$7,Thermostat!$B$8)</f>
        <v>60</v>
      </c>
      <c r="G197" s="234">
        <f>IF(G188=1,Thermostat!$B$7,Thermostat!$B$8)</f>
        <v>60</v>
      </c>
      <c r="H197" s="234">
        <f>IF(H188=1,Thermostat!$B$7,Thermostat!$B$8)</f>
        <v>60</v>
      </c>
      <c r="I197" s="234">
        <f>IF(I188=1,Thermostat!$B$7,Thermostat!$B$8)</f>
        <v>60</v>
      </c>
      <c r="J197" s="234">
        <f>IF(J188=1,Thermostat!$B$7,Thermostat!$B$8)</f>
        <v>60</v>
      </c>
      <c r="K197" s="234">
        <f>IF(K188=1,Thermostat!$B$7,Thermostat!$B$8)</f>
        <v>60</v>
      </c>
      <c r="L197" s="234">
        <f>IF(L188=1,Thermostat!$B$7,Thermostat!$B$8)</f>
        <v>60</v>
      </c>
      <c r="M197" s="234">
        <f>IF(M188=1,Thermostat!$B$7,Thermostat!$B$8)</f>
        <v>66</v>
      </c>
      <c r="N197" s="234">
        <f>IF(N188=1,Thermostat!$B$7,Thermostat!$B$8)</f>
        <v>60</v>
      </c>
      <c r="O197" s="234">
        <f>IF(O188=1,Thermostat!$B$7,Thermostat!$B$8)</f>
        <v>66</v>
      </c>
      <c r="P197" s="234">
        <f>IF(P188=1,Thermostat!$B$7,Thermostat!$B$8)</f>
        <v>60</v>
      </c>
      <c r="Q197" s="234">
        <f>IF(Q188=1,Thermostat!$B$7,Thermostat!$B$8)</f>
        <v>66</v>
      </c>
      <c r="R197" s="234">
        <f>IF(R188=1,Thermostat!$B$7,Thermostat!$B$8)</f>
        <v>60</v>
      </c>
      <c r="S197" s="234">
        <f>IF(S188=1,Thermostat!$B$7,Thermostat!$B$8)</f>
        <v>66</v>
      </c>
      <c r="T197" s="234">
        <f>IF(T188=1,Thermostat!$B$7,Thermostat!$B$8)</f>
        <v>60</v>
      </c>
      <c r="U197" s="234">
        <f>IF(U188=1,Thermostat!$B$7,Thermostat!$B$8)</f>
        <v>66</v>
      </c>
      <c r="V197" s="234">
        <f>IF(V188=1,Thermostat!$B$7,Thermostat!$B$8)</f>
        <v>60</v>
      </c>
      <c r="W197" s="234">
        <f>IF(W188=1,Thermostat!$B$7,Thermostat!$B$8)</f>
        <v>66</v>
      </c>
      <c r="X197" s="234">
        <f>IF(X188=1,Thermostat!$B$7,Thermostat!$B$8)</f>
        <v>60</v>
      </c>
      <c r="Y197" s="234">
        <f>IF(Y188=1,Thermostat!$B$7,Thermostat!$B$8)</f>
        <v>60</v>
      </c>
      <c r="Z197" s="234">
        <f>IF(Z188=1,Thermostat!$B$7,Thermostat!$B$8)</f>
        <v>60</v>
      </c>
      <c r="AA197" s="234">
        <f>IF(AA188=1,Thermostat!$B$7,Thermostat!$B$8)</f>
        <v>60</v>
      </c>
      <c r="AB197" s="234">
        <f>IF(AB188=1,Thermostat!$B$7,Thermostat!$B$8)</f>
        <v>60</v>
      </c>
      <c r="AC197" s="238">
        <f>IF(AC188=1,Thermostat!$B$7,Thermostat!$B$8)</f>
        <v>60</v>
      </c>
      <c r="AD197" s="39"/>
      <c r="AE197" s="39"/>
      <c r="AF197" s="39"/>
      <c r="AG197" s="39"/>
      <c r="AH197" s="39"/>
      <c r="AI197" s="39"/>
      <c r="AJ197" s="39"/>
      <c r="AK197" s="39"/>
    </row>
    <row r="198" spans="1:39" ht="30.6" customHeight="1" thickBot="1" x14ac:dyDescent="0.35">
      <c r="A198" s="1163"/>
      <c r="B198" s="1154"/>
      <c r="C198" s="1088"/>
      <c r="D198" s="1156"/>
      <c r="E198" s="345" t="s">
        <v>444</v>
      </c>
      <c r="F198" s="241">
        <f>IF(F189=1,Thermostat!$B$7,Thermostat!$B$8)</f>
        <v>60</v>
      </c>
      <c r="G198" s="241">
        <f>IF(G189=1,Thermostat!$B$7,Thermostat!$B$8)</f>
        <v>60</v>
      </c>
      <c r="H198" s="241">
        <f>IF(H189=1,Thermostat!$B$7,Thermostat!$B$8)</f>
        <v>60</v>
      </c>
      <c r="I198" s="241">
        <f>IF(I189=1,Thermostat!$B$7,Thermostat!$B$8)</f>
        <v>60</v>
      </c>
      <c r="J198" s="241">
        <f>IF(J189=1,Thermostat!$B$7,Thermostat!$B$8)</f>
        <v>60</v>
      </c>
      <c r="K198" s="241">
        <f>IF(K189=1,Thermostat!$B$7,Thermostat!$B$8)</f>
        <v>60</v>
      </c>
      <c r="L198" s="241">
        <f>IF(L189=1,Thermostat!$B$7,Thermostat!$B$8)</f>
        <v>60</v>
      </c>
      <c r="M198" s="241">
        <f>IF(M189=1,Thermostat!$B$7,Thermostat!$B$8)</f>
        <v>66</v>
      </c>
      <c r="N198" s="241">
        <f>IF(N189=1,Thermostat!$B$7,Thermostat!$B$8)</f>
        <v>60</v>
      </c>
      <c r="O198" s="241">
        <f>IF(O189=1,Thermostat!$B$7,Thermostat!$B$8)</f>
        <v>66</v>
      </c>
      <c r="P198" s="241">
        <f>IF(P189=1,Thermostat!$B$7,Thermostat!$B$8)</f>
        <v>60</v>
      </c>
      <c r="Q198" s="241">
        <f>IF(Q189=1,Thermostat!$B$7,Thermostat!$B$8)</f>
        <v>66</v>
      </c>
      <c r="R198" s="241">
        <f>IF(R189=1,Thermostat!$B$7,Thermostat!$B$8)</f>
        <v>60</v>
      </c>
      <c r="S198" s="241">
        <f>IF(S189=1,Thermostat!$B$7,Thermostat!$B$8)</f>
        <v>66</v>
      </c>
      <c r="T198" s="241">
        <f>IF(T189=1,Thermostat!$B$7,Thermostat!$B$8)</f>
        <v>60</v>
      </c>
      <c r="U198" s="241">
        <f>IF(U189=1,Thermostat!$B$7,Thermostat!$B$8)</f>
        <v>66</v>
      </c>
      <c r="V198" s="241">
        <f>IF(V189=1,Thermostat!$B$7,Thermostat!$B$8)</f>
        <v>60</v>
      </c>
      <c r="W198" s="241">
        <f>IF(W189=1,Thermostat!$B$7,Thermostat!$B$8)</f>
        <v>66</v>
      </c>
      <c r="X198" s="241">
        <f>IF(X189=1,Thermostat!$B$7,Thermostat!$B$8)</f>
        <v>60</v>
      </c>
      <c r="Y198" s="241">
        <f>IF(Y189=1,Thermostat!$B$7,Thermostat!$B$8)</f>
        <v>60</v>
      </c>
      <c r="Z198" s="241">
        <f>IF(Z189=1,Thermostat!$B$7,Thermostat!$B$8)</f>
        <v>60</v>
      </c>
      <c r="AA198" s="241">
        <f>IF(AA189=1,Thermostat!$B$7,Thermostat!$B$8)</f>
        <v>60</v>
      </c>
      <c r="AB198" s="241">
        <f>IF(AB189=1,Thermostat!$B$7,Thermostat!$B$8)</f>
        <v>60</v>
      </c>
      <c r="AC198" s="251">
        <f>IF(AC189=1,Thermostat!$B$7,Thermostat!$B$8)</f>
        <v>60</v>
      </c>
      <c r="AD198" s="39"/>
      <c r="AE198" s="39"/>
      <c r="AF198" s="39"/>
      <c r="AG198" s="39"/>
      <c r="AH198" s="39"/>
      <c r="AI198" s="39"/>
      <c r="AJ198" s="39"/>
      <c r="AK198" s="39"/>
    </row>
    <row r="199" spans="1:39" ht="30.6" customHeight="1" x14ac:dyDescent="0.3">
      <c r="A199" s="1142" t="str">
        <f>A193</f>
        <v>Kitchen</v>
      </c>
      <c r="B199" s="1145" t="str">
        <f>B193</f>
        <v>Kitchen</v>
      </c>
      <c r="C199" s="1147" t="s">
        <v>716</v>
      </c>
      <c r="D199" s="1155" t="s">
        <v>746</v>
      </c>
      <c r="E199" s="342" t="s">
        <v>442</v>
      </c>
      <c r="F199" s="236">
        <f>IF(F187=1,Thermostat!$B$9,Thermostat!$B$10)</f>
        <v>86</v>
      </c>
      <c r="G199" s="236">
        <f>IF(G187=1,Thermostat!$B$9,Thermostat!$B$10)</f>
        <v>86</v>
      </c>
      <c r="H199" s="236">
        <f>IF(H187=1,Thermostat!$B$9,Thermostat!$B$10)</f>
        <v>86</v>
      </c>
      <c r="I199" s="236">
        <f>IF(I187=1,Thermostat!$B$9,Thermostat!$B$10)</f>
        <v>86</v>
      </c>
      <c r="J199" s="236">
        <f>IF(J187=1,Thermostat!$B$9,Thermostat!$B$10)</f>
        <v>86</v>
      </c>
      <c r="K199" s="236">
        <f>IF(K187=1,Thermostat!$B$9,Thermostat!$B$10)</f>
        <v>79</v>
      </c>
      <c r="L199" s="236">
        <f>IF(L187=1,Thermostat!$B$9,Thermostat!$B$10)</f>
        <v>86</v>
      </c>
      <c r="M199" s="236">
        <f>IF(M187=1,Thermostat!$B$9,Thermostat!$B$10)</f>
        <v>79</v>
      </c>
      <c r="N199" s="236">
        <f>IF(N187=1,Thermostat!$B$9,Thermostat!$B$10)</f>
        <v>86</v>
      </c>
      <c r="O199" s="236">
        <f>IF(O187=1,Thermostat!$B$9,Thermostat!$B$10)</f>
        <v>79</v>
      </c>
      <c r="P199" s="236">
        <f>IF(P187=1,Thermostat!$B$9,Thermostat!$B$10)</f>
        <v>86</v>
      </c>
      <c r="Q199" s="236">
        <f>IF(Q187=1,Thermostat!$B$9,Thermostat!$B$10)</f>
        <v>79</v>
      </c>
      <c r="R199" s="236">
        <f>IF(R187=1,Thermostat!$B$9,Thermostat!$B$10)</f>
        <v>86</v>
      </c>
      <c r="S199" s="236">
        <f>IF(S187=1,Thermostat!$B$9,Thermostat!$B$10)</f>
        <v>79</v>
      </c>
      <c r="T199" s="236">
        <f>IF(T187=1,Thermostat!$B$9,Thermostat!$B$10)</f>
        <v>86</v>
      </c>
      <c r="U199" s="236">
        <f>IF(U187=1,Thermostat!$B$9,Thermostat!$B$10)</f>
        <v>79</v>
      </c>
      <c r="V199" s="236">
        <f>IF(V187=1,Thermostat!$B$9,Thermostat!$B$10)</f>
        <v>86</v>
      </c>
      <c r="W199" s="236">
        <f>IF(W187=1,Thermostat!$B$9,Thermostat!$B$10)</f>
        <v>79</v>
      </c>
      <c r="X199" s="236">
        <f>IF(X187=1,Thermostat!$B$9,Thermostat!$B$10)</f>
        <v>86</v>
      </c>
      <c r="Y199" s="236">
        <f>IF(Y187=1,Thermostat!$B$9,Thermostat!$B$10)</f>
        <v>86</v>
      </c>
      <c r="Z199" s="236">
        <f>IF(Z187=1,Thermostat!$B$9,Thermostat!$B$10)</f>
        <v>86</v>
      </c>
      <c r="AA199" s="236">
        <f>IF(AA187=1,Thermostat!$B$9,Thermostat!$B$10)</f>
        <v>86</v>
      </c>
      <c r="AB199" s="236">
        <f>IF(AB187=1,Thermostat!$B$9,Thermostat!$B$10)</f>
        <v>86</v>
      </c>
      <c r="AC199" s="237">
        <f>IF(AC187=1,Thermostat!$B$9,Thermostat!$B$10)</f>
        <v>86</v>
      </c>
      <c r="AD199" s="39"/>
      <c r="AE199" s="39"/>
      <c r="AF199" s="39"/>
      <c r="AG199" s="39"/>
      <c r="AH199" s="39"/>
      <c r="AI199" s="39"/>
      <c r="AJ199" s="39"/>
      <c r="AK199" s="39"/>
    </row>
    <row r="200" spans="1:39" ht="30.6" customHeight="1" x14ac:dyDescent="0.3">
      <c r="A200" s="1143"/>
      <c r="B200" s="1135"/>
      <c r="C200" s="1063"/>
      <c r="D200" s="1140"/>
      <c r="E200" s="343" t="s">
        <v>443</v>
      </c>
      <c r="F200" s="234">
        <f>IF(F188=1,Thermostat!$B$9,Thermostat!$B$10)</f>
        <v>86</v>
      </c>
      <c r="G200" s="234">
        <f>IF(G188=1,Thermostat!$B$9,Thermostat!$B$10)</f>
        <v>86</v>
      </c>
      <c r="H200" s="234">
        <f>IF(H188=1,Thermostat!$B$9,Thermostat!$B$10)</f>
        <v>86</v>
      </c>
      <c r="I200" s="234">
        <f>IF(I188=1,Thermostat!$B$9,Thermostat!$B$10)</f>
        <v>86</v>
      </c>
      <c r="J200" s="234">
        <f>IF(J188=1,Thermostat!$B$9,Thermostat!$B$10)</f>
        <v>86</v>
      </c>
      <c r="K200" s="234">
        <f>IF(K188=1,Thermostat!$B$9,Thermostat!$B$10)</f>
        <v>86</v>
      </c>
      <c r="L200" s="234">
        <f>IF(L188=1,Thermostat!$B$9,Thermostat!$B$10)</f>
        <v>86</v>
      </c>
      <c r="M200" s="234">
        <f>IF(M188=1,Thermostat!$B$9,Thermostat!$B$10)</f>
        <v>79</v>
      </c>
      <c r="N200" s="234">
        <f>IF(N188=1,Thermostat!$B$9,Thermostat!$B$10)</f>
        <v>86</v>
      </c>
      <c r="O200" s="234">
        <f>IF(O188=1,Thermostat!$B$9,Thermostat!$B$10)</f>
        <v>79</v>
      </c>
      <c r="P200" s="234">
        <f>IF(P188=1,Thermostat!$B$9,Thermostat!$B$10)</f>
        <v>86</v>
      </c>
      <c r="Q200" s="234">
        <f>IF(Q188=1,Thermostat!$B$9,Thermostat!$B$10)</f>
        <v>79</v>
      </c>
      <c r="R200" s="234">
        <f>IF(R188=1,Thermostat!$B$9,Thermostat!$B$10)</f>
        <v>86</v>
      </c>
      <c r="S200" s="234">
        <f>IF(S188=1,Thermostat!$B$9,Thermostat!$B$10)</f>
        <v>79</v>
      </c>
      <c r="T200" s="234">
        <f>IF(T188=1,Thermostat!$B$9,Thermostat!$B$10)</f>
        <v>86</v>
      </c>
      <c r="U200" s="234">
        <f>IF(U188=1,Thermostat!$B$9,Thermostat!$B$10)</f>
        <v>79</v>
      </c>
      <c r="V200" s="234">
        <f>IF(V188=1,Thermostat!$B$9,Thermostat!$B$10)</f>
        <v>86</v>
      </c>
      <c r="W200" s="234">
        <f>IF(W188=1,Thermostat!$B$9,Thermostat!$B$10)</f>
        <v>79</v>
      </c>
      <c r="X200" s="234">
        <f>IF(X188=1,Thermostat!$B$9,Thermostat!$B$10)</f>
        <v>86</v>
      </c>
      <c r="Y200" s="234">
        <f>IF(Y188=1,Thermostat!$B$9,Thermostat!$B$10)</f>
        <v>86</v>
      </c>
      <c r="Z200" s="234">
        <f>IF(Z188=1,Thermostat!$B$9,Thermostat!$B$10)</f>
        <v>86</v>
      </c>
      <c r="AA200" s="234">
        <f>IF(AA188=1,Thermostat!$B$9,Thermostat!$B$10)</f>
        <v>86</v>
      </c>
      <c r="AB200" s="234">
        <f>IF(AB188=1,Thermostat!$B$9,Thermostat!$B$10)</f>
        <v>86</v>
      </c>
      <c r="AC200" s="238">
        <f>IF(AC188=1,Thermostat!$B$9,Thermostat!$B$10)</f>
        <v>86</v>
      </c>
      <c r="AD200" s="39"/>
      <c r="AE200" s="39"/>
      <c r="AF200" s="39"/>
      <c r="AG200" s="39"/>
      <c r="AH200" s="39"/>
      <c r="AI200" s="39"/>
      <c r="AJ200" s="39"/>
      <c r="AK200" s="39"/>
    </row>
    <row r="201" spans="1:39" ht="30.6" customHeight="1" thickBot="1" x14ac:dyDescent="0.35">
      <c r="A201" s="1144"/>
      <c r="B201" s="1146"/>
      <c r="C201" s="1148"/>
      <c r="D201" s="1165"/>
      <c r="E201" s="344" t="s">
        <v>444</v>
      </c>
      <c r="F201" s="239">
        <f>IF(F189=1,Thermostat!$B$9,Thermostat!$B$10)</f>
        <v>86</v>
      </c>
      <c r="G201" s="239">
        <f>IF(G189=1,Thermostat!$B$9,Thermostat!$B$10)</f>
        <v>86</v>
      </c>
      <c r="H201" s="239">
        <f>IF(H189=1,Thermostat!$B$9,Thermostat!$B$10)</f>
        <v>86</v>
      </c>
      <c r="I201" s="239">
        <f>IF(I189=1,Thermostat!$B$9,Thermostat!$B$10)</f>
        <v>86</v>
      </c>
      <c r="J201" s="239">
        <f>IF(J189=1,Thermostat!$B$9,Thermostat!$B$10)</f>
        <v>86</v>
      </c>
      <c r="K201" s="239">
        <f>IF(K189=1,Thermostat!$B$9,Thermostat!$B$10)</f>
        <v>86</v>
      </c>
      <c r="L201" s="239">
        <f>IF(L189=1,Thermostat!$B$9,Thermostat!$B$10)</f>
        <v>86</v>
      </c>
      <c r="M201" s="239">
        <f>IF(M189=1,Thermostat!$B$9,Thermostat!$B$10)</f>
        <v>79</v>
      </c>
      <c r="N201" s="239">
        <f>IF(N189=1,Thermostat!$B$9,Thermostat!$B$10)</f>
        <v>86</v>
      </c>
      <c r="O201" s="239">
        <f>IF(O189=1,Thermostat!$B$9,Thermostat!$B$10)</f>
        <v>79</v>
      </c>
      <c r="P201" s="239">
        <f>IF(P189=1,Thermostat!$B$9,Thermostat!$B$10)</f>
        <v>86</v>
      </c>
      <c r="Q201" s="239">
        <f>IF(Q189=1,Thermostat!$B$9,Thermostat!$B$10)</f>
        <v>79</v>
      </c>
      <c r="R201" s="239">
        <f>IF(R189=1,Thermostat!$B$9,Thermostat!$B$10)</f>
        <v>86</v>
      </c>
      <c r="S201" s="239">
        <f>IF(S189=1,Thermostat!$B$9,Thermostat!$B$10)</f>
        <v>79</v>
      </c>
      <c r="T201" s="239">
        <f>IF(T189=1,Thermostat!$B$9,Thermostat!$B$10)</f>
        <v>86</v>
      </c>
      <c r="U201" s="239">
        <f>IF(U189=1,Thermostat!$B$9,Thermostat!$B$10)</f>
        <v>79</v>
      </c>
      <c r="V201" s="239">
        <f>IF(V189=1,Thermostat!$B$9,Thermostat!$B$10)</f>
        <v>86</v>
      </c>
      <c r="W201" s="239">
        <f>IF(W189=1,Thermostat!$B$9,Thermostat!$B$10)</f>
        <v>79</v>
      </c>
      <c r="X201" s="239">
        <f>IF(X189=1,Thermostat!$B$9,Thermostat!$B$10)</f>
        <v>86</v>
      </c>
      <c r="Y201" s="239">
        <f>IF(Y189=1,Thermostat!$B$9,Thermostat!$B$10)</f>
        <v>86</v>
      </c>
      <c r="Z201" s="239">
        <f>IF(Z189=1,Thermostat!$B$9,Thermostat!$B$10)</f>
        <v>86</v>
      </c>
      <c r="AA201" s="239">
        <f>IF(AA189=1,Thermostat!$B$9,Thermostat!$B$10)</f>
        <v>86</v>
      </c>
      <c r="AB201" s="239">
        <f>IF(AB189=1,Thermostat!$B$9,Thermostat!$B$10)</f>
        <v>86</v>
      </c>
      <c r="AC201" s="240">
        <f>IF(AC189=1,Thermostat!$B$9,Thermostat!$B$10)</f>
        <v>86</v>
      </c>
      <c r="AD201" s="39"/>
      <c r="AE201" s="39"/>
      <c r="AF201" s="39"/>
      <c r="AG201" s="39"/>
      <c r="AH201" s="39"/>
      <c r="AI201" s="39"/>
      <c r="AJ201" s="39"/>
      <c r="AK201" s="39"/>
    </row>
    <row r="202" spans="1:39" ht="19.95" customHeight="1" thickBot="1" x14ac:dyDescent="0.35">
      <c r="A202" s="1008" t="s">
        <v>717</v>
      </c>
      <c r="B202" s="1008"/>
      <c r="C202" s="1008" t="s">
        <v>717</v>
      </c>
      <c r="D202" s="1008"/>
      <c r="E202" s="1008"/>
      <c r="F202" s="1008"/>
      <c r="G202" s="1008"/>
      <c r="H202" s="1008"/>
      <c r="I202" s="1008"/>
      <c r="J202" s="1008"/>
      <c r="K202" s="1008"/>
      <c r="L202" s="1008"/>
      <c r="M202" s="1008"/>
      <c r="N202" s="1008"/>
      <c r="O202" s="1008"/>
      <c r="P202" s="1008"/>
      <c r="Q202" s="1008"/>
      <c r="R202" s="1008"/>
      <c r="S202" s="1008"/>
      <c r="T202" s="1008"/>
      <c r="U202" s="1008"/>
      <c r="V202" s="1008"/>
      <c r="W202" s="1008"/>
      <c r="X202" s="1008"/>
      <c r="Y202" s="1008"/>
      <c r="Z202" s="1008"/>
      <c r="AA202" s="1008"/>
      <c r="AB202" s="1008"/>
      <c r="AC202" s="1009"/>
      <c r="AD202" s="406" t="s">
        <v>697</v>
      </c>
    </row>
    <row r="203" spans="1:39" ht="31.95" customHeight="1" x14ac:dyDescent="0.3">
      <c r="A203" s="1102"/>
      <c r="B203" s="1160" t="s">
        <v>113</v>
      </c>
      <c r="C203" s="1160" t="s">
        <v>601</v>
      </c>
      <c r="D203" s="1094" t="s">
        <v>862</v>
      </c>
      <c r="E203" s="339" t="s">
        <v>442</v>
      </c>
      <c r="F203" s="1253">
        <v>0.02</v>
      </c>
      <c r="G203" s="1253">
        <v>0.02</v>
      </c>
      <c r="H203" s="1253">
        <v>0.02</v>
      </c>
      <c r="I203" s="1253">
        <v>0.02</v>
      </c>
      <c r="J203" s="1253">
        <v>0.02</v>
      </c>
      <c r="K203" s="1253">
        <v>0.02</v>
      </c>
      <c r="L203" s="1253">
        <v>0.02</v>
      </c>
      <c r="M203" s="1215">
        <v>0.02</v>
      </c>
      <c r="N203" s="1215">
        <v>0.75</v>
      </c>
      <c r="O203" s="1215">
        <v>1</v>
      </c>
      <c r="P203" s="1215">
        <v>1</v>
      </c>
      <c r="Q203" s="1215">
        <v>1</v>
      </c>
      <c r="R203" s="1215">
        <v>0.75</v>
      </c>
      <c r="S203" s="1215">
        <v>1</v>
      </c>
      <c r="T203" s="1215">
        <v>1</v>
      </c>
      <c r="U203" s="1215">
        <v>1</v>
      </c>
      <c r="V203" s="1215">
        <v>1</v>
      </c>
      <c r="W203" s="1215">
        <v>1</v>
      </c>
      <c r="X203" s="1215">
        <v>0.52</v>
      </c>
      <c r="Y203" s="1215">
        <v>0.52</v>
      </c>
      <c r="Z203" s="1215">
        <v>0.52</v>
      </c>
      <c r="AA203" s="1215">
        <v>0.28000000000000003</v>
      </c>
      <c r="AB203" s="1253">
        <v>0.02</v>
      </c>
      <c r="AC203" s="1254">
        <v>0.02</v>
      </c>
      <c r="AD203" s="407">
        <f>SUM(F203:AC203)*261+ SUM(F204:AC204)*52+ SUM(F205:AC205)*52</f>
        <v>3330.1799999999989</v>
      </c>
      <c r="AE203" s="39"/>
      <c r="AF203" s="39"/>
      <c r="AG203" s="39"/>
      <c r="AH203" s="39"/>
      <c r="AI203" s="39"/>
      <c r="AJ203" s="39"/>
      <c r="AK203" s="39"/>
      <c r="AM203" s="50"/>
    </row>
    <row r="204" spans="1:39" ht="31.95" customHeight="1" x14ac:dyDescent="0.3">
      <c r="A204" s="1103"/>
      <c r="B204" s="1045"/>
      <c r="C204" s="1045"/>
      <c r="D204" s="1073"/>
      <c r="E204" s="340" t="s">
        <v>443</v>
      </c>
      <c r="F204" s="1255">
        <v>0.02</v>
      </c>
      <c r="G204" s="1255">
        <v>0.02</v>
      </c>
      <c r="H204" s="1255">
        <v>0.02</v>
      </c>
      <c r="I204" s="1255">
        <v>0.02</v>
      </c>
      <c r="J204" s="1255">
        <v>0.02</v>
      </c>
      <c r="K204" s="1255">
        <v>0.02</v>
      </c>
      <c r="L204" s="1255">
        <v>0.02</v>
      </c>
      <c r="M204" s="714">
        <v>0.02</v>
      </c>
      <c r="N204" s="714">
        <v>0.46</v>
      </c>
      <c r="O204" s="714">
        <v>0.7</v>
      </c>
      <c r="P204" s="714">
        <v>0.7</v>
      </c>
      <c r="Q204" s="714">
        <v>0.7</v>
      </c>
      <c r="R204" s="714">
        <v>0.51</v>
      </c>
      <c r="S204" s="714">
        <v>0.51</v>
      </c>
      <c r="T204" s="714">
        <v>0.51</v>
      </c>
      <c r="U204" s="714">
        <v>0.51</v>
      </c>
      <c r="V204" s="714">
        <v>0.51</v>
      </c>
      <c r="W204" s="714">
        <v>0.25</v>
      </c>
      <c r="X204" s="714">
        <v>0.02</v>
      </c>
      <c r="Y204" s="1255">
        <v>0.02</v>
      </c>
      <c r="Z204" s="1255">
        <v>0.02</v>
      </c>
      <c r="AA204" s="1255">
        <v>0.02</v>
      </c>
      <c r="AB204" s="1255">
        <v>0.02</v>
      </c>
      <c r="AC204" s="1256">
        <v>0.02</v>
      </c>
      <c r="AE204" s="39"/>
      <c r="AF204" s="39"/>
      <c r="AG204" s="39"/>
      <c r="AH204" s="39"/>
      <c r="AI204" s="39"/>
      <c r="AJ204" s="39"/>
      <c r="AK204" s="39"/>
      <c r="AM204" s="50"/>
    </row>
    <row r="205" spans="1:39" ht="31.95" customHeight="1" thickBot="1" x14ac:dyDescent="0.35">
      <c r="A205" s="1104"/>
      <c r="B205" s="1046"/>
      <c r="C205" s="1046"/>
      <c r="D205" s="1095"/>
      <c r="E205" s="341" t="s">
        <v>444</v>
      </c>
      <c r="F205" s="1257">
        <v>0.02</v>
      </c>
      <c r="G205" s="1257">
        <v>0.02</v>
      </c>
      <c r="H205" s="1257">
        <v>0.02</v>
      </c>
      <c r="I205" s="1257">
        <v>0.02</v>
      </c>
      <c r="J205" s="1257">
        <v>0.02</v>
      </c>
      <c r="K205" s="1257">
        <v>0.02</v>
      </c>
      <c r="L205" s="1257">
        <v>0.02</v>
      </c>
      <c r="M205" s="1257">
        <v>0.02</v>
      </c>
      <c r="N205" s="1213">
        <v>0.02</v>
      </c>
      <c r="O205" s="1213">
        <v>0.02</v>
      </c>
      <c r="P205" s="1213">
        <v>0.02</v>
      </c>
      <c r="Q205" s="1213">
        <v>0.02</v>
      </c>
      <c r="R205" s="1213">
        <v>0.02</v>
      </c>
      <c r="S205" s="1213">
        <v>0.02</v>
      </c>
      <c r="T205" s="1213">
        <v>0.02</v>
      </c>
      <c r="U205" s="1213">
        <v>0.02</v>
      </c>
      <c r="V205" s="1257">
        <v>0.02</v>
      </c>
      <c r="W205" s="1257">
        <v>0.02</v>
      </c>
      <c r="X205" s="1257">
        <v>0.02</v>
      </c>
      <c r="Y205" s="1257">
        <v>0.02</v>
      </c>
      <c r="Z205" s="1257">
        <v>0.02</v>
      </c>
      <c r="AA205" s="1257">
        <v>0.02</v>
      </c>
      <c r="AB205" s="1257">
        <v>0.02</v>
      </c>
      <c r="AC205" s="1258">
        <v>0.02</v>
      </c>
      <c r="AE205" s="39"/>
      <c r="AF205" s="39"/>
      <c r="AG205" s="39"/>
      <c r="AH205" s="39"/>
      <c r="AI205" s="39"/>
      <c r="AJ205" s="39"/>
      <c r="AK205" s="39"/>
      <c r="AM205" s="50"/>
    </row>
    <row r="206" spans="1:39" ht="20.399999999999999" customHeight="1" x14ac:dyDescent="0.3">
      <c r="A206" s="1259"/>
      <c r="B206" s="1260" t="s">
        <v>113</v>
      </c>
      <c r="C206" s="1261" t="s">
        <v>747</v>
      </c>
      <c r="D206" s="993" t="s">
        <v>748</v>
      </c>
      <c r="E206" s="228" t="s">
        <v>442</v>
      </c>
      <c r="F206" s="346">
        <v>1</v>
      </c>
      <c r="G206" s="346">
        <v>1</v>
      </c>
      <c r="H206" s="346">
        <v>1</v>
      </c>
      <c r="I206" s="346">
        <v>1</v>
      </c>
      <c r="J206" s="346">
        <v>1</v>
      </c>
      <c r="K206" s="346">
        <v>1</v>
      </c>
      <c r="L206" s="346">
        <v>1</v>
      </c>
      <c r="M206" s="346">
        <v>1</v>
      </c>
      <c r="N206" s="346">
        <v>1</v>
      </c>
      <c r="O206" s="346">
        <v>1</v>
      </c>
      <c r="P206" s="346">
        <v>1</v>
      </c>
      <c r="Q206" s="346">
        <v>1</v>
      </c>
      <c r="R206" s="346">
        <v>1</v>
      </c>
      <c r="S206" s="346">
        <v>1</v>
      </c>
      <c r="T206" s="346">
        <v>1</v>
      </c>
      <c r="U206" s="346">
        <v>1</v>
      </c>
      <c r="V206" s="346">
        <v>1</v>
      </c>
      <c r="W206" s="346">
        <v>1</v>
      </c>
      <c r="X206" s="346">
        <v>1</v>
      </c>
      <c r="Y206" s="346">
        <v>1</v>
      </c>
      <c r="Z206" s="346">
        <v>1</v>
      </c>
      <c r="AA206" s="346">
        <v>1</v>
      </c>
      <c r="AB206" s="346">
        <v>1</v>
      </c>
      <c r="AC206" s="347">
        <v>1</v>
      </c>
    </row>
    <row r="207" spans="1:39" ht="20.399999999999999" customHeight="1" x14ac:dyDescent="0.3">
      <c r="A207" s="1042"/>
      <c r="B207" s="1262"/>
      <c r="C207" s="1263"/>
      <c r="D207" s="994"/>
      <c r="E207" s="229" t="s">
        <v>443</v>
      </c>
      <c r="F207" s="230">
        <v>1</v>
      </c>
      <c r="G207" s="230">
        <v>1</v>
      </c>
      <c r="H207" s="230">
        <v>1</v>
      </c>
      <c r="I207" s="230">
        <v>1</v>
      </c>
      <c r="J207" s="230">
        <v>1</v>
      </c>
      <c r="K207" s="230">
        <v>1</v>
      </c>
      <c r="L207" s="230">
        <v>1</v>
      </c>
      <c r="M207" s="230">
        <v>1</v>
      </c>
      <c r="N207" s="230">
        <v>1</v>
      </c>
      <c r="O207" s="230">
        <v>1</v>
      </c>
      <c r="P207" s="230">
        <v>1</v>
      </c>
      <c r="Q207" s="230">
        <v>1</v>
      </c>
      <c r="R207" s="230">
        <v>1</v>
      </c>
      <c r="S207" s="230">
        <v>1</v>
      </c>
      <c r="T207" s="230">
        <v>1</v>
      </c>
      <c r="U207" s="230">
        <v>1</v>
      </c>
      <c r="V207" s="230">
        <v>1</v>
      </c>
      <c r="W207" s="230">
        <v>1</v>
      </c>
      <c r="X207" s="230">
        <v>1</v>
      </c>
      <c r="Y207" s="230">
        <v>1</v>
      </c>
      <c r="Z207" s="230">
        <v>1</v>
      </c>
      <c r="AA207" s="230">
        <v>1</v>
      </c>
      <c r="AB207" s="230">
        <v>1</v>
      </c>
      <c r="AC207" s="243">
        <v>1</v>
      </c>
    </row>
    <row r="208" spans="1:39" ht="20.399999999999999" customHeight="1" thickBot="1" x14ac:dyDescent="0.35">
      <c r="A208" s="1043"/>
      <c r="B208" s="1264"/>
      <c r="C208" s="1265"/>
      <c r="D208" s="995"/>
      <c r="E208" s="244" t="s">
        <v>444</v>
      </c>
      <c r="F208" s="245">
        <v>1</v>
      </c>
      <c r="G208" s="245">
        <v>1</v>
      </c>
      <c r="H208" s="245">
        <v>1</v>
      </c>
      <c r="I208" s="245">
        <v>1</v>
      </c>
      <c r="J208" s="245">
        <v>1</v>
      </c>
      <c r="K208" s="245">
        <v>1</v>
      </c>
      <c r="L208" s="245">
        <v>1</v>
      </c>
      <c r="M208" s="245">
        <v>1</v>
      </c>
      <c r="N208" s="245">
        <v>1</v>
      </c>
      <c r="O208" s="245">
        <v>1</v>
      </c>
      <c r="P208" s="245">
        <v>1</v>
      </c>
      <c r="Q208" s="245">
        <v>1</v>
      </c>
      <c r="R208" s="245">
        <v>1</v>
      </c>
      <c r="S208" s="245">
        <v>1</v>
      </c>
      <c r="T208" s="245">
        <v>1</v>
      </c>
      <c r="U208" s="245">
        <v>1</v>
      </c>
      <c r="V208" s="245">
        <v>1</v>
      </c>
      <c r="W208" s="245">
        <v>1</v>
      </c>
      <c r="X208" s="245">
        <v>1</v>
      </c>
      <c r="Y208" s="245">
        <v>1</v>
      </c>
      <c r="Z208" s="245">
        <v>1</v>
      </c>
      <c r="AA208" s="245">
        <v>1</v>
      </c>
      <c r="AB208" s="245">
        <v>1</v>
      </c>
      <c r="AC208" s="246">
        <v>1</v>
      </c>
    </row>
    <row r="209" spans="1:29" ht="20.399999999999999" customHeight="1" x14ac:dyDescent="0.3">
      <c r="A209" s="1266"/>
      <c r="B209" s="1267" t="s">
        <v>113</v>
      </c>
      <c r="C209" s="1268" t="s">
        <v>749</v>
      </c>
      <c r="D209" s="994" t="s">
        <v>750</v>
      </c>
      <c r="E209" s="228" t="s">
        <v>442</v>
      </c>
      <c r="F209" s="242">
        <v>0</v>
      </c>
      <c r="G209" s="242">
        <v>0</v>
      </c>
      <c r="H209" s="242">
        <v>0</v>
      </c>
      <c r="I209" s="242">
        <v>0</v>
      </c>
      <c r="J209" s="242">
        <v>0</v>
      </c>
      <c r="K209" s="242">
        <v>1</v>
      </c>
      <c r="L209" s="242">
        <v>1</v>
      </c>
      <c r="M209" s="242">
        <v>1</v>
      </c>
      <c r="N209" s="242">
        <v>1</v>
      </c>
      <c r="O209" s="242">
        <v>1</v>
      </c>
      <c r="P209" s="242">
        <v>1</v>
      </c>
      <c r="Q209" s="242">
        <v>1</v>
      </c>
      <c r="R209" s="242">
        <v>1</v>
      </c>
      <c r="S209" s="242">
        <v>1</v>
      </c>
      <c r="T209" s="242">
        <v>1</v>
      </c>
      <c r="U209" s="242">
        <v>1</v>
      </c>
      <c r="V209" s="242">
        <v>1</v>
      </c>
      <c r="W209" s="242">
        <v>1</v>
      </c>
      <c r="X209" s="242">
        <v>1</v>
      </c>
      <c r="Y209" s="242">
        <v>1</v>
      </c>
      <c r="Z209" s="242">
        <v>1</v>
      </c>
      <c r="AA209" s="242">
        <v>1</v>
      </c>
      <c r="AB209" s="242">
        <v>0</v>
      </c>
      <c r="AC209" s="247">
        <v>0</v>
      </c>
    </row>
    <row r="210" spans="1:29" ht="20.399999999999999" customHeight="1" x14ac:dyDescent="0.3">
      <c r="A210" s="1042"/>
      <c r="B210" s="1262"/>
      <c r="C210" s="1263"/>
      <c r="D210" s="994"/>
      <c r="E210" s="229" t="s">
        <v>443</v>
      </c>
      <c r="F210" s="231">
        <v>0</v>
      </c>
      <c r="G210" s="231">
        <v>0</v>
      </c>
      <c r="H210" s="231">
        <v>0</v>
      </c>
      <c r="I210" s="231">
        <v>0</v>
      </c>
      <c r="J210" s="231">
        <v>0</v>
      </c>
      <c r="K210" s="231">
        <v>1</v>
      </c>
      <c r="L210" s="231">
        <v>1</v>
      </c>
      <c r="M210" s="231">
        <v>1</v>
      </c>
      <c r="N210" s="231">
        <v>1</v>
      </c>
      <c r="O210" s="231">
        <v>1</v>
      </c>
      <c r="P210" s="231">
        <v>1</v>
      </c>
      <c r="Q210" s="231">
        <v>1</v>
      </c>
      <c r="R210" s="231">
        <v>1</v>
      </c>
      <c r="S210" s="231">
        <v>1</v>
      </c>
      <c r="T210" s="231">
        <v>1</v>
      </c>
      <c r="U210" s="231">
        <v>1</v>
      </c>
      <c r="V210" s="231">
        <v>1</v>
      </c>
      <c r="W210" s="231">
        <v>1</v>
      </c>
      <c r="X210" s="231">
        <v>1</v>
      </c>
      <c r="Y210" s="231">
        <v>1</v>
      </c>
      <c r="Z210" s="231">
        <v>1</v>
      </c>
      <c r="AA210" s="231">
        <v>1</v>
      </c>
      <c r="AB210" s="231">
        <v>1</v>
      </c>
      <c r="AC210" s="248">
        <v>1</v>
      </c>
    </row>
    <row r="211" spans="1:29" ht="20.399999999999999" customHeight="1" thickBot="1" x14ac:dyDescent="0.35">
      <c r="A211" s="1042"/>
      <c r="B211" s="1262"/>
      <c r="C211" s="1263"/>
      <c r="D211" s="994"/>
      <c r="E211" s="232" t="s">
        <v>444</v>
      </c>
      <c r="F211" s="233">
        <v>0</v>
      </c>
      <c r="G211" s="233">
        <v>0</v>
      </c>
      <c r="H211" s="233">
        <v>0</v>
      </c>
      <c r="I211" s="233">
        <v>0</v>
      </c>
      <c r="J211" s="233">
        <v>0</v>
      </c>
      <c r="K211" s="233">
        <v>1</v>
      </c>
      <c r="L211" s="233">
        <v>1</v>
      </c>
      <c r="M211" s="233">
        <v>1</v>
      </c>
      <c r="N211" s="233">
        <v>1</v>
      </c>
      <c r="O211" s="233">
        <v>1</v>
      </c>
      <c r="P211" s="233">
        <v>1</v>
      </c>
      <c r="Q211" s="233">
        <v>1</v>
      </c>
      <c r="R211" s="233">
        <v>1</v>
      </c>
      <c r="S211" s="233">
        <v>1</v>
      </c>
      <c r="T211" s="233">
        <v>1</v>
      </c>
      <c r="U211" s="233">
        <v>1</v>
      </c>
      <c r="V211" s="233">
        <v>1</v>
      </c>
      <c r="W211" s="233">
        <v>1</v>
      </c>
      <c r="X211" s="233">
        <v>1</v>
      </c>
      <c r="Y211" s="233">
        <v>1</v>
      </c>
      <c r="Z211" s="233">
        <v>1</v>
      </c>
      <c r="AA211" s="233">
        <v>1</v>
      </c>
      <c r="AB211" s="233">
        <v>1</v>
      </c>
      <c r="AC211" s="249">
        <v>1</v>
      </c>
    </row>
    <row r="212" spans="1:29" ht="28.95" customHeight="1" x14ac:dyDescent="0.3">
      <c r="A212" s="1102" t="s">
        <v>751</v>
      </c>
      <c r="B212" s="1160" t="s">
        <v>113</v>
      </c>
      <c r="C212" s="1269" t="s">
        <v>752</v>
      </c>
      <c r="D212" s="1270" t="s">
        <v>753</v>
      </c>
      <c r="E212" s="220" t="s">
        <v>442</v>
      </c>
      <c r="F212" s="236">
        <v>131.9</v>
      </c>
      <c r="G212" s="236">
        <v>131.9</v>
      </c>
      <c r="H212" s="236">
        <v>131.9</v>
      </c>
      <c r="I212" s="236">
        <v>131.9</v>
      </c>
      <c r="J212" s="236">
        <v>131.9</v>
      </c>
      <c r="K212" s="236">
        <v>131.9</v>
      </c>
      <c r="L212" s="236">
        <v>131.9</v>
      </c>
      <c r="M212" s="236">
        <v>131.9</v>
      </c>
      <c r="N212" s="236">
        <v>131.9</v>
      </c>
      <c r="O212" s="236">
        <v>131.9</v>
      </c>
      <c r="P212" s="236">
        <v>131.9</v>
      </c>
      <c r="Q212" s="236">
        <v>131.9</v>
      </c>
      <c r="R212" s="236">
        <v>131.9</v>
      </c>
      <c r="S212" s="236">
        <v>131.9</v>
      </c>
      <c r="T212" s="236">
        <v>131.9</v>
      </c>
      <c r="U212" s="236">
        <v>131.9</v>
      </c>
      <c r="V212" s="236">
        <v>131.9</v>
      </c>
      <c r="W212" s="236">
        <v>131.9</v>
      </c>
      <c r="X212" s="236">
        <v>131.9</v>
      </c>
      <c r="Y212" s="236">
        <v>131.9</v>
      </c>
      <c r="Z212" s="236">
        <v>131.9</v>
      </c>
      <c r="AA212" s="236">
        <v>131.9</v>
      </c>
      <c r="AB212" s="236">
        <v>131.9</v>
      </c>
      <c r="AC212" s="237">
        <v>131.9</v>
      </c>
    </row>
    <row r="213" spans="1:29" ht="28.95" customHeight="1" x14ac:dyDescent="0.3">
      <c r="A213" s="1103"/>
      <c r="B213" s="1045"/>
      <c r="C213" s="1048"/>
      <c r="D213" s="1051"/>
      <c r="E213" s="222" t="s">
        <v>443</v>
      </c>
      <c r="F213" s="234">
        <v>131.9</v>
      </c>
      <c r="G213" s="234">
        <v>131.9</v>
      </c>
      <c r="H213" s="234">
        <v>131.9</v>
      </c>
      <c r="I213" s="234">
        <v>131.9</v>
      </c>
      <c r="J213" s="234">
        <v>131.9</v>
      </c>
      <c r="K213" s="234">
        <v>131.9</v>
      </c>
      <c r="L213" s="234">
        <v>131.9</v>
      </c>
      <c r="M213" s="234">
        <v>131.9</v>
      </c>
      <c r="N213" s="234">
        <v>131.9</v>
      </c>
      <c r="O213" s="234">
        <v>131.9</v>
      </c>
      <c r="P213" s="234">
        <v>131.9</v>
      </c>
      <c r="Q213" s="234">
        <v>131.9</v>
      </c>
      <c r="R213" s="234">
        <v>131.9</v>
      </c>
      <c r="S213" s="234">
        <v>131.9</v>
      </c>
      <c r="T213" s="234">
        <v>131.9</v>
      </c>
      <c r="U213" s="234">
        <v>131.9</v>
      </c>
      <c r="V213" s="234">
        <v>131.9</v>
      </c>
      <c r="W213" s="234">
        <v>131.9</v>
      </c>
      <c r="X213" s="234">
        <v>131.9</v>
      </c>
      <c r="Y213" s="234">
        <v>131.9</v>
      </c>
      <c r="Z213" s="234">
        <v>131.9</v>
      </c>
      <c r="AA213" s="234">
        <v>131.9</v>
      </c>
      <c r="AB213" s="234">
        <v>131.9</v>
      </c>
      <c r="AC213" s="238">
        <v>131.9</v>
      </c>
    </row>
    <row r="214" spans="1:29" s="257" customFormat="1" ht="28.95" customHeight="1" x14ac:dyDescent="0.3">
      <c r="A214" s="1104"/>
      <c r="B214" s="1046"/>
      <c r="C214" s="1049"/>
      <c r="D214" s="1052"/>
      <c r="E214" s="224" t="s">
        <v>444</v>
      </c>
      <c r="F214" s="239">
        <v>131.9</v>
      </c>
      <c r="G214" s="239">
        <v>131.9</v>
      </c>
      <c r="H214" s="239">
        <v>131.9</v>
      </c>
      <c r="I214" s="239">
        <v>131.9</v>
      </c>
      <c r="J214" s="239">
        <v>131.9</v>
      </c>
      <c r="K214" s="239">
        <v>131.9</v>
      </c>
      <c r="L214" s="239">
        <v>131.9</v>
      </c>
      <c r="M214" s="239">
        <v>131.9</v>
      </c>
      <c r="N214" s="239">
        <v>131.9</v>
      </c>
      <c r="O214" s="239">
        <v>131.9</v>
      </c>
      <c r="P214" s="239">
        <v>131.9</v>
      </c>
      <c r="Q214" s="239">
        <v>131.9</v>
      </c>
      <c r="R214" s="239">
        <v>131.9</v>
      </c>
      <c r="S214" s="239">
        <v>131.9</v>
      </c>
      <c r="T214" s="239">
        <v>131.9</v>
      </c>
      <c r="U214" s="239">
        <v>131.9</v>
      </c>
      <c r="V214" s="239">
        <v>131.9</v>
      </c>
      <c r="W214" s="239">
        <v>131.9</v>
      </c>
      <c r="X214" s="239">
        <v>131.9</v>
      </c>
      <c r="Y214" s="239">
        <v>131.9</v>
      </c>
      <c r="Z214" s="239">
        <v>131.9</v>
      </c>
      <c r="AA214" s="239">
        <v>131.9</v>
      </c>
      <c r="AB214" s="239">
        <v>131.9</v>
      </c>
      <c r="AC214" s="240">
        <v>131.9</v>
      </c>
    </row>
    <row r="215" spans="1:29" ht="20.399999999999999" customHeight="1" x14ac:dyDescent="0.3">
      <c r="A215" s="1041" t="s">
        <v>754</v>
      </c>
      <c r="B215" s="1044" t="s">
        <v>113</v>
      </c>
      <c r="C215" s="1047" t="s">
        <v>755</v>
      </c>
      <c r="D215" s="1050" t="s">
        <v>753</v>
      </c>
      <c r="E215" s="252" t="s">
        <v>442</v>
      </c>
      <c r="F215" s="235">
        <v>146.5</v>
      </c>
      <c r="G215" s="235">
        <v>146.5</v>
      </c>
      <c r="H215" s="235">
        <v>146.5</v>
      </c>
      <c r="I215" s="235">
        <v>146.5</v>
      </c>
      <c r="J215" s="235">
        <v>146.5</v>
      </c>
      <c r="K215" s="235">
        <v>146.5</v>
      </c>
      <c r="L215" s="235">
        <v>146.5</v>
      </c>
      <c r="M215" s="235">
        <v>146.5</v>
      </c>
      <c r="N215" s="235">
        <v>146.5</v>
      </c>
      <c r="O215" s="235">
        <v>146.5</v>
      </c>
      <c r="P215" s="235">
        <v>146.5</v>
      </c>
      <c r="Q215" s="235">
        <v>146.5</v>
      </c>
      <c r="R215" s="235">
        <v>146.5</v>
      </c>
      <c r="S215" s="235">
        <v>146.5</v>
      </c>
      <c r="T215" s="235">
        <v>146.5</v>
      </c>
      <c r="U215" s="235">
        <v>146.5</v>
      </c>
      <c r="V215" s="235">
        <v>146.5</v>
      </c>
      <c r="W215" s="235">
        <v>146.5</v>
      </c>
      <c r="X215" s="235">
        <v>146.5</v>
      </c>
      <c r="Y215" s="235">
        <v>146.5</v>
      </c>
      <c r="Z215" s="235">
        <v>146.5</v>
      </c>
      <c r="AA215" s="235">
        <v>146.5</v>
      </c>
      <c r="AB215" s="235">
        <v>146.5</v>
      </c>
      <c r="AC215" s="250">
        <v>146.5</v>
      </c>
    </row>
    <row r="216" spans="1:29" ht="20.399999999999999" customHeight="1" x14ac:dyDescent="0.3">
      <c r="A216" s="1042"/>
      <c r="B216" s="1045"/>
      <c r="C216" s="1048"/>
      <c r="D216" s="1051"/>
      <c r="E216" s="222" t="s">
        <v>443</v>
      </c>
      <c r="F216" s="234">
        <v>146.5</v>
      </c>
      <c r="G216" s="234">
        <v>146.5</v>
      </c>
      <c r="H216" s="234">
        <v>146.5</v>
      </c>
      <c r="I216" s="234">
        <v>146.5</v>
      </c>
      <c r="J216" s="234">
        <v>146.5</v>
      </c>
      <c r="K216" s="234">
        <v>146.5</v>
      </c>
      <c r="L216" s="234">
        <v>146.5</v>
      </c>
      <c r="M216" s="234">
        <v>146.5</v>
      </c>
      <c r="N216" s="234">
        <v>146.5</v>
      </c>
      <c r="O216" s="234">
        <v>146.5</v>
      </c>
      <c r="P216" s="234">
        <v>146.5</v>
      </c>
      <c r="Q216" s="234">
        <v>146.5</v>
      </c>
      <c r="R216" s="234">
        <v>146.5</v>
      </c>
      <c r="S216" s="234">
        <v>146.5</v>
      </c>
      <c r="T216" s="234">
        <v>146.5</v>
      </c>
      <c r="U216" s="234">
        <v>146.5</v>
      </c>
      <c r="V216" s="234">
        <v>146.5</v>
      </c>
      <c r="W216" s="234">
        <v>146.5</v>
      </c>
      <c r="X216" s="234">
        <v>146.5</v>
      </c>
      <c r="Y216" s="234">
        <v>146.5</v>
      </c>
      <c r="Z216" s="234">
        <v>146.5</v>
      </c>
      <c r="AA216" s="234">
        <v>146.5</v>
      </c>
      <c r="AB216" s="234">
        <v>146.5</v>
      </c>
      <c r="AC216" s="238">
        <v>146.5</v>
      </c>
    </row>
    <row r="217" spans="1:29" ht="20.399999999999999" customHeight="1" x14ac:dyDescent="0.3">
      <c r="A217" s="1043"/>
      <c r="B217" s="1161"/>
      <c r="C217" s="1271"/>
      <c r="D217" s="1272"/>
      <c r="E217" s="253" t="s">
        <v>444</v>
      </c>
      <c r="F217" s="241">
        <v>146.5</v>
      </c>
      <c r="G217" s="241">
        <v>146.5</v>
      </c>
      <c r="H217" s="241">
        <v>146.5</v>
      </c>
      <c r="I217" s="241">
        <v>146.5</v>
      </c>
      <c r="J217" s="241">
        <v>146.5</v>
      </c>
      <c r="K217" s="241">
        <v>146.5</v>
      </c>
      <c r="L217" s="241">
        <v>146.5</v>
      </c>
      <c r="M217" s="241">
        <v>146.5</v>
      </c>
      <c r="N217" s="241">
        <v>146.5</v>
      </c>
      <c r="O217" s="241">
        <v>146.5</v>
      </c>
      <c r="P217" s="241">
        <v>146.5</v>
      </c>
      <c r="Q217" s="241">
        <v>146.5</v>
      </c>
      <c r="R217" s="241">
        <v>146.5</v>
      </c>
      <c r="S217" s="241">
        <v>146.5</v>
      </c>
      <c r="T217" s="241">
        <v>146.5</v>
      </c>
      <c r="U217" s="241">
        <v>146.5</v>
      </c>
      <c r="V217" s="241">
        <v>146.5</v>
      </c>
      <c r="W217" s="241">
        <v>146.5</v>
      </c>
      <c r="X217" s="241">
        <v>146.5</v>
      </c>
      <c r="Y217" s="241">
        <v>146.5</v>
      </c>
      <c r="Z217" s="241">
        <v>146.5</v>
      </c>
      <c r="AA217" s="241">
        <v>146.5</v>
      </c>
      <c r="AB217" s="241">
        <v>146.5</v>
      </c>
      <c r="AC217" s="251">
        <v>146.5</v>
      </c>
    </row>
    <row r="218" spans="1:29" ht="20.399999999999999" customHeight="1" x14ac:dyDescent="0.3">
      <c r="A218" s="1041" t="s">
        <v>756</v>
      </c>
      <c r="B218" s="1160" t="s">
        <v>113</v>
      </c>
      <c r="C218" s="1269" t="s">
        <v>757</v>
      </c>
      <c r="D218" s="1270" t="s">
        <v>753</v>
      </c>
      <c r="E218" s="220" t="s">
        <v>442</v>
      </c>
      <c r="F218" s="236">
        <v>161.19999999999999</v>
      </c>
      <c r="G218" s="236">
        <v>161.19999999999999</v>
      </c>
      <c r="H218" s="236">
        <v>161.19999999999999</v>
      </c>
      <c r="I218" s="236">
        <v>161.19999999999999</v>
      </c>
      <c r="J218" s="236">
        <v>161.19999999999999</v>
      </c>
      <c r="K218" s="236">
        <v>161.19999999999999</v>
      </c>
      <c r="L218" s="236">
        <v>161.19999999999999</v>
      </c>
      <c r="M218" s="236">
        <v>161.19999999999999</v>
      </c>
      <c r="N218" s="236">
        <v>161.19999999999999</v>
      </c>
      <c r="O218" s="236">
        <v>161.19999999999999</v>
      </c>
      <c r="P218" s="236">
        <v>161.19999999999999</v>
      </c>
      <c r="Q218" s="236">
        <v>161.19999999999999</v>
      </c>
      <c r="R218" s="236">
        <v>161.19999999999999</v>
      </c>
      <c r="S218" s="236">
        <v>161.19999999999999</v>
      </c>
      <c r="T218" s="236">
        <v>161.19999999999999</v>
      </c>
      <c r="U218" s="236">
        <v>161.19999999999999</v>
      </c>
      <c r="V218" s="236">
        <v>161.19999999999999</v>
      </c>
      <c r="W218" s="236">
        <v>161.19999999999999</v>
      </c>
      <c r="X218" s="236">
        <v>161.19999999999999</v>
      </c>
      <c r="Y218" s="236">
        <v>161.19999999999999</v>
      </c>
      <c r="Z218" s="236">
        <v>161.19999999999999</v>
      </c>
      <c r="AA218" s="236">
        <v>161.19999999999999</v>
      </c>
      <c r="AB218" s="236">
        <v>161.19999999999999</v>
      </c>
      <c r="AC218" s="237">
        <v>161.19999999999999</v>
      </c>
    </row>
    <row r="219" spans="1:29" ht="20.399999999999999" customHeight="1" x14ac:dyDescent="0.3">
      <c r="A219" s="1042"/>
      <c r="B219" s="1045"/>
      <c r="C219" s="1048"/>
      <c r="D219" s="1051"/>
      <c r="E219" s="222" t="s">
        <v>443</v>
      </c>
      <c r="F219" s="234">
        <v>161.19999999999999</v>
      </c>
      <c r="G219" s="234">
        <v>161.19999999999999</v>
      </c>
      <c r="H219" s="234">
        <v>161.19999999999999</v>
      </c>
      <c r="I219" s="234">
        <v>161.19999999999999</v>
      </c>
      <c r="J219" s="234">
        <v>161.19999999999999</v>
      </c>
      <c r="K219" s="234">
        <v>161.19999999999999</v>
      </c>
      <c r="L219" s="234">
        <v>161.19999999999999</v>
      </c>
      <c r="M219" s="234">
        <v>161.19999999999999</v>
      </c>
      <c r="N219" s="234">
        <v>161.19999999999999</v>
      </c>
      <c r="O219" s="234">
        <v>161.19999999999999</v>
      </c>
      <c r="P219" s="234">
        <v>161.19999999999999</v>
      </c>
      <c r="Q219" s="234">
        <v>161.19999999999999</v>
      </c>
      <c r="R219" s="234">
        <v>161.19999999999999</v>
      </c>
      <c r="S219" s="234">
        <v>161.19999999999999</v>
      </c>
      <c r="T219" s="234">
        <v>161.19999999999999</v>
      </c>
      <c r="U219" s="234">
        <v>161.19999999999999</v>
      </c>
      <c r="V219" s="234">
        <v>161.19999999999999</v>
      </c>
      <c r="W219" s="234">
        <v>161.19999999999999</v>
      </c>
      <c r="X219" s="234">
        <v>161.19999999999999</v>
      </c>
      <c r="Y219" s="234">
        <v>161.19999999999999</v>
      </c>
      <c r="Z219" s="234">
        <v>161.19999999999999</v>
      </c>
      <c r="AA219" s="234">
        <v>161.19999999999999</v>
      </c>
      <c r="AB219" s="234">
        <v>161.19999999999999</v>
      </c>
      <c r="AC219" s="238">
        <v>161.19999999999999</v>
      </c>
    </row>
    <row r="220" spans="1:29" ht="20.399999999999999" customHeight="1" x14ac:dyDescent="0.3">
      <c r="A220" s="1043"/>
      <c r="B220" s="1046"/>
      <c r="C220" s="1049"/>
      <c r="D220" s="1052"/>
      <c r="E220" s="224" t="s">
        <v>444</v>
      </c>
      <c r="F220" s="239">
        <v>161.19999999999999</v>
      </c>
      <c r="G220" s="239">
        <v>161.19999999999999</v>
      </c>
      <c r="H220" s="239">
        <v>161.19999999999999</v>
      </c>
      <c r="I220" s="239">
        <v>161.19999999999999</v>
      </c>
      <c r="J220" s="239">
        <v>161.19999999999999</v>
      </c>
      <c r="K220" s="239">
        <v>161.19999999999999</v>
      </c>
      <c r="L220" s="239">
        <v>161.19999999999999</v>
      </c>
      <c r="M220" s="239">
        <v>161.19999999999999</v>
      </c>
      <c r="N220" s="239">
        <v>161.19999999999999</v>
      </c>
      <c r="O220" s="239">
        <v>161.19999999999999</v>
      </c>
      <c r="P220" s="239">
        <v>161.19999999999999</v>
      </c>
      <c r="Q220" s="239">
        <v>161.19999999999999</v>
      </c>
      <c r="R220" s="239">
        <v>161.19999999999999</v>
      </c>
      <c r="S220" s="239">
        <v>161.19999999999999</v>
      </c>
      <c r="T220" s="239">
        <v>161.19999999999999</v>
      </c>
      <c r="U220" s="239">
        <v>161.19999999999999</v>
      </c>
      <c r="V220" s="239">
        <v>161.19999999999999</v>
      </c>
      <c r="W220" s="239">
        <v>161.19999999999999</v>
      </c>
      <c r="X220" s="239">
        <v>161.19999999999999</v>
      </c>
      <c r="Y220" s="239">
        <v>161.19999999999999</v>
      </c>
      <c r="Z220" s="239">
        <v>161.19999999999999</v>
      </c>
      <c r="AA220" s="239">
        <v>161.19999999999999</v>
      </c>
      <c r="AB220" s="239">
        <v>161.19999999999999</v>
      </c>
      <c r="AC220" s="240">
        <v>161.19999999999999</v>
      </c>
    </row>
    <row r="221" spans="1:29" ht="20.399999999999999" customHeight="1" x14ac:dyDescent="0.3">
      <c r="A221" s="1041" t="s">
        <v>179</v>
      </c>
      <c r="B221" s="1044" t="s">
        <v>113</v>
      </c>
      <c r="C221" s="1047" t="s">
        <v>758</v>
      </c>
      <c r="D221" s="1050" t="s">
        <v>753</v>
      </c>
      <c r="E221" s="252" t="s">
        <v>442</v>
      </c>
      <c r="F221" s="235">
        <v>219.8</v>
      </c>
      <c r="G221" s="235">
        <v>219.8</v>
      </c>
      <c r="H221" s="235">
        <v>219.8</v>
      </c>
      <c r="I221" s="235">
        <v>219.8</v>
      </c>
      <c r="J221" s="235">
        <v>219.8</v>
      </c>
      <c r="K221" s="235">
        <v>219.8</v>
      </c>
      <c r="L221" s="235">
        <v>219.8</v>
      </c>
      <c r="M221" s="235">
        <v>219.8</v>
      </c>
      <c r="N221" s="235">
        <v>219.8</v>
      </c>
      <c r="O221" s="235">
        <v>219.8</v>
      </c>
      <c r="P221" s="235">
        <v>219.8</v>
      </c>
      <c r="Q221" s="235">
        <v>219.8</v>
      </c>
      <c r="R221" s="235">
        <v>219.8</v>
      </c>
      <c r="S221" s="235">
        <v>219.8</v>
      </c>
      <c r="T221" s="235">
        <v>219.8</v>
      </c>
      <c r="U221" s="235">
        <v>219.8</v>
      </c>
      <c r="V221" s="235">
        <v>219.8</v>
      </c>
      <c r="W221" s="235">
        <v>219.8</v>
      </c>
      <c r="X221" s="235">
        <v>219.8</v>
      </c>
      <c r="Y221" s="235">
        <v>219.8</v>
      </c>
      <c r="Z221" s="235">
        <v>219.8</v>
      </c>
      <c r="AA221" s="235">
        <v>219.8</v>
      </c>
      <c r="AB221" s="235">
        <v>219.8</v>
      </c>
      <c r="AC221" s="250">
        <v>219.8</v>
      </c>
    </row>
    <row r="222" spans="1:29" ht="20.399999999999999" customHeight="1" x14ac:dyDescent="0.3">
      <c r="A222" s="1042"/>
      <c r="B222" s="1045"/>
      <c r="C222" s="1048"/>
      <c r="D222" s="1051"/>
      <c r="E222" s="222" t="s">
        <v>443</v>
      </c>
      <c r="F222" s="234">
        <v>219.8</v>
      </c>
      <c r="G222" s="234">
        <v>219.8</v>
      </c>
      <c r="H222" s="234">
        <v>219.8</v>
      </c>
      <c r="I222" s="234">
        <v>219.8</v>
      </c>
      <c r="J222" s="234">
        <v>219.8</v>
      </c>
      <c r="K222" s="234">
        <v>219.8</v>
      </c>
      <c r="L222" s="234">
        <v>219.8</v>
      </c>
      <c r="M222" s="234">
        <v>219.8</v>
      </c>
      <c r="N222" s="234">
        <v>219.8</v>
      </c>
      <c r="O222" s="234">
        <v>219.8</v>
      </c>
      <c r="P222" s="234">
        <v>219.8</v>
      </c>
      <c r="Q222" s="234">
        <v>219.8</v>
      </c>
      <c r="R222" s="234">
        <v>219.8</v>
      </c>
      <c r="S222" s="234">
        <v>219.8</v>
      </c>
      <c r="T222" s="234">
        <v>219.8</v>
      </c>
      <c r="U222" s="234">
        <v>219.8</v>
      </c>
      <c r="V222" s="234">
        <v>219.8</v>
      </c>
      <c r="W222" s="234">
        <v>219.8</v>
      </c>
      <c r="X222" s="234">
        <v>219.8</v>
      </c>
      <c r="Y222" s="234">
        <v>219.8</v>
      </c>
      <c r="Z222" s="234">
        <v>219.8</v>
      </c>
      <c r="AA222" s="234">
        <v>219.8</v>
      </c>
      <c r="AB222" s="234">
        <v>219.8</v>
      </c>
      <c r="AC222" s="238">
        <v>219.8</v>
      </c>
    </row>
    <row r="223" spans="1:29" ht="20.399999999999999" customHeight="1" x14ac:dyDescent="0.3">
      <c r="A223" s="1043"/>
      <c r="B223" s="1046"/>
      <c r="C223" s="1049"/>
      <c r="D223" s="1052"/>
      <c r="E223" s="224" t="s">
        <v>444</v>
      </c>
      <c r="F223" s="239">
        <v>219.8</v>
      </c>
      <c r="G223" s="239">
        <v>219.8</v>
      </c>
      <c r="H223" s="239">
        <v>219.8</v>
      </c>
      <c r="I223" s="239">
        <v>219.8</v>
      </c>
      <c r="J223" s="239">
        <v>219.8</v>
      </c>
      <c r="K223" s="239">
        <v>219.8</v>
      </c>
      <c r="L223" s="239">
        <v>219.8</v>
      </c>
      <c r="M223" s="239">
        <v>219.8</v>
      </c>
      <c r="N223" s="239">
        <v>219.8</v>
      </c>
      <c r="O223" s="239">
        <v>219.8</v>
      </c>
      <c r="P223" s="239">
        <v>219.8</v>
      </c>
      <c r="Q223" s="239">
        <v>219.8</v>
      </c>
      <c r="R223" s="239">
        <v>219.8</v>
      </c>
      <c r="S223" s="239">
        <v>219.8</v>
      </c>
      <c r="T223" s="239">
        <v>219.8</v>
      </c>
      <c r="U223" s="239">
        <v>219.8</v>
      </c>
      <c r="V223" s="239">
        <v>219.8</v>
      </c>
      <c r="W223" s="239">
        <v>219.8</v>
      </c>
      <c r="X223" s="239">
        <v>219.8</v>
      </c>
      <c r="Y223" s="239">
        <v>219.8</v>
      </c>
      <c r="Z223" s="239">
        <v>219.8</v>
      </c>
      <c r="AA223" s="239">
        <v>219.8</v>
      </c>
      <c r="AB223" s="239">
        <v>219.8</v>
      </c>
      <c r="AC223" s="240">
        <v>219.8</v>
      </c>
    </row>
    <row r="224" spans="1:29" ht="13.5" customHeight="1" x14ac:dyDescent="0.3">
      <c r="A224" s="1008" t="s">
        <v>759</v>
      </c>
      <c r="B224" s="1008"/>
      <c r="C224" s="1008" t="s">
        <v>717</v>
      </c>
      <c r="D224" s="1008"/>
      <c r="E224" s="1008"/>
      <c r="F224" s="1008"/>
      <c r="G224" s="1008"/>
      <c r="H224" s="1008"/>
      <c r="I224" s="1008"/>
      <c r="J224" s="1008"/>
      <c r="K224" s="1008"/>
      <c r="L224" s="1008"/>
      <c r="M224" s="1008"/>
      <c r="N224" s="1008"/>
      <c r="O224" s="1008"/>
      <c r="P224" s="1008"/>
      <c r="Q224" s="1008"/>
      <c r="R224" s="1008"/>
      <c r="S224" s="1008"/>
      <c r="T224" s="1008"/>
      <c r="U224" s="1008"/>
      <c r="V224" s="1008"/>
      <c r="W224" s="1008"/>
      <c r="X224" s="1008"/>
      <c r="Y224" s="1008"/>
      <c r="Z224" s="1008"/>
      <c r="AA224" s="1008"/>
      <c r="AB224" s="1008"/>
      <c r="AC224" s="1009"/>
    </row>
    <row r="225" spans="1:29" ht="21" customHeight="1" x14ac:dyDescent="0.3">
      <c r="A225" s="1200" t="s">
        <v>760</v>
      </c>
      <c r="B225" s="1201" t="s">
        <v>203</v>
      </c>
      <c r="C225" s="1201" t="s">
        <v>707</v>
      </c>
      <c r="D225" s="942" t="s">
        <v>761</v>
      </c>
      <c r="E225" s="647" t="s">
        <v>442</v>
      </c>
      <c r="F225" s="647">
        <v>0</v>
      </c>
      <c r="G225" s="647">
        <v>0</v>
      </c>
      <c r="H225" s="647">
        <v>0</v>
      </c>
      <c r="I225" s="647">
        <v>0</v>
      </c>
      <c r="J225" s="647">
        <v>0</v>
      </c>
      <c r="K225" s="647">
        <v>0</v>
      </c>
      <c r="L225" s="647">
        <v>0</v>
      </c>
      <c r="M225" s="647">
        <v>0.1</v>
      </c>
      <c r="N225" s="647">
        <v>0.5</v>
      </c>
      <c r="O225" s="647">
        <v>0.8</v>
      </c>
      <c r="P225" s="647">
        <v>0.8</v>
      </c>
      <c r="Q225" s="647">
        <v>0.8</v>
      </c>
      <c r="R225" s="647">
        <v>0.8</v>
      </c>
      <c r="S225" s="647">
        <v>0.8</v>
      </c>
      <c r="T225" s="647">
        <v>0.8</v>
      </c>
      <c r="U225" s="647">
        <v>0.8</v>
      </c>
      <c r="V225" s="647">
        <v>0.8</v>
      </c>
      <c r="W225" s="647">
        <v>0.5</v>
      </c>
      <c r="X225" s="647">
        <v>0.3</v>
      </c>
      <c r="Y225" s="647">
        <v>0.3</v>
      </c>
      <c r="Z225" s="647">
        <v>0.2</v>
      </c>
      <c r="AA225" s="647">
        <v>0.2</v>
      </c>
      <c r="AB225" s="647">
        <v>0</v>
      </c>
      <c r="AC225" s="1202">
        <v>0</v>
      </c>
    </row>
    <row r="226" spans="1:29" ht="21" customHeight="1" x14ac:dyDescent="0.3">
      <c r="A226" s="1203"/>
      <c r="B226" s="1204"/>
      <c r="C226" s="1204"/>
      <c r="D226" s="943"/>
      <c r="E226" s="650" t="s">
        <v>443</v>
      </c>
      <c r="F226" s="650">
        <v>0</v>
      </c>
      <c r="G226" s="650">
        <v>0</v>
      </c>
      <c r="H226" s="650">
        <v>0</v>
      </c>
      <c r="I226" s="650">
        <v>0</v>
      </c>
      <c r="J226" s="650">
        <v>0</v>
      </c>
      <c r="K226" s="650">
        <v>0</v>
      </c>
      <c r="L226" s="650">
        <v>0</v>
      </c>
      <c r="M226" s="650">
        <v>0.1</v>
      </c>
      <c r="N226" s="650">
        <v>0.3</v>
      </c>
      <c r="O226" s="650">
        <v>0.4</v>
      </c>
      <c r="P226" s="650">
        <v>0.4</v>
      </c>
      <c r="Q226" s="650">
        <v>0.4</v>
      </c>
      <c r="R226" s="650">
        <v>0.4</v>
      </c>
      <c r="S226" s="650">
        <v>0.4</v>
      </c>
      <c r="T226" s="650">
        <v>0.4</v>
      </c>
      <c r="U226" s="650">
        <v>0.4</v>
      </c>
      <c r="V226" s="650">
        <v>0.4</v>
      </c>
      <c r="W226" s="650">
        <v>0.1</v>
      </c>
      <c r="X226" s="650">
        <v>0.1</v>
      </c>
      <c r="Y226" s="650">
        <v>0</v>
      </c>
      <c r="Z226" s="650">
        <v>0</v>
      </c>
      <c r="AA226" s="650">
        <v>0</v>
      </c>
      <c r="AB226" s="650">
        <v>0</v>
      </c>
      <c r="AC226" s="1205">
        <v>0</v>
      </c>
    </row>
    <row r="227" spans="1:29" ht="21" customHeight="1" x14ac:dyDescent="0.3">
      <c r="A227" s="1206"/>
      <c r="B227" s="1207"/>
      <c r="C227" s="1207"/>
      <c r="D227" s="961"/>
      <c r="E227" s="1208" t="s">
        <v>444</v>
      </c>
      <c r="F227" s="1208">
        <v>0</v>
      </c>
      <c r="G227" s="1208">
        <v>0</v>
      </c>
      <c r="H227" s="1208">
        <v>0</v>
      </c>
      <c r="I227" s="1208">
        <v>0</v>
      </c>
      <c r="J227" s="1208">
        <v>0</v>
      </c>
      <c r="K227" s="1208">
        <v>0</v>
      </c>
      <c r="L227" s="1208">
        <v>0</v>
      </c>
      <c r="M227" s="1208">
        <v>0</v>
      </c>
      <c r="N227" s="1208">
        <v>0.05</v>
      </c>
      <c r="O227" s="1208">
        <v>0.05</v>
      </c>
      <c r="P227" s="1208">
        <v>0.05</v>
      </c>
      <c r="Q227" s="1208">
        <v>0.05</v>
      </c>
      <c r="R227" s="1208">
        <v>0.05</v>
      </c>
      <c r="S227" s="1208">
        <v>0.05</v>
      </c>
      <c r="T227" s="1208">
        <v>0.05</v>
      </c>
      <c r="U227" s="1208">
        <v>0.05</v>
      </c>
      <c r="V227" s="1208">
        <v>0</v>
      </c>
      <c r="W227" s="1208">
        <v>0</v>
      </c>
      <c r="X227" s="1208">
        <v>0</v>
      </c>
      <c r="Y227" s="1208">
        <v>0</v>
      </c>
      <c r="Z227" s="1208">
        <v>0</v>
      </c>
      <c r="AA227" s="1208">
        <v>0</v>
      </c>
      <c r="AB227" s="1208">
        <v>0</v>
      </c>
      <c r="AC227" s="1209">
        <v>0</v>
      </c>
    </row>
    <row r="228" spans="1:29" ht="21" customHeight="1" x14ac:dyDescent="0.3">
      <c r="A228" s="1200" t="s">
        <v>760</v>
      </c>
      <c r="B228" s="1201" t="s">
        <v>203</v>
      </c>
      <c r="C228" s="1010" t="s">
        <v>709</v>
      </c>
      <c r="D228" s="942" t="s">
        <v>761</v>
      </c>
      <c r="E228" s="1210" t="s">
        <v>442</v>
      </c>
      <c r="F228" s="1210">
        <v>0.1</v>
      </c>
      <c r="G228" s="1210">
        <v>0.1</v>
      </c>
      <c r="H228" s="1210">
        <v>0.1</v>
      </c>
      <c r="I228" s="1210">
        <v>0.1</v>
      </c>
      <c r="J228" s="1210">
        <v>0.1</v>
      </c>
      <c r="K228" s="1210">
        <v>0.1</v>
      </c>
      <c r="L228" s="1210">
        <v>0.1</v>
      </c>
      <c r="M228" s="1210">
        <v>0.45</v>
      </c>
      <c r="N228" s="1210">
        <v>0.8</v>
      </c>
      <c r="O228" s="1210">
        <v>0.8</v>
      </c>
      <c r="P228" s="1210">
        <v>0.8</v>
      </c>
      <c r="Q228" s="1210">
        <v>0.8</v>
      </c>
      <c r="R228" s="1210">
        <v>0.8</v>
      </c>
      <c r="S228" s="1210">
        <v>0.8</v>
      </c>
      <c r="T228" s="1210">
        <v>0.8</v>
      </c>
      <c r="U228" s="1210">
        <v>0.8</v>
      </c>
      <c r="V228" s="1210">
        <v>0.3</v>
      </c>
      <c r="W228" s="1210">
        <v>0.3</v>
      </c>
      <c r="X228" s="1210">
        <v>0.3</v>
      </c>
      <c r="Y228" s="1210">
        <v>0.3</v>
      </c>
      <c r="Z228" s="1210">
        <v>0.3</v>
      </c>
      <c r="AA228" s="1210">
        <v>0.3</v>
      </c>
      <c r="AB228" s="1210">
        <v>0.3</v>
      </c>
      <c r="AC228" s="1211">
        <v>0.1</v>
      </c>
    </row>
    <row r="229" spans="1:29" ht="21" customHeight="1" x14ac:dyDescent="0.3">
      <c r="A229" s="1203"/>
      <c r="B229" s="1204"/>
      <c r="C229" s="1011"/>
      <c r="D229" s="943"/>
      <c r="E229" s="714" t="s">
        <v>443</v>
      </c>
      <c r="F229" s="714">
        <v>0.1</v>
      </c>
      <c r="G229" s="714">
        <v>0.1</v>
      </c>
      <c r="H229" s="714">
        <v>0.1</v>
      </c>
      <c r="I229" s="714">
        <v>0.1</v>
      </c>
      <c r="J229" s="714">
        <v>0.1</v>
      </c>
      <c r="K229" s="714">
        <v>0.1</v>
      </c>
      <c r="L229" s="714">
        <v>0.1</v>
      </c>
      <c r="M229" s="714">
        <v>0.2</v>
      </c>
      <c r="N229" s="714">
        <v>0.35</v>
      </c>
      <c r="O229" s="714">
        <v>0.35</v>
      </c>
      <c r="P229" s="714">
        <v>0.35</v>
      </c>
      <c r="Q229" s="714">
        <v>0.35</v>
      </c>
      <c r="R229" s="714">
        <v>0.35</v>
      </c>
      <c r="S229" s="714">
        <v>0.35</v>
      </c>
      <c r="T229" s="714">
        <v>0.35</v>
      </c>
      <c r="U229" s="714">
        <v>0.35</v>
      </c>
      <c r="V229" s="714">
        <v>0.35</v>
      </c>
      <c r="W229" s="714">
        <v>0.35</v>
      </c>
      <c r="X229" s="714">
        <v>0.1</v>
      </c>
      <c r="Y229" s="714">
        <v>0.1</v>
      </c>
      <c r="Z229" s="714">
        <v>0.1</v>
      </c>
      <c r="AA229" s="714">
        <v>0.1</v>
      </c>
      <c r="AB229" s="714">
        <v>0.1</v>
      </c>
      <c r="AC229" s="1212">
        <v>0.1</v>
      </c>
    </row>
    <row r="230" spans="1:29" ht="21" customHeight="1" x14ac:dyDescent="0.3">
      <c r="A230" s="1206"/>
      <c r="B230" s="1207"/>
      <c r="C230" s="1013"/>
      <c r="D230" s="961"/>
      <c r="E230" s="1213" t="s">
        <v>444</v>
      </c>
      <c r="F230" s="1213">
        <v>0.05</v>
      </c>
      <c r="G230" s="1213">
        <v>0.05</v>
      </c>
      <c r="H230" s="1213">
        <v>0.05</v>
      </c>
      <c r="I230" s="1213">
        <v>0.05</v>
      </c>
      <c r="J230" s="1213">
        <v>0.05</v>
      </c>
      <c r="K230" s="1213">
        <v>0.05</v>
      </c>
      <c r="L230" s="1213">
        <v>0.05</v>
      </c>
      <c r="M230" s="1213">
        <v>0.05</v>
      </c>
      <c r="N230" s="1213">
        <v>0.1</v>
      </c>
      <c r="O230" s="1213">
        <v>0.1</v>
      </c>
      <c r="P230" s="1213">
        <v>0.1</v>
      </c>
      <c r="Q230" s="1213">
        <v>0.1</v>
      </c>
      <c r="R230" s="1213">
        <v>0.1</v>
      </c>
      <c r="S230" s="1213">
        <v>0.1</v>
      </c>
      <c r="T230" s="1213">
        <v>0.1</v>
      </c>
      <c r="U230" s="1213">
        <v>0.1</v>
      </c>
      <c r="V230" s="1213">
        <v>0.05</v>
      </c>
      <c r="W230" s="1213">
        <v>0.05</v>
      </c>
      <c r="X230" s="1213">
        <v>0.05</v>
      </c>
      <c r="Y230" s="1213">
        <v>0.05</v>
      </c>
      <c r="Z230" s="1213">
        <v>0.05</v>
      </c>
      <c r="AA230" s="1213">
        <v>0.05</v>
      </c>
      <c r="AB230" s="1213">
        <v>0.05</v>
      </c>
      <c r="AC230" s="1214">
        <v>0.05</v>
      </c>
    </row>
    <row r="231" spans="1:29" ht="21" customHeight="1" x14ac:dyDescent="0.3">
      <c r="A231" s="1200" t="s">
        <v>760</v>
      </c>
      <c r="B231" s="1201" t="s">
        <v>203</v>
      </c>
      <c r="C231" s="1014" t="s">
        <v>710</v>
      </c>
      <c r="D231" s="942" t="s">
        <v>761</v>
      </c>
      <c r="E231" s="1215" t="s">
        <v>442</v>
      </c>
      <c r="F231" s="725">
        <v>0.1</v>
      </c>
      <c r="G231" s="725">
        <v>0.1</v>
      </c>
      <c r="H231" s="725">
        <v>0.1</v>
      </c>
      <c r="I231" s="725">
        <v>0.1</v>
      </c>
      <c r="J231" s="725">
        <v>0.1</v>
      </c>
      <c r="K231" s="725">
        <v>0.1</v>
      </c>
      <c r="L231" s="725">
        <v>0.1</v>
      </c>
      <c r="M231" s="725">
        <v>0.5</v>
      </c>
      <c r="N231" s="725">
        <v>0.9</v>
      </c>
      <c r="O231" s="725">
        <v>0.9</v>
      </c>
      <c r="P231" s="725">
        <v>0.9</v>
      </c>
      <c r="Q231" s="725">
        <v>0.9</v>
      </c>
      <c r="R231" s="725">
        <v>0.9</v>
      </c>
      <c r="S231" s="725">
        <v>0.9</v>
      </c>
      <c r="T231" s="725">
        <v>0.9</v>
      </c>
      <c r="U231" s="725">
        <v>0.9</v>
      </c>
      <c r="V231" s="725">
        <v>0.3</v>
      </c>
      <c r="W231" s="725">
        <v>0.3</v>
      </c>
      <c r="X231" s="725">
        <v>0.3</v>
      </c>
      <c r="Y231" s="725">
        <v>0.3</v>
      </c>
      <c r="Z231" s="725">
        <v>0.3</v>
      </c>
      <c r="AA231" s="725">
        <v>0.3</v>
      </c>
      <c r="AB231" s="725">
        <v>0.3</v>
      </c>
      <c r="AC231" s="726">
        <v>0.1</v>
      </c>
    </row>
    <row r="232" spans="1:29" s="1246" customFormat="1" ht="21" customHeight="1" x14ac:dyDescent="0.3">
      <c r="A232" s="1203"/>
      <c r="B232" s="1204"/>
      <c r="C232" s="1011"/>
      <c r="D232" s="943"/>
      <c r="E232" s="1243" t="s">
        <v>443</v>
      </c>
      <c r="F232" s="1244">
        <v>0.1</v>
      </c>
      <c r="G232" s="1244">
        <v>0.1</v>
      </c>
      <c r="H232" s="1244">
        <v>0.1</v>
      </c>
      <c r="I232" s="1244">
        <v>0.1</v>
      </c>
      <c r="J232" s="1244">
        <v>0.1</v>
      </c>
      <c r="K232" s="1244">
        <v>0.1</v>
      </c>
      <c r="L232" s="1244">
        <v>0.1</v>
      </c>
      <c r="M232" s="1244">
        <v>0.2</v>
      </c>
      <c r="N232" s="1244">
        <v>0.4</v>
      </c>
      <c r="O232" s="1244">
        <v>0.4</v>
      </c>
      <c r="P232" s="1244">
        <v>0.4</v>
      </c>
      <c r="Q232" s="1244">
        <v>0.4</v>
      </c>
      <c r="R232" s="1244">
        <v>0.4</v>
      </c>
      <c r="S232" s="1244">
        <v>0.4</v>
      </c>
      <c r="T232" s="1244">
        <v>0.4</v>
      </c>
      <c r="U232" s="1244">
        <v>0.4</v>
      </c>
      <c r="V232" s="1244">
        <v>0.4</v>
      </c>
      <c r="W232" s="1244">
        <v>0.4</v>
      </c>
      <c r="X232" s="1244">
        <v>0.1</v>
      </c>
      <c r="Y232" s="1244">
        <v>0.1</v>
      </c>
      <c r="Z232" s="1244">
        <v>0.1</v>
      </c>
      <c r="AA232" s="1244">
        <v>0.1</v>
      </c>
      <c r="AB232" s="1244">
        <v>0.1</v>
      </c>
      <c r="AC232" s="1245">
        <v>0.1</v>
      </c>
    </row>
    <row r="233" spans="1:29" s="1250" customFormat="1" ht="21" customHeight="1" x14ac:dyDescent="0.3">
      <c r="A233" s="1206"/>
      <c r="B233" s="1207"/>
      <c r="C233" s="1012"/>
      <c r="D233" s="961"/>
      <c r="E233" s="1247" t="s">
        <v>444</v>
      </c>
      <c r="F233" s="1248">
        <v>0.05</v>
      </c>
      <c r="G233" s="1248">
        <v>0.05</v>
      </c>
      <c r="H233" s="1248">
        <v>0.05</v>
      </c>
      <c r="I233" s="1248">
        <v>0.05</v>
      </c>
      <c r="J233" s="1248">
        <v>0.05</v>
      </c>
      <c r="K233" s="1248">
        <v>0.05</v>
      </c>
      <c r="L233" s="1248">
        <v>0.05</v>
      </c>
      <c r="M233" s="1248">
        <v>0.05</v>
      </c>
      <c r="N233" s="1248">
        <v>0.1</v>
      </c>
      <c r="O233" s="1248">
        <v>0.1</v>
      </c>
      <c r="P233" s="1248">
        <v>0.1</v>
      </c>
      <c r="Q233" s="1248">
        <v>0.1</v>
      </c>
      <c r="R233" s="1248">
        <v>0.1</v>
      </c>
      <c r="S233" s="1248">
        <v>0.1</v>
      </c>
      <c r="T233" s="1248">
        <v>0.1</v>
      </c>
      <c r="U233" s="1248">
        <v>0.1</v>
      </c>
      <c r="V233" s="1248">
        <v>0.05</v>
      </c>
      <c r="W233" s="1248">
        <v>0.05</v>
      </c>
      <c r="X233" s="1248">
        <v>0.05</v>
      </c>
      <c r="Y233" s="1248">
        <v>0.05</v>
      </c>
      <c r="Z233" s="1248">
        <v>0.05</v>
      </c>
      <c r="AA233" s="1248">
        <v>0.05</v>
      </c>
      <c r="AB233" s="1248">
        <v>0.05</v>
      </c>
      <c r="AC233" s="1249">
        <v>0.05</v>
      </c>
    </row>
    <row r="234" spans="1:29" s="1250" customFormat="1" ht="21" customHeight="1" x14ac:dyDescent="0.3">
      <c r="A234" s="1200" t="s">
        <v>760</v>
      </c>
      <c r="B234" s="1201" t="s">
        <v>203</v>
      </c>
      <c r="C234" s="1010" t="s">
        <v>711</v>
      </c>
      <c r="D234" s="942" t="s">
        <v>761</v>
      </c>
      <c r="E234" s="1251" t="s">
        <v>442</v>
      </c>
      <c r="F234" s="1251">
        <v>0.01</v>
      </c>
      <c r="G234" s="1251">
        <v>0.01</v>
      </c>
      <c r="H234" s="1251">
        <v>0.01</v>
      </c>
      <c r="I234" s="1251">
        <v>0.01</v>
      </c>
      <c r="J234" s="1251">
        <v>0.01</v>
      </c>
      <c r="K234" s="1251">
        <v>0.01</v>
      </c>
      <c r="L234" s="1251">
        <v>0.01</v>
      </c>
      <c r="M234" s="1251">
        <v>0.17</v>
      </c>
      <c r="N234" s="1251">
        <v>0.57999999999999996</v>
      </c>
      <c r="O234" s="1251">
        <v>0.66</v>
      </c>
      <c r="P234" s="1251">
        <v>0.78</v>
      </c>
      <c r="Q234" s="1251">
        <v>0.82</v>
      </c>
      <c r="R234" s="1251">
        <v>0.71</v>
      </c>
      <c r="S234" s="1251">
        <v>0.82</v>
      </c>
      <c r="T234" s="1251">
        <v>0.78</v>
      </c>
      <c r="U234" s="1251">
        <v>0.74</v>
      </c>
      <c r="V234" s="1251">
        <v>0.63</v>
      </c>
      <c r="W234" s="1251">
        <v>0.41</v>
      </c>
      <c r="X234" s="1251">
        <v>0.18</v>
      </c>
      <c r="Y234" s="1251">
        <v>0.18</v>
      </c>
      <c r="Z234" s="1251">
        <v>0.18</v>
      </c>
      <c r="AA234" s="1251">
        <v>0.1</v>
      </c>
      <c r="AB234" s="1251">
        <v>0.01</v>
      </c>
      <c r="AC234" s="1252">
        <v>0.01</v>
      </c>
    </row>
    <row r="235" spans="1:29" ht="21" customHeight="1" x14ac:dyDescent="0.3">
      <c r="A235" s="1203"/>
      <c r="B235" s="1204"/>
      <c r="C235" s="1011"/>
      <c r="D235" s="943"/>
      <c r="E235" s="650" t="s">
        <v>443</v>
      </c>
      <c r="F235" s="650">
        <v>0.01</v>
      </c>
      <c r="G235" s="650">
        <v>0.01</v>
      </c>
      <c r="H235" s="650">
        <v>0.01</v>
      </c>
      <c r="I235" s="650">
        <v>0.01</v>
      </c>
      <c r="J235" s="650">
        <v>0.01</v>
      </c>
      <c r="K235" s="650">
        <v>0.01</v>
      </c>
      <c r="L235" s="650">
        <v>0.01</v>
      </c>
      <c r="M235" s="650">
        <v>0.01</v>
      </c>
      <c r="N235" s="650">
        <v>0.2</v>
      </c>
      <c r="O235" s="650">
        <v>0.28000000000000003</v>
      </c>
      <c r="P235" s="650">
        <v>0.3</v>
      </c>
      <c r="Q235" s="650">
        <v>0.3</v>
      </c>
      <c r="R235" s="650">
        <v>0.24</v>
      </c>
      <c r="S235" s="650">
        <v>0.24</v>
      </c>
      <c r="T235" s="650">
        <v>0.23</v>
      </c>
      <c r="U235" s="650">
        <v>0.23</v>
      </c>
      <c r="V235" s="650">
        <v>0.23</v>
      </c>
      <c r="W235" s="650">
        <v>0.1</v>
      </c>
      <c r="X235" s="650">
        <v>0.01</v>
      </c>
      <c r="Y235" s="650">
        <v>0.01</v>
      </c>
      <c r="Z235" s="650">
        <v>0.01</v>
      </c>
      <c r="AA235" s="650">
        <v>0.01</v>
      </c>
      <c r="AB235" s="650">
        <v>0.01</v>
      </c>
      <c r="AC235" s="1205">
        <v>0.01</v>
      </c>
    </row>
    <row r="236" spans="1:29" ht="21" customHeight="1" x14ac:dyDescent="0.3">
      <c r="A236" s="1206"/>
      <c r="B236" s="1207"/>
      <c r="C236" s="1012"/>
      <c r="D236" s="961"/>
      <c r="E236" s="1208" t="s">
        <v>444</v>
      </c>
      <c r="F236" s="1208">
        <v>0.01</v>
      </c>
      <c r="G236" s="1208">
        <v>0.01</v>
      </c>
      <c r="H236" s="1208">
        <v>0.01</v>
      </c>
      <c r="I236" s="1208">
        <v>0.01</v>
      </c>
      <c r="J236" s="1208">
        <v>0.01</v>
      </c>
      <c r="K236" s="1208">
        <v>0.01</v>
      </c>
      <c r="L236" s="1208">
        <v>0.01</v>
      </c>
      <c r="M236" s="1208">
        <v>0.01</v>
      </c>
      <c r="N236" s="1208">
        <v>0.01</v>
      </c>
      <c r="O236" s="1208">
        <v>0.01</v>
      </c>
      <c r="P236" s="1208">
        <v>0.01</v>
      </c>
      <c r="Q236" s="1208">
        <v>0.01</v>
      </c>
      <c r="R236" s="1208">
        <v>0.01</v>
      </c>
      <c r="S236" s="1208">
        <v>0.01</v>
      </c>
      <c r="T236" s="1208">
        <v>0.01</v>
      </c>
      <c r="U236" s="1208">
        <v>0.01</v>
      </c>
      <c r="V236" s="1208">
        <v>0.01</v>
      </c>
      <c r="W236" s="1208">
        <v>0.01</v>
      </c>
      <c r="X236" s="1208">
        <v>0.01</v>
      </c>
      <c r="Y236" s="1208">
        <v>0.01</v>
      </c>
      <c r="Z236" s="1208">
        <v>0.01</v>
      </c>
      <c r="AA236" s="1208">
        <v>0.01</v>
      </c>
      <c r="AB236" s="1208">
        <v>0.01</v>
      </c>
      <c r="AC236" s="1209">
        <v>0.01</v>
      </c>
    </row>
    <row r="237" spans="1:29" ht="21" customHeight="1" x14ac:dyDescent="0.3">
      <c r="A237" s="1200" t="s">
        <v>760</v>
      </c>
      <c r="B237" s="1201" t="s">
        <v>203</v>
      </c>
      <c r="C237" s="1010" t="s">
        <v>712</v>
      </c>
      <c r="D237" s="942" t="s">
        <v>761</v>
      </c>
      <c r="E237" s="1215" t="s">
        <v>442</v>
      </c>
      <c r="F237" s="725">
        <v>0</v>
      </c>
      <c r="G237" s="725">
        <v>0</v>
      </c>
      <c r="H237" s="725">
        <v>0</v>
      </c>
      <c r="I237" s="725">
        <v>0</v>
      </c>
      <c r="J237" s="725">
        <v>0</v>
      </c>
      <c r="K237" s="725">
        <v>0</v>
      </c>
      <c r="L237" s="725">
        <v>0</v>
      </c>
      <c r="M237" s="725">
        <v>0.75</v>
      </c>
      <c r="N237" s="725">
        <v>0.9</v>
      </c>
      <c r="O237" s="725">
        <v>0.9</v>
      </c>
      <c r="P237" s="725">
        <v>0.9</v>
      </c>
      <c r="Q237" s="725">
        <v>0.9</v>
      </c>
      <c r="R237" s="725">
        <v>0.9</v>
      </c>
      <c r="S237" s="725">
        <v>0.9</v>
      </c>
      <c r="T237" s="725">
        <v>0.9</v>
      </c>
      <c r="U237" s="725">
        <v>0.9</v>
      </c>
      <c r="V237" s="725">
        <v>0.9</v>
      </c>
      <c r="W237" s="725">
        <v>0.75</v>
      </c>
      <c r="X237" s="725">
        <v>0.2</v>
      </c>
      <c r="Y237" s="725">
        <v>0.1</v>
      </c>
      <c r="Z237" s="725">
        <v>0</v>
      </c>
      <c r="AA237" s="725">
        <v>0</v>
      </c>
      <c r="AB237" s="725">
        <v>0</v>
      </c>
      <c r="AC237" s="726">
        <v>0</v>
      </c>
    </row>
    <row r="238" spans="1:29" ht="21" customHeight="1" x14ac:dyDescent="0.3">
      <c r="A238" s="1203"/>
      <c r="B238" s="1204"/>
      <c r="C238" s="1011"/>
      <c r="D238" s="943"/>
      <c r="E238" s="714" t="s">
        <v>443</v>
      </c>
      <c r="F238" s="728">
        <v>0</v>
      </c>
      <c r="G238" s="728">
        <v>0</v>
      </c>
      <c r="H238" s="728">
        <v>0</v>
      </c>
      <c r="I238" s="728">
        <v>0</v>
      </c>
      <c r="J238" s="728">
        <v>0</v>
      </c>
      <c r="K238" s="728">
        <v>0</v>
      </c>
      <c r="L238" s="728">
        <v>0</v>
      </c>
      <c r="M238" s="728">
        <v>0.3</v>
      </c>
      <c r="N238" s="728">
        <v>0.5</v>
      </c>
      <c r="O238" s="728">
        <v>0.5</v>
      </c>
      <c r="P238" s="728">
        <v>0.5</v>
      </c>
      <c r="Q238" s="728">
        <v>0.5</v>
      </c>
      <c r="R238" s="728">
        <v>0.5</v>
      </c>
      <c r="S238" s="728">
        <v>0.5</v>
      </c>
      <c r="T238" s="728">
        <v>0.5</v>
      </c>
      <c r="U238" s="728">
        <v>0.5</v>
      </c>
      <c r="V238" s="728">
        <v>0.5</v>
      </c>
      <c r="W238" s="728">
        <v>0.3</v>
      </c>
      <c r="X238" s="728">
        <v>0</v>
      </c>
      <c r="Y238" s="728">
        <v>0</v>
      </c>
      <c r="Z238" s="728">
        <v>0</v>
      </c>
      <c r="AA238" s="728">
        <v>0</v>
      </c>
      <c r="AB238" s="728">
        <v>0</v>
      </c>
      <c r="AC238" s="730">
        <v>0</v>
      </c>
    </row>
    <row r="239" spans="1:29" ht="21" customHeight="1" x14ac:dyDescent="0.3">
      <c r="A239" s="1206"/>
      <c r="B239" s="1207"/>
      <c r="C239" s="1013"/>
      <c r="D239" s="961"/>
      <c r="E239" s="1213" t="s">
        <v>444</v>
      </c>
      <c r="F239" s="733">
        <v>0</v>
      </c>
      <c r="G239" s="733">
        <v>0</v>
      </c>
      <c r="H239" s="733">
        <v>0</v>
      </c>
      <c r="I239" s="733">
        <v>0</v>
      </c>
      <c r="J239" s="733">
        <v>0</v>
      </c>
      <c r="K239" s="733">
        <v>0</v>
      </c>
      <c r="L239" s="733">
        <v>0</v>
      </c>
      <c r="M239" s="733">
        <v>0</v>
      </c>
      <c r="N239" s="733">
        <v>0</v>
      </c>
      <c r="O239" s="733">
        <v>0</v>
      </c>
      <c r="P239" s="733">
        <v>0</v>
      </c>
      <c r="Q239" s="733">
        <v>0</v>
      </c>
      <c r="R239" s="733">
        <v>0</v>
      </c>
      <c r="S239" s="733">
        <v>0</v>
      </c>
      <c r="T239" s="733">
        <v>0</v>
      </c>
      <c r="U239" s="733">
        <v>0</v>
      </c>
      <c r="V239" s="733">
        <v>0</v>
      </c>
      <c r="W239" s="733">
        <v>0</v>
      </c>
      <c r="X239" s="733">
        <v>0</v>
      </c>
      <c r="Y239" s="733">
        <v>0</v>
      </c>
      <c r="Z239" s="733">
        <v>0</v>
      </c>
      <c r="AA239" s="733">
        <v>0</v>
      </c>
      <c r="AB239" s="733">
        <v>0</v>
      </c>
      <c r="AC239" s="738">
        <v>0</v>
      </c>
    </row>
    <row r="240" spans="1:29" ht="21" customHeight="1" x14ac:dyDescent="0.3">
      <c r="A240" s="1200" t="s">
        <v>760</v>
      </c>
      <c r="B240" s="1201" t="s">
        <v>203</v>
      </c>
      <c r="C240" s="1216" t="s">
        <v>713</v>
      </c>
      <c r="D240" s="942" t="s">
        <v>761</v>
      </c>
      <c r="E240" s="1215" t="s">
        <v>442</v>
      </c>
      <c r="F240" s="725">
        <v>0.9</v>
      </c>
      <c r="G240" s="725">
        <v>0.9</v>
      </c>
      <c r="H240" s="725">
        <v>0.9</v>
      </c>
      <c r="I240" s="725">
        <v>0.9</v>
      </c>
      <c r="J240" s="725">
        <v>0.9</v>
      </c>
      <c r="K240" s="725">
        <v>0.9</v>
      </c>
      <c r="L240" s="725">
        <v>0.9</v>
      </c>
      <c r="M240" s="725">
        <v>0.9</v>
      </c>
      <c r="N240" s="725">
        <v>0.9</v>
      </c>
      <c r="O240" s="725">
        <v>0.9</v>
      </c>
      <c r="P240" s="725">
        <v>0.9</v>
      </c>
      <c r="Q240" s="725">
        <v>0.9</v>
      </c>
      <c r="R240" s="725">
        <v>0.9</v>
      </c>
      <c r="S240" s="725">
        <v>0.9</v>
      </c>
      <c r="T240" s="725">
        <v>0.9</v>
      </c>
      <c r="U240" s="725">
        <v>0.9</v>
      </c>
      <c r="V240" s="725">
        <v>0.9</v>
      </c>
      <c r="W240" s="725">
        <v>0.9</v>
      </c>
      <c r="X240" s="725">
        <v>0.9</v>
      </c>
      <c r="Y240" s="725">
        <v>0.9</v>
      </c>
      <c r="Z240" s="725">
        <v>0.9</v>
      </c>
      <c r="AA240" s="725">
        <v>0.9</v>
      </c>
      <c r="AB240" s="725">
        <v>0.9</v>
      </c>
      <c r="AC240" s="726">
        <v>0.9</v>
      </c>
    </row>
    <row r="241" spans="1:29" ht="21" customHeight="1" x14ac:dyDescent="0.3">
      <c r="A241" s="1203"/>
      <c r="B241" s="1204"/>
      <c r="C241" s="1217"/>
      <c r="D241" s="943"/>
      <c r="E241" s="714" t="s">
        <v>443</v>
      </c>
      <c r="F241" s="728">
        <v>0.9</v>
      </c>
      <c r="G241" s="728">
        <v>0.9</v>
      </c>
      <c r="H241" s="728">
        <v>0.9</v>
      </c>
      <c r="I241" s="728">
        <v>0.9</v>
      </c>
      <c r="J241" s="728">
        <v>0.9</v>
      </c>
      <c r="K241" s="728">
        <v>0.9</v>
      </c>
      <c r="L241" s="728">
        <v>0.9</v>
      </c>
      <c r="M241" s="728">
        <v>0.9</v>
      </c>
      <c r="N241" s="728">
        <v>0.9</v>
      </c>
      <c r="O241" s="728">
        <v>0.9</v>
      </c>
      <c r="P241" s="728">
        <v>0.9</v>
      </c>
      <c r="Q241" s="728">
        <v>0.9</v>
      </c>
      <c r="R241" s="728">
        <v>0.9</v>
      </c>
      <c r="S241" s="728">
        <v>0.9</v>
      </c>
      <c r="T241" s="728">
        <v>0.9</v>
      </c>
      <c r="U241" s="728">
        <v>0.9</v>
      </c>
      <c r="V241" s="728">
        <v>0.9</v>
      </c>
      <c r="W241" s="728">
        <v>0.9</v>
      </c>
      <c r="X241" s="728">
        <v>0.9</v>
      </c>
      <c r="Y241" s="728">
        <v>0.9</v>
      </c>
      <c r="Z241" s="728">
        <v>0.9</v>
      </c>
      <c r="AA241" s="728">
        <v>0.9</v>
      </c>
      <c r="AB241" s="728">
        <v>0.9</v>
      </c>
      <c r="AC241" s="730">
        <v>0.9</v>
      </c>
    </row>
    <row r="242" spans="1:29" ht="21" customHeight="1" x14ac:dyDescent="0.3">
      <c r="A242" s="1206"/>
      <c r="B242" s="1207"/>
      <c r="C242" s="1218"/>
      <c r="D242" s="961"/>
      <c r="E242" s="1219" t="s">
        <v>444</v>
      </c>
      <c r="F242" s="729">
        <v>0.9</v>
      </c>
      <c r="G242" s="729">
        <v>0.9</v>
      </c>
      <c r="H242" s="729">
        <v>0.9</v>
      </c>
      <c r="I242" s="729">
        <v>0.9</v>
      </c>
      <c r="J242" s="729">
        <v>0.9</v>
      </c>
      <c r="K242" s="729">
        <v>0.9</v>
      </c>
      <c r="L242" s="729">
        <v>0.9</v>
      </c>
      <c r="M242" s="729">
        <v>0.9</v>
      </c>
      <c r="N242" s="729">
        <v>0.9</v>
      </c>
      <c r="O242" s="729">
        <v>0.9</v>
      </c>
      <c r="P242" s="729">
        <v>0.9</v>
      </c>
      <c r="Q242" s="729">
        <v>0.9</v>
      </c>
      <c r="R242" s="729">
        <v>0.9</v>
      </c>
      <c r="S242" s="729">
        <v>0.9</v>
      </c>
      <c r="T242" s="729">
        <v>0.9</v>
      </c>
      <c r="U242" s="729">
        <v>0.9</v>
      </c>
      <c r="V242" s="729">
        <v>0.9</v>
      </c>
      <c r="W242" s="729">
        <v>0.9</v>
      </c>
      <c r="X242" s="729">
        <v>0.9</v>
      </c>
      <c r="Y242" s="729">
        <v>0.9</v>
      </c>
      <c r="Z242" s="729">
        <v>0.9</v>
      </c>
      <c r="AA242" s="729">
        <v>0.9</v>
      </c>
      <c r="AB242" s="729">
        <v>0.9</v>
      </c>
      <c r="AC242" s="732">
        <v>0.9</v>
      </c>
    </row>
    <row r="243" spans="1:29" ht="21" customHeight="1" x14ac:dyDescent="0.3">
      <c r="A243" s="1200" t="s">
        <v>760</v>
      </c>
      <c r="B243" s="1201" t="s">
        <v>203</v>
      </c>
      <c r="C243" s="1220" t="s">
        <v>299</v>
      </c>
      <c r="D243" s="942" t="s">
        <v>761</v>
      </c>
      <c r="E243" s="1215" t="s">
        <v>442</v>
      </c>
      <c r="F243" s="725">
        <f>IF(F225=0,1,0.25)</f>
        <v>1</v>
      </c>
      <c r="G243" s="725">
        <f t="shared" ref="G243:AC243" si="6">IF(G225=0,1,0.25)</f>
        <v>1</v>
      </c>
      <c r="H243" s="725">
        <f t="shared" si="6"/>
        <v>1</v>
      </c>
      <c r="I243" s="725">
        <f t="shared" si="6"/>
        <v>1</v>
      </c>
      <c r="J243" s="725">
        <f t="shared" si="6"/>
        <v>1</v>
      </c>
      <c r="K243" s="725">
        <f t="shared" si="6"/>
        <v>1</v>
      </c>
      <c r="L243" s="725">
        <f t="shared" si="6"/>
        <v>1</v>
      </c>
      <c r="M243" s="725">
        <f t="shared" si="6"/>
        <v>0.25</v>
      </c>
      <c r="N243" s="725">
        <f t="shared" si="6"/>
        <v>0.25</v>
      </c>
      <c r="O243" s="725">
        <f t="shared" si="6"/>
        <v>0.25</v>
      </c>
      <c r="P243" s="725">
        <f t="shared" si="6"/>
        <v>0.25</v>
      </c>
      <c r="Q243" s="725">
        <f t="shared" si="6"/>
        <v>0.25</v>
      </c>
      <c r="R243" s="725">
        <f t="shared" si="6"/>
        <v>0.25</v>
      </c>
      <c r="S243" s="725">
        <f t="shared" si="6"/>
        <v>0.25</v>
      </c>
      <c r="T243" s="725">
        <f t="shared" si="6"/>
        <v>0.25</v>
      </c>
      <c r="U243" s="725">
        <f t="shared" si="6"/>
        <v>0.25</v>
      </c>
      <c r="V243" s="725">
        <f t="shared" si="6"/>
        <v>0.25</v>
      </c>
      <c r="W243" s="725">
        <f t="shared" si="6"/>
        <v>0.25</v>
      </c>
      <c r="X243" s="725">
        <f t="shared" si="6"/>
        <v>0.25</v>
      </c>
      <c r="Y243" s="725">
        <f t="shared" si="6"/>
        <v>0.25</v>
      </c>
      <c r="Z243" s="725">
        <f t="shared" si="6"/>
        <v>0.25</v>
      </c>
      <c r="AA243" s="725">
        <f t="shared" si="6"/>
        <v>0.25</v>
      </c>
      <c r="AB243" s="725">
        <f t="shared" si="6"/>
        <v>1</v>
      </c>
      <c r="AC243" s="726">
        <f t="shared" si="6"/>
        <v>1</v>
      </c>
    </row>
    <row r="244" spans="1:29" ht="21" customHeight="1" x14ac:dyDescent="0.3">
      <c r="A244" s="1203"/>
      <c r="B244" s="1204"/>
      <c r="C244" s="1217"/>
      <c r="D244" s="943"/>
      <c r="E244" s="714" t="s">
        <v>443</v>
      </c>
      <c r="F244" s="728">
        <f t="shared" ref="F244:AC245" si="7">IF(F226=0,1,0.25)</f>
        <v>1</v>
      </c>
      <c r="G244" s="728">
        <f t="shared" si="7"/>
        <v>1</v>
      </c>
      <c r="H244" s="728">
        <f t="shared" si="7"/>
        <v>1</v>
      </c>
      <c r="I244" s="728">
        <f t="shared" si="7"/>
        <v>1</v>
      </c>
      <c r="J244" s="728">
        <f t="shared" si="7"/>
        <v>1</v>
      </c>
      <c r="K244" s="728">
        <f t="shared" si="7"/>
        <v>1</v>
      </c>
      <c r="L244" s="728">
        <f t="shared" si="7"/>
        <v>1</v>
      </c>
      <c r="M244" s="728">
        <f t="shared" si="7"/>
        <v>0.25</v>
      </c>
      <c r="N244" s="728">
        <f t="shared" si="7"/>
        <v>0.25</v>
      </c>
      <c r="O244" s="728">
        <f t="shared" si="7"/>
        <v>0.25</v>
      </c>
      <c r="P244" s="728">
        <f t="shared" si="7"/>
        <v>0.25</v>
      </c>
      <c r="Q244" s="728">
        <f t="shared" si="7"/>
        <v>0.25</v>
      </c>
      <c r="R244" s="728">
        <f t="shared" si="7"/>
        <v>0.25</v>
      </c>
      <c r="S244" s="728">
        <f t="shared" si="7"/>
        <v>0.25</v>
      </c>
      <c r="T244" s="728">
        <f t="shared" si="7"/>
        <v>0.25</v>
      </c>
      <c r="U244" s="728">
        <f t="shared" si="7"/>
        <v>0.25</v>
      </c>
      <c r="V244" s="728">
        <f t="shared" si="7"/>
        <v>0.25</v>
      </c>
      <c r="W244" s="728">
        <f t="shared" si="7"/>
        <v>0.25</v>
      </c>
      <c r="X244" s="728">
        <f t="shared" si="7"/>
        <v>0.25</v>
      </c>
      <c r="Y244" s="728">
        <f t="shared" si="7"/>
        <v>1</v>
      </c>
      <c r="Z244" s="728">
        <f t="shared" si="7"/>
        <v>1</v>
      </c>
      <c r="AA244" s="728">
        <f t="shared" si="7"/>
        <v>1</v>
      </c>
      <c r="AB244" s="728">
        <f t="shared" si="7"/>
        <v>1</v>
      </c>
      <c r="AC244" s="730">
        <f t="shared" si="7"/>
        <v>1</v>
      </c>
    </row>
    <row r="245" spans="1:29" ht="21" customHeight="1" x14ac:dyDescent="0.3">
      <c r="A245" s="1206"/>
      <c r="B245" s="1207"/>
      <c r="C245" s="1221"/>
      <c r="D245" s="961"/>
      <c r="E245" s="1219" t="s">
        <v>444</v>
      </c>
      <c r="F245" s="729">
        <f t="shared" si="7"/>
        <v>1</v>
      </c>
      <c r="G245" s="729">
        <f t="shared" si="7"/>
        <v>1</v>
      </c>
      <c r="H245" s="729">
        <f t="shared" si="7"/>
        <v>1</v>
      </c>
      <c r="I245" s="729">
        <f t="shared" si="7"/>
        <v>1</v>
      </c>
      <c r="J245" s="729">
        <f t="shared" si="7"/>
        <v>1</v>
      </c>
      <c r="K245" s="729">
        <f t="shared" si="7"/>
        <v>1</v>
      </c>
      <c r="L245" s="729">
        <f t="shared" si="7"/>
        <v>1</v>
      </c>
      <c r="M245" s="729">
        <f t="shared" si="7"/>
        <v>1</v>
      </c>
      <c r="N245" s="729">
        <f t="shared" si="7"/>
        <v>0.25</v>
      </c>
      <c r="O245" s="729">
        <f t="shared" si="7"/>
        <v>0.25</v>
      </c>
      <c r="P245" s="729">
        <f t="shared" si="7"/>
        <v>0.25</v>
      </c>
      <c r="Q245" s="729">
        <f t="shared" si="7"/>
        <v>0.25</v>
      </c>
      <c r="R245" s="729">
        <f t="shared" si="7"/>
        <v>0.25</v>
      </c>
      <c r="S245" s="729">
        <f t="shared" si="7"/>
        <v>0.25</v>
      </c>
      <c r="T245" s="729">
        <f t="shared" si="7"/>
        <v>0.25</v>
      </c>
      <c r="U245" s="729">
        <f t="shared" si="7"/>
        <v>0.25</v>
      </c>
      <c r="V245" s="729">
        <f t="shared" si="7"/>
        <v>1</v>
      </c>
      <c r="W245" s="729">
        <f t="shared" si="7"/>
        <v>1</v>
      </c>
      <c r="X245" s="729">
        <f t="shared" si="7"/>
        <v>1</v>
      </c>
      <c r="Y245" s="729">
        <f t="shared" si="7"/>
        <v>1</v>
      </c>
      <c r="Z245" s="729">
        <f t="shared" si="7"/>
        <v>1</v>
      </c>
      <c r="AA245" s="729">
        <f t="shared" si="7"/>
        <v>1</v>
      </c>
      <c r="AB245" s="729">
        <f t="shared" si="7"/>
        <v>1</v>
      </c>
      <c r="AC245" s="732">
        <f t="shared" si="7"/>
        <v>1</v>
      </c>
    </row>
    <row r="246" spans="1:29" ht="21" customHeight="1" x14ac:dyDescent="0.3">
      <c r="A246" s="1200" t="s">
        <v>760</v>
      </c>
      <c r="B246" s="1201" t="s">
        <v>203</v>
      </c>
      <c r="C246" s="1216" t="s">
        <v>714</v>
      </c>
      <c r="D246" s="942" t="s">
        <v>761</v>
      </c>
      <c r="E246" s="724" t="s">
        <v>442</v>
      </c>
      <c r="F246" s="1222">
        <v>0</v>
      </c>
      <c r="G246" s="1222">
        <v>0</v>
      </c>
      <c r="H246" s="1222">
        <v>0</v>
      </c>
      <c r="I246" s="1222">
        <v>0</v>
      </c>
      <c r="J246" s="1222">
        <v>0</v>
      </c>
      <c r="K246" s="1222">
        <v>0</v>
      </c>
      <c r="L246" s="1222">
        <v>1</v>
      </c>
      <c r="M246" s="1222">
        <v>1</v>
      </c>
      <c r="N246" s="1222">
        <v>1</v>
      </c>
      <c r="O246" s="1222">
        <v>1</v>
      </c>
      <c r="P246" s="1222">
        <v>1</v>
      </c>
      <c r="Q246" s="1222">
        <v>1</v>
      </c>
      <c r="R246" s="1222">
        <v>1</v>
      </c>
      <c r="S246" s="1222">
        <v>1</v>
      </c>
      <c r="T246" s="1222">
        <v>1</v>
      </c>
      <c r="U246" s="1222">
        <v>1</v>
      </c>
      <c r="V246" s="1222">
        <v>1</v>
      </c>
      <c r="W246" s="1222">
        <v>1</v>
      </c>
      <c r="X246" s="1222">
        <v>1</v>
      </c>
      <c r="Y246" s="1222">
        <v>1</v>
      </c>
      <c r="Z246" s="1222">
        <v>1</v>
      </c>
      <c r="AA246" s="1222">
        <v>1</v>
      </c>
      <c r="AB246" s="1222">
        <v>0</v>
      </c>
      <c r="AC246" s="1223">
        <v>0</v>
      </c>
    </row>
    <row r="247" spans="1:29" ht="21" customHeight="1" x14ac:dyDescent="0.3">
      <c r="A247" s="1203"/>
      <c r="B247" s="1204"/>
      <c r="C247" s="1217"/>
      <c r="D247" s="943"/>
      <c r="E247" s="727" t="s">
        <v>443</v>
      </c>
      <c r="F247" s="1224">
        <v>0</v>
      </c>
      <c r="G247" s="1224">
        <v>0</v>
      </c>
      <c r="H247" s="1224">
        <v>0</v>
      </c>
      <c r="I247" s="1224">
        <v>0</v>
      </c>
      <c r="J247" s="1224">
        <v>0</v>
      </c>
      <c r="K247" s="1224">
        <v>0</v>
      </c>
      <c r="L247" s="1224">
        <v>1</v>
      </c>
      <c r="M247" s="1224">
        <v>1</v>
      </c>
      <c r="N247" s="1224">
        <v>1</v>
      </c>
      <c r="O247" s="1224">
        <v>1</v>
      </c>
      <c r="P247" s="1224">
        <v>1</v>
      </c>
      <c r="Q247" s="1224">
        <v>1</v>
      </c>
      <c r="R247" s="1224">
        <v>1</v>
      </c>
      <c r="S247" s="1224">
        <v>1</v>
      </c>
      <c r="T247" s="1224">
        <v>1</v>
      </c>
      <c r="U247" s="1224">
        <v>1</v>
      </c>
      <c r="V247" s="1224">
        <v>1</v>
      </c>
      <c r="W247" s="1224">
        <v>1</v>
      </c>
      <c r="X247" s="1224">
        <v>1</v>
      </c>
      <c r="Y247" s="1224">
        <v>0</v>
      </c>
      <c r="Z247" s="1224">
        <v>0</v>
      </c>
      <c r="AA247" s="1224">
        <v>0</v>
      </c>
      <c r="AB247" s="1224">
        <v>0</v>
      </c>
      <c r="AC247" s="1225">
        <v>0</v>
      </c>
    </row>
    <row r="248" spans="1:29" ht="21" customHeight="1" x14ac:dyDescent="0.3">
      <c r="A248" s="1206"/>
      <c r="B248" s="1207"/>
      <c r="C248" s="1218"/>
      <c r="D248" s="961"/>
      <c r="E248" s="731" t="s">
        <v>444</v>
      </c>
      <c r="F248" s="1226">
        <v>0</v>
      </c>
      <c r="G248" s="1226">
        <v>0</v>
      </c>
      <c r="H248" s="1226">
        <v>0</v>
      </c>
      <c r="I248" s="1226">
        <v>0</v>
      </c>
      <c r="J248" s="1226">
        <v>0</v>
      </c>
      <c r="K248" s="1226">
        <v>0</v>
      </c>
      <c r="L248" s="1226">
        <v>0</v>
      </c>
      <c r="M248" s="1226">
        <v>1</v>
      </c>
      <c r="N248" s="1226">
        <v>1</v>
      </c>
      <c r="O248" s="1226">
        <v>1</v>
      </c>
      <c r="P248" s="1226">
        <v>1</v>
      </c>
      <c r="Q248" s="1226">
        <v>1</v>
      </c>
      <c r="R248" s="1226">
        <v>1</v>
      </c>
      <c r="S248" s="1226">
        <v>1</v>
      </c>
      <c r="T248" s="1226">
        <v>1</v>
      </c>
      <c r="U248" s="1226">
        <v>1</v>
      </c>
      <c r="V248" s="1226">
        <v>0</v>
      </c>
      <c r="W248" s="1226">
        <v>0</v>
      </c>
      <c r="X248" s="1226">
        <v>0</v>
      </c>
      <c r="Y248" s="1226">
        <v>0</v>
      </c>
      <c r="Z248" s="1226">
        <v>0</v>
      </c>
      <c r="AA248" s="1226">
        <v>0</v>
      </c>
      <c r="AB248" s="1226">
        <v>0</v>
      </c>
      <c r="AC248" s="1227">
        <v>0</v>
      </c>
    </row>
    <row r="249" spans="1:29" ht="21" customHeight="1" x14ac:dyDescent="0.3">
      <c r="A249" s="1200" t="s">
        <v>760</v>
      </c>
      <c r="B249" s="1201" t="s">
        <v>203</v>
      </c>
      <c r="C249" s="986" t="s">
        <v>715</v>
      </c>
      <c r="D249" s="1005"/>
      <c r="E249" s="474" t="s">
        <v>442</v>
      </c>
      <c r="F249" s="1234">
        <v>68</v>
      </c>
      <c r="G249" s="1222">
        <v>68</v>
      </c>
      <c r="H249" s="1222">
        <v>68</v>
      </c>
      <c r="I249" s="1222">
        <v>68</v>
      </c>
      <c r="J249" s="1222">
        <v>68</v>
      </c>
      <c r="K249" s="1222">
        <v>68</v>
      </c>
      <c r="L249" s="1222">
        <v>68</v>
      </c>
      <c r="M249" s="1222">
        <v>68</v>
      </c>
      <c r="N249" s="1222">
        <v>68</v>
      </c>
      <c r="O249" s="1222">
        <v>68</v>
      </c>
      <c r="P249" s="1222">
        <v>68</v>
      </c>
      <c r="Q249" s="1222">
        <v>68</v>
      </c>
      <c r="R249" s="1222">
        <v>68</v>
      </c>
      <c r="S249" s="1222">
        <v>68</v>
      </c>
      <c r="T249" s="1222">
        <v>68</v>
      </c>
      <c r="U249" s="1222">
        <v>68</v>
      </c>
      <c r="V249" s="1222">
        <v>68</v>
      </c>
      <c r="W249" s="1222">
        <v>68</v>
      </c>
      <c r="X249" s="1222">
        <v>68</v>
      </c>
      <c r="Y249" s="1222">
        <v>68</v>
      </c>
      <c r="Z249" s="1222">
        <v>68</v>
      </c>
      <c r="AA249" s="1222">
        <v>68</v>
      </c>
      <c r="AB249" s="1222">
        <v>68</v>
      </c>
      <c r="AC249" s="1223">
        <v>68</v>
      </c>
    </row>
    <row r="250" spans="1:29" ht="21" customHeight="1" x14ac:dyDescent="0.3">
      <c r="A250" s="1203"/>
      <c r="B250" s="1204"/>
      <c r="C250" s="971"/>
      <c r="D250" s="1006"/>
      <c r="E250" s="475" t="s">
        <v>443</v>
      </c>
      <c r="F250" s="1235">
        <v>68</v>
      </c>
      <c r="G250" s="1224">
        <v>68</v>
      </c>
      <c r="H250" s="1224">
        <v>68</v>
      </c>
      <c r="I250" s="1224">
        <v>68</v>
      </c>
      <c r="J250" s="1224">
        <v>68</v>
      </c>
      <c r="K250" s="1224">
        <v>68</v>
      </c>
      <c r="L250" s="1224">
        <v>68</v>
      </c>
      <c r="M250" s="1224">
        <v>68</v>
      </c>
      <c r="N250" s="1224">
        <v>68</v>
      </c>
      <c r="O250" s="1224">
        <v>68</v>
      </c>
      <c r="P250" s="1224">
        <v>68</v>
      </c>
      <c r="Q250" s="1224">
        <v>68</v>
      </c>
      <c r="R250" s="1224">
        <v>68</v>
      </c>
      <c r="S250" s="1224">
        <v>68</v>
      </c>
      <c r="T250" s="1224">
        <v>68</v>
      </c>
      <c r="U250" s="1224">
        <v>68</v>
      </c>
      <c r="V250" s="1224">
        <v>68</v>
      </c>
      <c r="W250" s="1224">
        <v>68</v>
      </c>
      <c r="X250" s="1224">
        <v>68</v>
      </c>
      <c r="Y250" s="1224">
        <v>68</v>
      </c>
      <c r="Z250" s="1224">
        <v>68</v>
      </c>
      <c r="AA250" s="1224">
        <v>68</v>
      </c>
      <c r="AB250" s="1224">
        <v>68</v>
      </c>
      <c r="AC250" s="1225">
        <v>68</v>
      </c>
    </row>
    <row r="251" spans="1:29" ht="21" customHeight="1" x14ac:dyDescent="0.3">
      <c r="A251" s="1206"/>
      <c r="B251" s="1207"/>
      <c r="C251" s="987"/>
      <c r="D251" s="1007"/>
      <c r="E251" s="1236" t="s">
        <v>444</v>
      </c>
      <c r="F251" s="1237">
        <v>68</v>
      </c>
      <c r="G251" s="1238">
        <v>68</v>
      </c>
      <c r="H251" s="1238">
        <v>68</v>
      </c>
      <c r="I251" s="1238">
        <v>68</v>
      </c>
      <c r="J251" s="1238">
        <v>68</v>
      </c>
      <c r="K251" s="1238">
        <v>68</v>
      </c>
      <c r="L251" s="1238">
        <v>68</v>
      </c>
      <c r="M251" s="1238">
        <v>68</v>
      </c>
      <c r="N251" s="1238">
        <v>68</v>
      </c>
      <c r="O251" s="1238">
        <v>68</v>
      </c>
      <c r="P251" s="1238">
        <v>68</v>
      </c>
      <c r="Q251" s="1238">
        <v>68</v>
      </c>
      <c r="R251" s="1238">
        <v>68</v>
      </c>
      <c r="S251" s="1238">
        <v>68</v>
      </c>
      <c r="T251" s="1238">
        <v>68</v>
      </c>
      <c r="U251" s="1238">
        <v>68</v>
      </c>
      <c r="V251" s="1238">
        <v>68</v>
      </c>
      <c r="W251" s="1238">
        <v>68</v>
      </c>
      <c r="X251" s="1238">
        <v>68</v>
      </c>
      <c r="Y251" s="1238">
        <v>68</v>
      </c>
      <c r="Z251" s="1238">
        <v>68</v>
      </c>
      <c r="AA251" s="1238">
        <v>68</v>
      </c>
      <c r="AB251" s="1238">
        <v>68</v>
      </c>
      <c r="AC251" s="1239">
        <v>68</v>
      </c>
    </row>
    <row r="252" spans="1:29" ht="21" customHeight="1" x14ac:dyDescent="0.3">
      <c r="A252" s="1200" t="s">
        <v>760</v>
      </c>
      <c r="B252" s="1201" t="s">
        <v>203</v>
      </c>
      <c r="C252" s="986" t="s">
        <v>716</v>
      </c>
      <c r="D252" s="1005"/>
      <c r="E252" s="474" t="s">
        <v>442</v>
      </c>
      <c r="F252" s="1240">
        <v>68</v>
      </c>
      <c r="G252" s="1241">
        <v>68</v>
      </c>
      <c r="H252" s="1241">
        <v>68</v>
      </c>
      <c r="I252" s="1241">
        <v>68</v>
      </c>
      <c r="J252" s="1241">
        <v>68</v>
      </c>
      <c r="K252" s="1241">
        <v>68</v>
      </c>
      <c r="L252" s="1241">
        <v>68</v>
      </c>
      <c r="M252" s="1241">
        <v>68</v>
      </c>
      <c r="N252" s="1241">
        <v>68</v>
      </c>
      <c r="O252" s="1241">
        <v>68</v>
      </c>
      <c r="P252" s="1241">
        <v>68</v>
      </c>
      <c r="Q252" s="1241">
        <v>68</v>
      </c>
      <c r="R252" s="1241">
        <v>68</v>
      </c>
      <c r="S252" s="1241">
        <v>68</v>
      </c>
      <c r="T252" s="1241">
        <v>68</v>
      </c>
      <c r="U252" s="1241">
        <v>68</v>
      </c>
      <c r="V252" s="1241">
        <v>68</v>
      </c>
      <c r="W252" s="1241">
        <v>68</v>
      </c>
      <c r="X252" s="1241">
        <v>68</v>
      </c>
      <c r="Y252" s="1241">
        <v>68</v>
      </c>
      <c r="Z252" s="1241">
        <v>68</v>
      </c>
      <c r="AA252" s="1241">
        <v>68</v>
      </c>
      <c r="AB252" s="1241">
        <v>68</v>
      </c>
      <c r="AC252" s="1242">
        <v>68</v>
      </c>
    </row>
    <row r="253" spans="1:29" ht="21" customHeight="1" x14ac:dyDescent="0.3">
      <c r="A253" s="1203"/>
      <c r="B253" s="1204"/>
      <c r="C253" s="971"/>
      <c r="D253" s="1006"/>
      <c r="E253" s="475" t="s">
        <v>443</v>
      </c>
      <c r="F253" s="1235">
        <v>68</v>
      </c>
      <c r="G253" s="1224">
        <v>68</v>
      </c>
      <c r="H253" s="1224">
        <v>68</v>
      </c>
      <c r="I253" s="1224">
        <v>68</v>
      </c>
      <c r="J253" s="1224">
        <v>68</v>
      </c>
      <c r="K253" s="1224">
        <v>68</v>
      </c>
      <c r="L253" s="1224">
        <v>68</v>
      </c>
      <c r="M253" s="1224">
        <v>68</v>
      </c>
      <c r="N253" s="1224">
        <v>68</v>
      </c>
      <c r="O253" s="1224">
        <v>68</v>
      </c>
      <c r="P253" s="1224">
        <v>68</v>
      </c>
      <c r="Q253" s="1224">
        <v>68</v>
      </c>
      <c r="R253" s="1224">
        <v>68</v>
      </c>
      <c r="S253" s="1224">
        <v>68</v>
      </c>
      <c r="T253" s="1224">
        <v>68</v>
      </c>
      <c r="U253" s="1224">
        <v>68</v>
      </c>
      <c r="V253" s="1224">
        <v>68</v>
      </c>
      <c r="W253" s="1224">
        <v>68</v>
      </c>
      <c r="X253" s="1224">
        <v>68</v>
      </c>
      <c r="Y253" s="1224">
        <v>68</v>
      </c>
      <c r="Z253" s="1224">
        <v>68</v>
      </c>
      <c r="AA253" s="1224">
        <v>68</v>
      </c>
      <c r="AB253" s="1224">
        <v>68</v>
      </c>
      <c r="AC253" s="1225">
        <v>68</v>
      </c>
    </row>
    <row r="254" spans="1:29" ht="21" customHeight="1" x14ac:dyDescent="0.3">
      <c r="A254" s="1206"/>
      <c r="B254" s="1207"/>
      <c r="C254" s="987"/>
      <c r="D254" s="1007"/>
      <c r="E254" s="476" t="s">
        <v>444</v>
      </c>
      <c r="F254" s="1237">
        <v>68</v>
      </c>
      <c r="G254" s="1238">
        <v>68</v>
      </c>
      <c r="H254" s="1238">
        <v>68</v>
      </c>
      <c r="I254" s="1238">
        <v>68</v>
      </c>
      <c r="J254" s="1238">
        <v>68</v>
      </c>
      <c r="K254" s="1238">
        <v>68</v>
      </c>
      <c r="L254" s="1238">
        <v>68</v>
      </c>
      <c r="M254" s="1238">
        <v>68</v>
      </c>
      <c r="N254" s="1238">
        <v>68</v>
      </c>
      <c r="O254" s="1238">
        <v>68</v>
      </c>
      <c r="P254" s="1238">
        <v>68</v>
      </c>
      <c r="Q254" s="1238">
        <v>68</v>
      </c>
      <c r="R254" s="1238">
        <v>68</v>
      </c>
      <c r="S254" s="1238">
        <v>68</v>
      </c>
      <c r="T254" s="1238">
        <v>68</v>
      </c>
      <c r="U254" s="1238">
        <v>68</v>
      </c>
      <c r="V254" s="1238">
        <v>68</v>
      </c>
      <c r="W254" s="1238">
        <v>68</v>
      </c>
      <c r="X254" s="1238">
        <v>68</v>
      </c>
      <c r="Y254" s="1238">
        <v>68</v>
      </c>
      <c r="Z254" s="1238">
        <v>68</v>
      </c>
      <c r="AA254" s="1238">
        <v>68</v>
      </c>
      <c r="AB254" s="1238">
        <v>68</v>
      </c>
      <c r="AC254" s="1239">
        <v>68</v>
      </c>
    </row>
    <row r="255" spans="1:29" ht="21" customHeight="1" x14ac:dyDescent="0.3">
      <c r="A255" s="1008" t="s">
        <v>129</v>
      </c>
      <c r="B255" s="1008"/>
      <c r="C255" s="1008" t="s">
        <v>717</v>
      </c>
      <c r="D255" s="1008"/>
      <c r="E255" s="1008"/>
      <c r="F255" s="1008"/>
      <c r="G255" s="1008"/>
      <c r="H255" s="1008"/>
      <c r="I255" s="1008"/>
      <c r="J255" s="1008"/>
      <c r="K255" s="1008"/>
      <c r="L255" s="1008"/>
      <c r="M255" s="1008"/>
      <c r="N255" s="1008"/>
      <c r="O255" s="1008"/>
      <c r="P255" s="1008"/>
      <c r="Q255" s="1008"/>
      <c r="R255" s="1008"/>
      <c r="S255" s="1008"/>
      <c r="T255" s="1008"/>
      <c r="U255" s="1008"/>
      <c r="V255" s="1008"/>
      <c r="W255" s="1008"/>
      <c r="X255" s="1008"/>
      <c r="Y255" s="1008"/>
      <c r="Z255" s="1008"/>
      <c r="AA255" s="1008"/>
      <c r="AB255" s="1008"/>
      <c r="AC255" s="1009"/>
    </row>
    <row r="256" spans="1:29" s="645" customFormat="1" ht="15.75" customHeight="1" x14ac:dyDescent="0.3">
      <c r="A256" s="1200" t="s">
        <v>762</v>
      </c>
      <c r="B256" s="1201" t="s">
        <v>129</v>
      </c>
      <c r="C256" s="1201" t="s">
        <v>707</v>
      </c>
      <c r="D256" s="942" t="s">
        <v>708</v>
      </c>
      <c r="E256" s="647" t="s">
        <v>442</v>
      </c>
      <c r="F256" s="647">
        <v>0</v>
      </c>
      <c r="G256" s="647">
        <v>0</v>
      </c>
      <c r="H256" s="647">
        <v>0</v>
      </c>
      <c r="I256" s="647">
        <v>0</v>
      </c>
      <c r="J256" s="647">
        <v>0</v>
      </c>
      <c r="K256" s="647">
        <v>0</v>
      </c>
      <c r="L256" s="647">
        <v>0</v>
      </c>
      <c r="M256" s="647">
        <v>0.1</v>
      </c>
      <c r="N256" s="647">
        <v>0.5</v>
      </c>
      <c r="O256" s="647">
        <v>0.8</v>
      </c>
      <c r="P256" s="647">
        <v>0.8</v>
      </c>
      <c r="Q256" s="647">
        <v>0.8</v>
      </c>
      <c r="R256" s="647">
        <v>0.8</v>
      </c>
      <c r="S256" s="647">
        <v>0.8</v>
      </c>
      <c r="T256" s="647">
        <v>0.8</v>
      </c>
      <c r="U256" s="647">
        <v>0.8</v>
      </c>
      <c r="V256" s="647">
        <v>0.8</v>
      </c>
      <c r="W256" s="647">
        <v>0.5</v>
      </c>
      <c r="X256" s="647">
        <v>0.3</v>
      </c>
      <c r="Y256" s="647">
        <v>0.3</v>
      </c>
      <c r="Z256" s="647">
        <v>0.2</v>
      </c>
      <c r="AA256" s="647">
        <v>0.2</v>
      </c>
      <c r="AB256" s="647">
        <v>0</v>
      </c>
      <c r="AC256" s="1202">
        <v>0</v>
      </c>
    </row>
    <row r="257" spans="1:29" s="645" customFormat="1" ht="21" customHeight="1" x14ac:dyDescent="0.3">
      <c r="A257" s="1203"/>
      <c r="B257" s="1204"/>
      <c r="C257" s="1204"/>
      <c r="D257" s="943"/>
      <c r="E257" s="650" t="s">
        <v>443</v>
      </c>
      <c r="F257" s="650">
        <v>0</v>
      </c>
      <c r="G257" s="650">
        <v>0</v>
      </c>
      <c r="H257" s="650">
        <v>0</v>
      </c>
      <c r="I257" s="650">
        <v>0</v>
      </c>
      <c r="J257" s="650">
        <v>0</v>
      </c>
      <c r="K257" s="650">
        <v>0</v>
      </c>
      <c r="L257" s="650">
        <v>0</v>
      </c>
      <c r="M257" s="650">
        <v>0.1</v>
      </c>
      <c r="N257" s="650">
        <v>0.3</v>
      </c>
      <c r="O257" s="650">
        <v>0.4</v>
      </c>
      <c r="P257" s="650">
        <v>0.4</v>
      </c>
      <c r="Q257" s="650">
        <v>0.4</v>
      </c>
      <c r="R257" s="650">
        <v>0.4</v>
      </c>
      <c r="S257" s="650">
        <v>0.4</v>
      </c>
      <c r="T257" s="650">
        <v>0.4</v>
      </c>
      <c r="U257" s="650">
        <v>0.4</v>
      </c>
      <c r="V257" s="650">
        <v>0.4</v>
      </c>
      <c r="W257" s="650">
        <v>0.1</v>
      </c>
      <c r="X257" s="650">
        <v>0.1</v>
      </c>
      <c r="Y257" s="650">
        <v>0</v>
      </c>
      <c r="Z257" s="650">
        <v>0</v>
      </c>
      <c r="AA257" s="650">
        <v>0</v>
      </c>
      <c r="AB257" s="650">
        <v>0</v>
      </c>
      <c r="AC257" s="1205">
        <v>0</v>
      </c>
    </row>
    <row r="258" spans="1:29" s="645" customFormat="1" ht="25.5" customHeight="1" x14ac:dyDescent="0.3">
      <c r="A258" s="1206"/>
      <c r="B258" s="1207"/>
      <c r="C258" s="1207"/>
      <c r="D258" s="961"/>
      <c r="E258" s="1208" t="s">
        <v>444</v>
      </c>
      <c r="F258" s="1208">
        <v>0</v>
      </c>
      <c r="G258" s="1208">
        <v>0</v>
      </c>
      <c r="H258" s="1208">
        <v>0</v>
      </c>
      <c r="I258" s="1208">
        <v>0</v>
      </c>
      <c r="J258" s="1208">
        <v>0</v>
      </c>
      <c r="K258" s="1208">
        <v>0</v>
      </c>
      <c r="L258" s="1208">
        <v>0</v>
      </c>
      <c r="M258" s="1208">
        <v>0</v>
      </c>
      <c r="N258" s="1208">
        <v>0.05</v>
      </c>
      <c r="O258" s="1208">
        <v>0.05</v>
      </c>
      <c r="P258" s="1208">
        <v>0.05</v>
      </c>
      <c r="Q258" s="1208">
        <v>0.05</v>
      </c>
      <c r="R258" s="1208">
        <v>0.05</v>
      </c>
      <c r="S258" s="1208">
        <v>0.05</v>
      </c>
      <c r="T258" s="1208">
        <v>0.05</v>
      </c>
      <c r="U258" s="1208">
        <v>0.05</v>
      </c>
      <c r="V258" s="1208">
        <v>0</v>
      </c>
      <c r="W258" s="1208">
        <v>0</v>
      </c>
      <c r="X258" s="1208">
        <v>0</v>
      </c>
      <c r="Y258" s="1208">
        <v>0</v>
      </c>
      <c r="Z258" s="1208">
        <v>0</v>
      </c>
      <c r="AA258" s="1208">
        <v>0</v>
      </c>
      <c r="AB258" s="1208">
        <v>0</v>
      </c>
      <c r="AC258" s="1209">
        <v>0</v>
      </c>
    </row>
    <row r="259" spans="1:29" s="645" customFormat="1" x14ac:dyDescent="0.3">
      <c r="A259" s="1200" t="s">
        <v>762</v>
      </c>
      <c r="B259" s="1201" t="s">
        <v>129</v>
      </c>
      <c r="C259" s="1010" t="s">
        <v>709</v>
      </c>
      <c r="D259" s="966" t="s">
        <v>708</v>
      </c>
      <c r="E259" s="1210" t="s">
        <v>442</v>
      </c>
      <c r="F259" s="1210">
        <v>0.1</v>
      </c>
      <c r="G259" s="1210">
        <v>0.1</v>
      </c>
      <c r="H259" s="1210">
        <v>0.1</v>
      </c>
      <c r="I259" s="1210">
        <v>0.1</v>
      </c>
      <c r="J259" s="1210">
        <v>0.1</v>
      </c>
      <c r="K259" s="1210">
        <v>0.1</v>
      </c>
      <c r="L259" s="1210">
        <v>0.1</v>
      </c>
      <c r="M259" s="1210">
        <v>0.45</v>
      </c>
      <c r="N259" s="1210">
        <v>0.8</v>
      </c>
      <c r="O259" s="1210">
        <v>0.8</v>
      </c>
      <c r="P259" s="1210">
        <v>0.8</v>
      </c>
      <c r="Q259" s="1210">
        <v>0.8</v>
      </c>
      <c r="R259" s="1210">
        <v>0.8</v>
      </c>
      <c r="S259" s="1210">
        <v>0.8</v>
      </c>
      <c r="T259" s="1210">
        <v>0.8</v>
      </c>
      <c r="U259" s="1210">
        <v>0.8</v>
      </c>
      <c r="V259" s="1210">
        <v>0.3</v>
      </c>
      <c r="W259" s="1210">
        <v>0.3</v>
      </c>
      <c r="X259" s="1210">
        <v>0.3</v>
      </c>
      <c r="Y259" s="1210">
        <v>0.3</v>
      </c>
      <c r="Z259" s="1210">
        <v>0.3</v>
      </c>
      <c r="AA259" s="1210">
        <v>0.3</v>
      </c>
      <c r="AB259" s="1210">
        <v>0.3</v>
      </c>
      <c r="AC259" s="1211">
        <v>0.1</v>
      </c>
    </row>
    <row r="260" spans="1:29" s="645" customFormat="1" x14ac:dyDescent="0.3">
      <c r="A260" s="1203"/>
      <c r="B260" s="1204"/>
      <c r="C260" s="1011"/>
      <c r="D260" s="943"/>
      <c r="E260" s="714" t="s">
        <v>443</v>
      </c>
      <c r="F260" s="714">
        <v>0.1</v>
      </c>
      <c r="G260" s="714">
        <v>0.1</v>
      </c>
      <c r="H260" s="714">
        <v>0.1</v>
      </c>
      <c r="I260" s="714">
        <v>0.1</v>
      </c>
      <c r="J260" s="714">
        <v>0.1</v>
      </c>
      <c r="K260" s="714">
        <v>0.1</v>
      </c>
      <c r="L260" s="714">
        <v>0.1</v>
      </c>
      <c r="M260" s="714">
        <v>0.2</v>
      </c>
      <c r="N260" s="714">
        <v>0.35</v>
      </c>
      <c r="O260" s="714">
        <v>0.35</v>
      </c>
      <c r="P260" s="714">
        <v>0.35</v>
      </c>
      <c r="Q260" s="714">
        <v>0.35</v>
      </c>
      <c r="R260" s="714">
        <v>0.35</v>
      </c>
      <c r="S260" s="714">
        <v>0.35</v>
      </c>
      <c r="T260" s="714">
        <v>0.35</v>
      </c>
      <c r="U260" s="714">
        <v>0.35</v>
      </c>
      <c r="V260" s="714">
        <v>0.35</v>
      </c>
      <c r="W260" s="714">
        <v>0.35</v>
      </c>
      <c r="X260" s="714">
        <v>0.1</v>
      </c>
      <c r="Y260" s="714">
        <v>0.1</v>
      </c>
      <c r="Z260" s="714">
        <v>0.1</v>
      </c>
      <c r="AA260" s="714">
        <v>0.1</v>
      </c>
      <c r="AB260" s="714">
        <v>0.1</v>
      </c>
      <c r="AC260" s="1212">
        <v>0.1</v>
      </c>
    </row>
    <row r="261" spans="1:29" s="645" customFormat="1" x14ac:dyDescent="0.3">
      <c r="A261" s="1206"/>
      <c r="B261" s="1207"/>
      <c r="C261" s="1013"/>
      <c r="D261" s="1174"/>
      <c r="E261" s="1213" t="s">
        <v>444</v>
      </c>
      <c r="F261" s="1213">
        <v>0.05</v>
      </c>
      <c r="G261" s="1213">
        <v>0.05</v>
      </c>
      <c r="H261" s="1213">
        <v>0.05</v>
      </c>
      <c r="I261" s="1213">
        <v>0.05</v>
      </c>
      <c r="J261" s="1213">
        <v>0.05</v>
      </c>
      <c r="K261" s="1213">
        <v>0.05</v>
      </c>
      <c r="L261" s="1213">
        <v>0.05</v>
      </c>
      <c r="M261" s="1213">
        <v>0.05</v>
      </c>
      <c r="N261" s="1213">
        <v>0.1</v>
      </c>
      <c r="O261" s="1213">
        <v>0.1</v>
      </c>
      <c r="P261" s="1213">
        <v>0.1</v>
      </c>
      <c r="Q261" s="1213">
        <v>0.1</v>
      </c>
      <c r="R261" s="1213">
        <v>0.1</v>
      </c>
      <c r="S261" s="1213">
        <v>0.1</v>
      </c>
      <c r="T261" s="1213">
        <v>0.1</v>
      </c>
      <c r="U261" s="1213">
        <v>0.1</v>
      </c>
      <c r="V261" s="1213">
        <v>0.05</v>
      </c>
      <c r="W261" s="1213">
        <v>0.05</v>
      </c>
      <c r="X261" s="1213">
        <v>0.05</v>
      </c>
      <c r="Y261" s="1213">
        <v>0.05</v>
      </c>
      <c r="Z261" s="1213">
        <v>0.05</v>
      </c>
      <c r="AA261" s="1213">
        <v>0.05</v>
      </c>
      <c r="AB261" s="1213">
        <v>0.05</v>
      </c>
      <c r="AC261" s="1214">
        <v>0.05</v>
      </c>
    </row>
    <row r="262" spans="1:29" s="645" customFormat="1" x14ac:dyDescent="0.3">
      <c r="A262" s="1200" t="s">
        <v>762</v>
      </c>
      <c r="B262" s="1201" t="s">
        <v>129</v>
      </c>
      <c r="C262" s="1014" t="s">
        <v>710</v>
      </c>
      <c r="D262" s="966" t="s">
        <v>708</v>
      </c>
      <c r="E262" s="1215" t="s">
        <v>442</v>
      </c>
      <c r="F262" s="725">
        <v>0.1</v>
      </c>
      <c r="G262" s="725">
        <v>0.1</v>
      </c>
      <c r="H262" s="725">
        <v>0.1</v>
      </c>
      <c r="I262" s="725">
        <v>0.1</v>
      </c>
      <c r="J262" s="725">
        <v>0.1</v>
      </c>
      <c r="K262" s="725">
        <v>0.1</v>
      </c>
      <c r="L262" s="725">
        <v>0.1</v>
      </c>
      <c r="M262" s="725">
        <v>0.5</v>
      </c>
      <c r="N262" s="725">
        <v>0.9</v>
      </c>
      <c r="O262" s="725">
        <v>0.9</v>
      </c>
      <c r="P262" s="725">
        <v>0.9</v>
      </c>
      <c r="Q262" s="725">
        <v>0.9</v>
      </c>
      <c r="R262" s="725">
        <v>0.9</v>
      </c>
      <c r="S262" s="725">
        <v>0.9</v>
      </c>
      <c r="T262" s="725">
        <v>0.9</v>
      </c>
      <c r="U262" s="725">
        <v>0.9</v>
      </c>
      <c r="V262" s="725">
        <v>0.3</v>
      </c>
      <c r="W262" s="725">
        <v>0.3</v>
      </c>
      <c r="X262" s="725">
        <v>0.3</v>
      </c>
      <c r="Y262" s="725">
        <v>0.3</v>
      </c>
      <c r="Z262" s="725">
        <v>0.3</v>
      </c>
      <c r="AA262" s="725">
        <v>0.3</v>
      </c>
      <c r="AB262" s="725">
        <v>0.3</v>
      </c>
      <c r="AC262" s="726">
        <v>0.1</v>
      </c>
    </row>
    <row r="263" spans="1:29" s="645" customFormat="1" x14ac:dyDescent="0.3">
      <c r="A263" s="1203"/>
      <c r="B263" s="1204"/>
      <c r="C263" s="1011"/>
      <c r="D263" s="943"/>
      <c r="E263" s="714" t="s">
        <v>443</v>
      </c>
      <c r="F263" s="728">
        <v>0.1</v>
      </c>
      <c r="G263" s="728">
        <v>0.1</v>
      </c>
      <c r="H263" s="728">
        <v>0.1</v>
      </c>
      <c r="I263" s="728">
        <v>0.1</v>
      </c>
      <c r="J263" s="728">
        <v>0.1</v>
      </c>
      <c r="K263" s="728">
        <v>0.1</v>
      </c>
      <c r="L263" s="728">
        <v>0.1</v>
      </c>
      <c r="M263" s="728">
        <v>0.2</v>
      </c>
      <c r="N263" s="728">
        <v>0.4</v>
      </c>
      <c r="O263" s="728">
        <v>0.4</v>
      </c>
      <c r="P263" s="728">
        <v>0.4</v>
      </c>
      <c r="Q263" s="728">
        <v>0.4</v>
      </c>
      <c r="R263" s="728">
        <v>0.4</v>
      </c>
      <c r="S263" s="728">
        <v>0.4</v>
      </c>
      <c r="T263" s="728">
        <v>0.4</v>
      </c>
      <c r="U263" s="728">
        <v>0.4</v>
      </c>
      <c r="V263" s="728">
        <v>0.4</v>
      </c>
      <c r="W263" s="728">
        <v>0.4</v>
      </c>
      <c r="X263" s="728">
        <v>0.1</v>
      </c>
      <c r="Y263" s="728">
        <v>0.1</v>
      </c>
      <c r="Z263" s="728">
        <v>0.1</v>
      </c>
      <c r="AA263" s="728">
        <v>0.1</v>
      </c>
      <c r="AB263" s="728">
        <v>0.1</v>
      </c>
      <c r="AC263" s="730">
        <v>0.1</v>
      </c>
    </row>
    <row r="264" spans="1:29" s="645" customFormat="1" x14ac:dyDescent="0.3">
      <c r="A264" s="1206"/>
      <c r="B264" s="1207"/>
      <c r="C264" s="1012"/>
      <c r="D264" s="1174"/>
      <c r="E264" s="1213" t="s">
        <v>444</v>
      </c>
      <c r="F264" s="733">
        <v>0.05</v>
      </c>
      <c r="G264" s="733">
        <v>0.05</v>
      </c>
      <c r="H264" s="733">
        <v>0.05</v>
      </c>
      <c r="I264" s="733">
        <v>0.05</v>
      </c>
      <c r="J264" s="733">
        <v>0.05</v>
      </c>
      <c r="K264" s="733">
        <v>0.05</v>
      </c>
      <c r="L264" s="733">
        <v>0.05</v>
      </c>
      <c r="M264" s="733">
        <v>0.05</v>
      </c>
      <c r="N264" s="733">
        <v>0.1</v>
      </c>
      <c r="O264" s="733">
        <v>0.1</v>
      </c>
      <c r="P264" s="733">
        <v>0.1</v>
      </c>
      <c r="Q264" s="733">
        <v>0.1</v>
      </c>
      <c r="R264" s="733">
        <v>0.1</v>
      </c>
      <c r="S264" s="733">
        <v>0.1</v>
      </c>
      <c r="T264" s="733">
        <v>0.1</v>
      </c>
      <c r="U264" s="733">
        <v>0.1</v>
      </c>
      <c r="V264" s="733">
        <v>0.05</v>
      </c>
      <c r="W264" s="733">
        <v>0.05</v>
      </c>
      <c r="X264" s="733">
        <v>0.05</v>
      </c>
      <c r="Y264" s="733">
        <v>0.05</v>
      </c>
      <c r="Z264" s="733">
        <v>0.05</v>
      </c>
      <c r="AA264" s="733">
        <v>0.05</v>
      </c>
      <c r="AB264" s="733">
        <v>0.05</v>
      </c>
      <c r="AC264" s="738">
        <v>0.05</v>
      </c>
    </row>
    <row r="265" spans="1:29" s="645" customFormat="1" x14ac:dyDescent="0.3">
      <c r="A265" s="1200" t="s">
        <v>762</v>
      </c>
      <c r="B265" s="1201" t="s">
        <v>129</v>
      </c>
      <c r="C265" s="1010" t="s">
        <v>711</v>
      </c>
      <c r="D265" s="966" t="s">
        <v>708</v>
      </c>
      <c r="E265" s="647" t="s">
        <v>442</v>
      </c>
      <c r="F265" s="647">
        <v>0.01</v>
      </c>
      <c r="G265" s="647">
        <v>0.01</v>
      </c>
      <c r="H265" s="647">
        <v>0.01</v>
      </c>
      <c r="I265" s="647">
        <v>0.01</v>
      </c>
      <c r="J265" s="647">
        <v>0.01</v>
      </c>
      <c r="K265" s="647">
        <v>0.01</v>
      </c>
      <c r="L265" s="647">
        <v>0.01</v>
      </c>
      <c r="M265" s="647">
        <v>0.17</v>
      </c>
      <c r="N265" s="647">
        <v>0.57999999999999996</v>
      </c>
      <c r="O265" s="647">
        <v>0.66</v>
      </c>
      <c r="P265" s="647">
        <v>0.78</v>
      </c>
      <c r="Q265" s="647">
        <v>0.82</v>
      </c>
      <c r="R265" s="647">
        <v>0.71</v>
      </c>
      <c r="S265" s="647">
        <v>0.82</v>
      </c>
      <c r="T265" s="647">
        <v>0.78</v>
      </c>
      <c r="U265" s="647">
        <v>0.74</v>
      </c>
      <c r="V265" s="647">
        <v>0.63</v>
      </c>
      <c r="W265" s="647">
        <v>0.41</v>
      </c>
      <c r="X265" s="647">
        <v>0.18</v>
      </c>
      <c r="Y265" s="647">
        <v>0.18</v>
      </c>
      <c r="Z265" s="647">
        <v>0.18</v>
      </c>
      <c r="AA265" s="647">
        <v>0.1</v>
      </c>
      <c r="AB265" s="647">
        <v>0.01</v>
      </c>
      <c r="AC265" s="1202">
        <v>0.01</v>
      </c>
    </row>
    <row r="266" spans="1:29" s="645" customFormat="1" x14ac:dyDescent="0.3">
      <c r="A266" s="1203"/>
      <c r="B266" s="1204"/>
      <c r="C266" s="1011"/>
      <c r="D266" s="943"/>
      <c r="E266" s="650" t="s">
        <v>443</v>
      </c>
      <c r="F266" s="650">
        <v>0.01</v>
      </c>
      <c r="G266" s="650">
        <v>0.01</v>
      </c>
      <c r="H266" s="650">
        <v>0.01</v>
      </c>
      <c r="I266" s="650">
        <v>0.01</v>
      </c>
      <c r="J266" s="650">
        <v>0.01</v>
      </c>
      <c r="K266" s="650">
        <v>0.01</v>
      </c>
      <c r="L266" s="650">
        <v>0.01</v>
      </c>
      <c r="M266" s="650">
        <v>0.01</v>
      </c>
      <c r="N266" s="650">
        <v>0.2</v>
      </c>
      <c r="O266" s="650">
        <v>0.28000000000000003</v>
      </c>
      <c r="P266" s="650">
        <v>0.3</v>
      </c>
      <c r="Q266" s="650">
        <v>0.3</v>
      </c>
      <c r="R266" s="650">
        <v>0.24</v>
      </c>
      <c r="S266" s="650">
        <v>0.24</v>
      </c>
      <c r="T266" s="650">
        <v>0.23</v>
      </c>
      <c r="U266" s="650">
        <v>0.23</v>
      </c>
      <c r="V266" s="650">
        <v>0.23</v>
      </c>
      <c r="W266" s="650">
        <v>0.1</v>
      </c>
      <c r="X266" s="650">
        <v>0.01</v>
      </c>
      <c r="Y266" s="650">
        <v>0.01</v>
      </c>
      <c r="Z266" s="650">
        <v>0.01</v>
      </c>
      <c r="AA266" s="650">
        <v>0.01</v>
      </c>
      <c r="AB266" s="650">
        <v>0.01</v>
      </c>
      <c r="AC266" s="1205">
        <v>0.01</v>
      </c>
    </row>
    <row r="267" spans="1:29" s="645" customFormat="1" x14ac:dyDescent="0.3">
      <c r="A267" s="1206"/>
      <c r="B267" s="1207"/>
      <c r="C267" s="1012"/>
      <c r="D267" s="1174"/>
      <c r="E267" s="1208" t="s">
        <v>444</v>
      </c>
      <c r="F267" s="1208">
        <v>0.01</v>
      </c>
      <c r="G267" s="1208">
        <v>0.01</v>
      </c>
      <c r="H267" s="1208">
        <v>0.01</v>
      </c>
      <c r="I267" s="1208">
        <v>0.01</v>
      </c>
      <c r="J267" s="1208">
        <v>0.01</v>
      </c>
      <c r="K267" s="1208">
        <v>0.01</v>
      </c>
      <c r="L267" s="1208">
        <v>0.01</v>
      </c>
      <c r="M267" s="1208">
        <v>0.01</v>
      </c>
      <c r="N267" s="1208">
        <v>0.01</v>
      </c>
      <c r="O267" s="1208">
        <v>0.01</v>
      </c>
      <c r="P267" s="1208">
        <v>0.01</v>
      </c>
      <c r="Q267" s="1208">
        <v>0.01</v>
      </c>
      <c r="R267" s="1208">
        <v>0.01</v>
      </c>
      <c r="S267" s="1208">
        <v>0.01</v>
      </c>
      <c r="T267" s="1208">
        <v>0.01</v>
      </c>
      <c r="U267" s="1208">
        <v>0.01</v>
      </c>
      <c r="V267" s="1208">
        <v>0.01</v>
      </c>
      <c r="W267" s="1208">
        <v>0.01</v>
      </c>
      <c r="X267" s="1208">
        <v>0.01</v>
      </c>
      <c r="Y267" s="1208">
        <v>0.01</v>
      </c>
      <c r="Z267" s="1208">
        <v>0.01</v>
      </c>
      <c r="AA267" s="1208">
        <v>0.01</v>
      </c>
      <c r="AB267" s="1208">
        <v>0.01</v>
      </c>
      <c r="AC267" s="1209">
        <v>0.01</v>
      </c>
    </row>
    <row r="268" spans="1:29" s="645" customFormat="1" x14ac:dyDescent="0.3">
      <c r="A268" s="1200" t="s">
        <v>762</v>
      </c>
      <c r="B268" s="1201" t="s">
        <v>129</v>
      </c>
      <c r="C268" s="1010" t="s">
        <v>712</v>
      </c>
      <c r="D268" s="966" t="s">
        <v>708</v>
      </c>
      <c r="E268" s="1215" t="s">
        <v>442</v>
      </c>
      <c r="F268" s="725">
        <v>0</v>
      </c>
      <c r="G268" s="725">
        <v>0</v>
      </c>
      <c r="H268" s="725">
        <v>0</v>
      </c>
      <c r="I268" s="725">
        <v>0</v>
      </c>
      <c r="J268" s="725">
        <v>0</v>
      </c>
      <c r="K268" s="725">
        <v>0</v>
      </c>
      <c r="L268" s="725">
        <v>0</v>
      </c>
      <c r="M268" s="725">
        <v>0.75</v>
      </c>
      <c r="N268" s="725">
        <v>0.9</v>
      </c>
      <c r="O268" s="725">
        <v>0.9</v>
      </c>
      <c r="P268" s="725">
        <v>0.9</v>
      </c>
      <c r="Q268" s="725">
        <v>0.9</v>
      </c>
      <c r="R268" s="725">
        <v>0.9</v>
      </c>
      <c r="S268" s="725">
        <v>0.9</v>
      </c>
      <c r="T268" s="725">
        <v>0.9</v>
      </c>
      <c r="U268" s="725">
        <v>0.9</v>
      </c>
      <c r="V268" s="725">
        <v>0.9</v>
      </c>
      <c r="W268" s="725">
        <v>0.75</v>
      </c>
      <c r="X268" s="725">
        <v>0.2</v>
      </c>
      <c r="Y268" s="725">
        <v>0.1</v>
      </c>
      <c r="Z268" s="725">
        <v>0</v>
      </c>
      <c r="AA268" s="725">
        <v>0</v>
      </c>
      <c r="AB268" s="725">
        <v>0</v>
      </c>
      <c r="AC268" s="726">
        <v>0</v>
      </c>
    </row>
    <row r="269" spans="1:29" s="645" customFormat="1" x14ac:dyDescent="0.3">
      <c r="A269" s="1203"/>
      <c r="B269" s="1204"/>
      <c r="C269" s="1011"/>
      <c r="D269" s="943"/>
      <c r="E269" s="714" t="s">
        <v>443</v>
      </c>
      <c r="F269" s="728">
        <v>0</v>
      </c>
      <c r="G269" s="728">
        <v>0</v>
      </c>
      <c r="H269" s="728">
        <v>0</v>
      </c>
      <c r="I269" s="728">
        <v>0</v>
      </c>
      <c r="J269" s="728">
        <v>0</v>
      </c>
      <c r="K269" s="728">
        <v>0</v>
      </c>
      <c r="L269" s="728">
        <v>0</v>
      </c>
      <c r="M269" s="728">
        <v>0.3</v>
      </c>
      <c r="N269" s="728">
        <v>0.5</v>
      </c>
      <c r="O269" s="728">
        <v>0.5</v>
      </c>
      <c r="P269" s="728">
        <v>0.5</v>
      </c>
      <c r="Q269" s="728">
        <v>0.5</v>
      </c>
      <c r="R269" s="728">
        <v>0.5</v>
      </c>
      <c r="S269" s="728">
        <v>0.5</v>
      </c>
      <c r="T269" s="728">
        <v>0.5</v>
      </c>
      <c r="U269" s="728">
        <v>0.5</v>
      </c>
      <c r="V269" s="728">
        <v>0.5</v>
      </c>
      <c r="W269" s="728">
        <v>0.3</v>
      </c>
      <c r="X269" s="728">
        <v>0</v>
      </c>
      <c r="Y269" s="728">
        <v>0</v>
      </c>
      <c r="Z269" s="728">
        <v>0</v>
      </c>
      <c r="AA269" s="728">
        <v>0</v>
      </c>
      <c r="AB269" s="728">
        <v>0</v>
      </c>
      <c r="AC269" s="730">
        <v>0</v>
      </c>
    </row>
    <row r="270" spans="1:29" s="645" customFormat="1" x14ac:dyDescent="0.3">
      <c r="A270" s="1206"/>
      <c r="B270" s="1207"/>
      <c r="C270" s="1013"/>
      <c r="D270" s="944"/>
      <c r="E270" s="1213" t="s">
        <v>444</v>
      </c>
      <c r="F270" s="733">
        <v>0</v>
      </c>
      <c r="G270" s="733">
        <v>0</v>
      </c>
      <c r="H270" s="733">
        <v>0</v>
      </c>
      <c r="I270" s="733">
        <v>0</v>
      </c>
      <c r="J270" s="733">
        <v>0</v>
      </c>
      <c r="K270" s="733">
        <v>0</v>
      </c>
      <c r="L270" s="733">
        <v>0</v>
      </c>
      <c r="M270" s="733">
        <v>0</v>
      </c>
      <c r="N270" s="733">
        <v>0</v>
      </c>
      <c r="O270" s="733">
        <v>0</v>
      </c>
      <c r="P270" s="733">
        <v>0</v>
      </c>
      <c r="Q270" s="733">
        <v>0</v>
      </c>
      <c r="R270" s="733">
        <v>0</v>
      </c>
      <c r="S270" s="733">
        <v>0</v>
      </c>
      <c r="T270" s="733">
        <v>0</v>
      </c>
      <c r="U270" s="733">
        <v>0</v>
      </c>
      <c r="V270" s="733">
        <v>0</v>
      </c>
      <c r="W270" s="733">
        <v>0</v>
      </c>
      <c r="X270" s="733">
        <v>0</v>
      </c>
      <c r="Y270" s="733">
        <v>0</v>
      </c>
      <c r="Z270" s="733">
        <v>0</v>
      </c>
      <c r="AA270" s="733">
        <v>0</v>
      </c>
      <c r="AB270" s="733">
        <v>0</v>
      </c>
      <c r="AC270" s="738">
        <v>0</v>
      </c>
    </row>
    <row r="271" spans="1:29" s="645" customFormat="1" x14ac:dyDescent="0.3">
      <c r="A271" s="1200" t="s">
        <v>762</v>
      </c>
      <c r="B271" s="1201" t="s">
        <v>129</v>
      </c>
      <c r="C271" s="1216" t="s">
        <v>713</v>
      </c>
      <c r="D271" s="1169" t="s">
        <v>708</v>
      </c>
      <c r="E271" s="1215" t="s">
        <v>442</v>
      </c>
      <c r="F271" s="725">
        <v>0.9</v>
      </c>
      <c r="G271" s="725">
        <v>0.9</v>
      </c>
      <c r="H271" s="725">
        <v>0.9</v>
      </c>
      <c r="I271" s="725">
        <v>0.9</v>
      </c>
      <c r="J271" s="725">
        <v>0.9</v>
      </c>
      <c r="K271" s="725">
        <v>0.9</v>
      </c>
      <c r="L271" s="725">
        <v>0.9</v>
      </c>
      <c r="M271" s="725">
        <v>0.9</v>
      </c>
      <c r="N271" s="725">
        <v>0.9</v>
      </c>
      <c r="O271" s="725">
        <v>0.9</v>
      </c>
      <c r="P271" s="725">
        <v>0.9</v>
      </c>
      <c r="Q271" s="725">
        <v>0.9</v>
      </c>
      <c r="R271" s="725">
        <v>0.9</v>
      </c>
      <c r="S271" s="725">
        <v>0.9</v>
      </c>
      <c r="T271" s="725">
        <v>0.9</v>
      </c>
      <c r="U271" s="725">
        <v>0.9</v>
      </c>
      <c r="V271" s="725">
        <v>0.9</v>
      </c>
      <c r="W271" s="725">
        <v>0.9</v>
      </c>
      <c r="X271" s="725">
        <v>0.9</v>
      </c>
      <c r="Y271" s="725">
        <v>0.9</v>
      </c>
      <c r="Z271" s="725">
        <v>0.9</v>
      </c>
      <c r="AA271" s="725">
        <v>0.9</v>
      </c>
      <c r="AB271" s="725">
        <v>0.9</v>
      </c>
      <c r="AC271" s="726">
        <v>0.9</v>
      </c>
    </row>
    <row r="272" spans="1:29" s="645" customFormat="1" x14ac:dyDescent="0.3">
      <c r="A272" s="1203"/>
      <c r="B272" s="1204"/>
      <c r="C272" s="1217"/>
      <c r="D272" s="1170"/>
      <c r="E272" s="714" t="s">
        <v>443</v>
      </c>
      <c r="F272" s="728">
        <v>0.9</v>
      </c>
      <c r="G272" s="728">
        <v>0.9</v>
      </c>
      <c r="H272" s="728">
        <v>0.9</v>
      </c>
      <c r="I272" s="728">
        <v>0.9</v>
      </c>
      <c r="J272" s="728">
        <v>0.9</v>
      </c>
      <c r="K272" s="728">
        <v>0.9</v>
      </c>
      <c r="L272" s="728">
        <v>0.9</v>
      </c>
      <c r="M272" s="728">
        <v>0.9</v>
      </c>
      <c r="N272" s="728">
        <v>0.9</v>
      </c>
      <c r="O272" s="728">
        <v>0.9</v>
      </c>
      <c r="P272" s="728">
        <v>0.9</v>
      </c>
      <c r="Q272" s="728">
        <v>0.9</v>
      </c>
      <c r="R272" s="728">
        <v>0.9</v>
      </c>
      <c r="S272" s="728">
        <v>0.9</v>
      </c>
      <c r="T272" s="728">
        <v>0.9</v>
      </c>
      <c r="U272" s="728">
        <v>0.9</v>
      </c>
      <c r="V272" s="728">
        <v>0.9</v>
      </c>
      <c r="W272" s="728">
        <v>0.9</v>
      </c>
      <c r="X272" s="728">
        <v>0.9</v>
      </c>
      <c r="Y272" s="728">
        <v>0.9</v>
      </c>
      <c r="Z272" s="728">
        <v>0.9</v>
      </c>
      <c r="AA272" s="728">
        <v>0.9</v>
      </c>
      <c r="AB272" s="728">
        <v>0.9</v>
      </c>
      <c r="AC272" s="730">
        <v>0.9</v>
      </c>
    </row>
    <row r="273" spans="1:29" s="645" customFormat="1" x14ac:dyDescent="0.3">
      <c r="A273" s="1206"/>
      <c r="B273" s="1207"/>
      <c r="C273" s="1218"/>
      <c r="D273" s="1171"/>
      <c r="E273" s="1219" t="s">
        <v>444</v>
      </c>
      <c r="F273" s="729">
        <v>0.9</v>
      </c>
      <c r="G273" s="729">
        <v>0.9</v>
      </c>
      <c r="H273" s="729">
        <v>0.9</v>
      </c>
      <c r="I273" s="729">
        <v>0.9</v>
      </c>
      <c r="J273" s="729">
        <v>0.9</v>
      </c>
      <c r="K273" s="729">
        <v>0.9</v>
      </c>
      <c r="L273" s="729">
        <v>0.9</v>
      </c>
      <c r="M273" s="729">
        <v>0.9</v>
      </c>
      <c r="N273" s="729">
        <v>0.9</v>
      </c>
      <c r="O273" s="729">
        <v>0.9</v>
      </c>
      <c r="P273" s="729">
        <v>0.9</v>
      </c>
      <c r="Q273" s="729">
        <v>0.9</v>
      </c>
      <c r="R273" s="729">
        <v>0.9</v>
      </c>
      <c r="S273" s="729">
        <v>0.9</v>
      </c>
      <c r="T273" s="729">
        <v>0.9</v>
      </c>
      <c r="U273" s="729">
        <v>0.9</v>
      </c>
      <c r="V273" s="729">
        <v>0.9</v>
      </c>
      <c r="W273" s="729">
        <v>0.9</v>
      </c>
      <c r="X273" s="729">
        <v>0.9</v>
      </c>
      <c r="Y273" s="729">
        <v>0.9</v>
      </c>
      <c r="Z273" s="729">
        <v>0.9</v>
      </c>
      <c r="AA273" s="729">
        <v>0.9</v>
      </c>
      <c r="AB273" s="729">
        <v>0.9</v>
      </c>
      <c r="AC273" s="732">
        <v>0.9</v>
      </c>
    </row>
    <row r="274" spans="1:29" s="645" customFormat="1" ht="12.75" customHeight="1" x14ac:dyDescent="0.3">
      <c r="A274" s="1200" t="s">
        <v>762</v>
      </c>
      <c r="B274" s="1201" t="s">
        <v>129</v>
      </c>
      <c r="C274" s="1220" t="s">
        <v>299</v>
      </c>
      <c r="D274" s="1172" t="s">
        <v>708</v>
      </c>
      <c r="E274" s="1215" t="s">
        <v>442</v>
      </c>
      <c r="F274" s="725">
        <f>IF(F256=0,1,0.25)</f>
        <v>1</v>
      </c>
      <c r="G274" s="725">
        <f t="shared" ref="G274:AC274" si="8">IF(G256=0,1,0.25)</f>
        <v>1</v>
      </c>
      <c r="H274" s="725">
        <f t="shared" si="8"/>
        <v>1</v>
      </c>
      <c r="I274" s="725">
        <f t="shared" si="8"/>
        <v>1</v>
      </c>
      <c r="J274" s="725">
        <f t="shared" si="8"/>
        <v>1</v>
      </c>
      <c r="K274" s="725">
        <f t="shared" si="8"/>
        <v>1</v>
      </c>
      <c r="L274" s="725">
        <f t="shared" si="8"/>
        <v>1</v>
      </c>
      <c r="M274" s="725">
        <f t="shared" si="8"/>
        <v>0.25</v>
      </c>
      <c r="N274" s="725">
        <f t="shared" si="8"/>
        <v>0.25</v>
      </c>
      <c r="O274" s="725">
        <f t="shared" si="8"/>
        <v>0.25</v>
      </c>
      <c r="P274" s="725">
        <f t="shared" si="8"/>
        <v>0.25</v>
      </c>
      <c r="Q274" s="725">
        <f t="shared" si="8"/>
        <v>0.25</v>
      </c>
      <c r="R274" s="725">
        <f t="shared" si="8"/>
        <v>0.25</v>
      </c>
      <c r="S274" s="725">
        <f t="shared" si="8"/>
        <v>0.25</v>
      </c>
      <c r="T274" s="725">
        <f t="shared" si="8"/>
        <v>0.25</v>
      </c>
      <c r="U274" s="725">
        <f t="shared" si="8"/>
        <v>0.25</v>
      </c>
      <c r="V274" s="725">
        <f t="shared" si="8"/>
        <v>0.25</v>
      </c>
      <c r="W274" s="725">
        <f t="shared" si="8"/>
        <v>0.25</v>
      </c>
      <c r="X274" s="725">
        <f t="shared" si="8"/>
        <v>0.25</v>
      </c>
      <c r="Y274" s="725">
        <f t="shared" si="8"/>
        <v>0.25</v>
      </c>
      <c r="Z274" s="725">
        <f t="shared" si="8"/>
        <v>0.25</v>
      </c>
      <c r="AA274" s="725">
        <f t="shared" si="8"/>
        <v>0.25</v>
      </c>
      <c r="AB274" s="725">
        <f t="shared" si="8"/>
        <v>1</v>
      </c>
      <c r="AC274" s="726">
        <f t="shared" si="8"/>
        <v>1</v>
      </c>
    </row>
    <row r="275" spans="1:29" s="645" customFormat="1" x14ac:dyDescent="0.3">
      <c r="A275" s="1203"/>
      <c r="B275" s="1204"/>
      <c r="C275" s="1217"/>
      <c r="D275" s="1170"/>
      <c r="E275" s="714" t="s">
        <v>443</v>
      </c>
      <c r="F275" s="728">
        <f t="shared" ref="F275:AC276" si="9">IF(F257=0,1,0.25)</f>
        <v>1</v>
      </c>
      <c r="G275" s="728">
        <f t="shared" si="9"/>
        <v>1</v>
      </c>
      <c r="H275" s="728">
        <f t="shared" si="9"/>
        <v>1</v>
      </c>
      <c r="I275" s="728">
        <f t="shared" si="9"/>
        <v>1</v>
      </c>
      <c r="J275" s="728">
        <f t="shared" si="9"/>
        <v>1</v>
      </c>
      <c r="K275" s="728">
        <f t="shared" si="9"/>
        <v>1</v>
      </c>
      <c r="L275" s="728">
        <f t="shared" si="9"/>
        <v>1</v>
      </c>
      <c r="M275" s="728">
        <f t="shared" si="9"/>
        <v>0.25</v>
      </c>
      <c r="N275" s="728">
        <f t="shared" si="9"/>
        <v>0.25</v>
      </c>
      <c r="O275" s="728">
        <f t="shared" si="9"/>
        <v>0.25</v>
      </c>
      <c r="P275" s="728">
        <f t="shared" si="9"/>
        <v>0.25</v>
      </c>
      <c r="Q275" s="728">
        <f t="shared" si="9"/>
        <v>0.25</v>
      </c>
      <c r="R275" s="728">
        <f t="shared" si="9"/>
        <v>0.25</v>
      </c>
      <c r="S275" s="728">
        <f t="shared" si="9"/>
        <v>0.25</v>
      </c>
      <c r="T275" s="728">
        <f t="shared" si="9"/>
        <v>0.25</v>
      </c>
      <c r="U275" s="728">
        <f t="shared" si="9"/>
        <v>0.25</v>
      </c>
      <c r="V275" s="728">
        <f t="shared" si="9"/>
        <v>0.25</v>
      </c>
      <c r="W275" s="728">
        <f t="shared" si="9"/>
        <v>0.25</v>
      </c>
      <c r="X275" s="728">
        <f t="shared" si="9"/>
        <v>0.25</v>
      </c>
      <c r="Y275" s="728">
        <f t="shared" si="9"/>
        <v>1</v>
      </c>
      <c r="Z275" s="728">
        <f t="shared" si="9"/>
        <v>1</v>
      </c>
      <c r="AA275" s="728">
        <f t="shared" si="9"/>
        <v>1</v>
      </c>
      <c r="AB275" s="728">
        <f t="shared" si="9"/>
        <v>1</v>
      </c>
      <c r="AC275" s="730">
        <f t="shared" si="9"/>
        <v>1</v>
      </c>
    </row>
    <row r="276" spans="1:29" s="645" customFormat="1" x14ac:dyDescent="0.3">
      <c r="A276" s="1206"/>
      <c r="B276" s="1207"/>
      <c r="C276" s="1221"/>
      <c r="D276" s="1173"/>
      <c r="E276" s="1219" t="s">
        <v>444</v>
      </c>
      <c r="F276" s="729">
        <f t="shared" si="9"/>
        <v>1</v>
      </c>
      <c r="G276" s="729">
        <f t="shared" si="9"/>
        <v>1</v>
      </c>
      <c r="H276" s="729">
        <f t="shared" si="9"/>
        <v>1</v>
      </c>
      <c r="I276" s="729">
        <f t="shared" si="9"/>
        <v>1</v>
      </c>
      <c r="J276" s="729">
        <f t="shared" si="9"/>
        <v>1</v>
      </c>
      <c r="K276" s="729">
        <f t="shared" si="9"/>
        <v>1</v>
      </c>
      <c r="L276" s="729">
        <f t="shared" si="9"/>
        <v>1</v>
      </c>
      <c r="M276" s="729">
        <f t="shared" si="9"/>
        <v>1</v>
      </c>
      <c r="N276" s="729">
        <f t="shared" si="9"/>
        <v>0.25</v>
      </c>
      <c r="O276" s="729">
        <f t="shared" si="9"/>
        <v>0.25</v>
      </c>
      <c r="P276" s="729">
        <f t="shared" si="9"/>
        <v>0.25</v>
      </c>
      <c r="Q276" s="729">
        <f t="shared" si="9"/>
        <v>0.25</v>
      </c>
      <c r="R276" s="729">
        <f t="shared" si="9"/>
        <v>0.25</v>
      </c>
      <c r="S276" s="729">
        <f t="shared" si="9"/>
        <v>0.25</v>
      </c>
      <c r="T276" s="729">
        <f t="shared" si="9"/>
        <v>0.25</v>
      </c>
      <c r="U276" s="729">
        <f t="shared" si="9"/>
        <v>0.25</v>
      </c>
      <c r="V276" s="729">
        <f t="shared" si="9"/>
        <v>1</v>
      </c>
      <c r="W276" s="729">
        <f t="shared" si="9"/>
        <v>1</v>
      </c>
      <c r="X276" s="729">
        <f t="shared" si="9"/>
        <v>1</v>
      </c>
      <c r="Y276" s="729">
        <f t="shared" si="9"/>
        <v>1</v>
      </c>
      <c r="Z276" s="729">
        <f t="shared" si="9"/>
        <v>1</v>
      </c>
      <c r="AA276" s="729">
        <f t="shared" si="9"/>
        <v>1</v>
      </c>
      <c r="AB276" s="729">
        <f t="shared" si="9"/>
        <v>1</v>
      </c>
      <c r="AC276" s="732">
        <f t="shared" si="9"/>
        <v>1</v>
      </c>
    </row>
    <row r="277" spans="1:29" s="645" customFormat="1" x14ac:dyDescent="0.3">
      <c r="A277" s="1200" t="s">
        <v>762</v>
      </c>
      <c r="B277" s="1201" t="s">
        <v>129</v>
      </c>
      <c r="C277" s="1216" t="s">
        <v>714</v>
      </c>
      <c r="D277" s="1169" t="s">
        <v>708</v>
      </c>
      <c r="E277" s="724" t="s">
        <v>442</v>
      </c>
      <c r="F277" s="1222">
        <v>0</v>
      </c>
      <c r="G277" s="1222">
        <v>0</v>
      </c>
      <c r="H277" s="1222">
        <v>0</v>
      </c>
      <c r="I277" s="1222">
        <v>0</v>
      </c>
      <c r="J277" s="1222">
        <v>0</v>
      </c>
      <c r="K277" s="1222">
        <v>0</v>
      </c>
      <c r="L277" s="1222">
        <v>1</v>
      </c>
      <c r="M277" s="1222">
        <v>1</v>
      </c>
      <c r="N277" s="1222">
        <v>1</v>
      </c>
      <c r="O277" s="1222">
        <v>1</v>
      </c>
      <c r="P277" s="1222">
        <v>1</v>
      </c>
      <c r="Q277" s="1222">
        <v>1</v>
      </c>
      <c r="R277" s="1222">
        <v>1</v>
      </c>
      <c r="S277" s="1222">
        <v>1</v>
      </c>
      <c r="T277" s="1222">
        <v>1</v>
      </c>
      <c r="U277" s="1222">
        <v>1</v>
      </c>
      <c r="V277" s="1222">
        <v>1</v>
      </c>
      <c r="W277" s="1222">
        <v>1</v>
      </c>
      <c r="X277" s="1222">
        <v>1</v>
      </c>
      <c r="Y277" s="1222">
        <v>1</v>
      </c>
      <c r="Z277" s="1222">
        <v>1</v>
      </c>
      <c r="AA277" s="1222">
        <v>1</v>
      </c>
      <c r="AB277" s="1222">
        <v>0</v>
      </c>
      <c r="AC277" s="1223">
        <v>0</v>
      </c>
    </row>
    <row r="278" spans="1:29" s="645" customFormat="1" x14ac:dyDescent="0.3">
      <c r="A278" s="1203"/>
      <c r="B278" s="1204"/>
      <c r="C278" s="1217"/>
      <c r="D278" s="1170"/>
      <c r="E278" s="727" t="s">
        <v>443</v>
      </c>
      <c r="F278" s="1224">
        <v>0</v>
      </c>
      <c r="G278" s="1224">
        <v>0</v>
      </c>
      <c r="H278" s="1224">
        <v>0</v>
      </c>
      <c r="I278" s="1224">
        <v>0</v>
      </c>
      <c r="J278" s="1224">
        <v>0</v>
      </c>
      <c r="K278" s="1224">
        <v>0</v>
      </c>
      <c r="L278" s="1224">
        <v>1</v>
      </c>
      <c r="M278" s="1224">
        <v>1</v>
      </c>
      <c r="N278" s="1224">
        <v>1</v>
      </c>
      <c r="O278" s="1224">
        <v>1</v>
      </c>
      <c r="P278" s="1224">
        <v>1</v>
      </c>
      <c r="Q278" s="1224">
        <v>1</v>
      </c>
      <c r="R278" s="1224">
        <v>1</v>
      </c>
      <c r="S278" s="1224">
        <v>1</v>
      </c>
      <c r="T278" s="1224">
        <v>1</v>
      </c>
      <c r="U278" s="1224">
        <v>1</v>
      </c>
      <c r="V278" s="1224">
        <v>1</v>
      </c>
      <c r="W278" s="1224">
        <v>1</v>
      </c>
      <c r="X278" s="1224">
        <v>1</v>
      </c>
      <c r="Y278" s="1224">
        <v>0</v>
      </c>
      <c r="Z278" s="1224">
        <v>0</v>
      </c>
      <c r="AA278" s="1224">
        <v>0</v>
      </c>
      <c r="AB278" s="1224">
        <v>0</v>
      </c>
      <c r="AC278" s="1225">
        <v>0</v>
      </c>
    </row>
    <row r="279" spans="1:29" s="645" customFormat="1" x14ac:dyDescent="0.3">
      <c r="A279" s="1206"/>
      <c r="B279" s="1207"/>
      <c r="C279" s="1218"/>
      <c r="D279" s="1171"/>
      <c r="E279" s="731" t="s">
        <v>444</v>
      </c>
      <c r="F279" s="1226">
        <v>0</v>
      </c>
      <c r="G279" s="1226">
        <v>0</v>
      </c>
      <c r="H279" s="1226">
        <v>0</v>
      </c>
      <c r="I279" s="1226">
        <v>0</v>
      </c>
      <c r="J279" s="1226">
        <v>0</v>
      </c>
      <c r="K279" s="1226">
        <v>0</v>
      </c>
      <c r="L279" s="1226">
        <v>0</v>
      </c>
      <c r="M279" s="1226">
        <v>1</v>
      </c>
      <c r="N279" s="1226">
        <v>1</v>
      </c>
      <c r="O279" s="1226">
        <v>1</v>
      </c>
      <c r="P279" s="1226">
        <v>1</v>
      </c>
      <c r="Q279" s="1226">
        <v>1</v>
      </c>
      <c r="R279" s="1226">
        <v>1</v>
      </c>
      <c r="S279" s="1226">
        <v>1</v>
      </c>
      <c r="T279" s="1226">
        <v>1</v>
      </c>
      <c r="U279" s="1226">
        <v>1</v>
      </c>
      <c r="V279" s="1226">
        <v>0</v>
      </c>
      <c r="W279" s="1226">
        <v>0</v>
      </c>
      <c r="X279" s="1226">
        <v>0</v>
      </c>
      <c r="Y279" s="1226">
        <v>0</v>
      </c>
      <c r="Z279" s="1226">
        <v>0</v>
      </c>
      <c r="AA279" s="1226">
        <v>0</v>
      </c>
      <c r="AB279" s="1226">
        <v>0</v>
      </c>
      <c r="AC279" s="1227">
        <v>0</v>
      </c>
    </row>
    <row r="280" spans="1:29" s="645" customFormat="1" x14ac:dyDescent="0.3">
      <c r="A280" s="1200" t="s">
        <v>762</v>
      </c>
      <c r="B280" s="1201" t="s">
        <v>129</v>
      </c>
      <c r="C280" s="986" t="s">
        <v>715</v>
      </c>
      <c r="D280" s="1166" t="s">
        <v>763</v>
      </c>
      <c r="E280" s="1228" t="s">
        <v>442</v>
      </c>
      <c r="F280" s="1229">
        <v>60</v>
      </c>
      <c r="G280" s="1229">
        <v>60</v>
      </c>
      <c r="H280" s="1229">
        <v>60</v>
      </c>
      <c r="I280" s="1229">
        <v>60</v>
      </c>
      <c r="J280" s="1229">
        <v>60</v>
      </c>
      <c r="K280" s="1229">
        <v>60</v>
      </c>
      <c r="L280" s="1229">
        <v>60</v>
      </c>
      <c r="M280" s="1229">
        <v>60</v>
      </c>
      <c r="N280" s="1229">
        <v>60</v>
      </c>
      <c r="O280" s="1229">
        <v>60</v>
      </c>
      <c r="P280" s="1229">
        <v>60</v>
      </c>
      <c r="Q280" s="1229">
        <v>60</v>
      </c>
      <c r="R280" s="1229">
        <v>60</v>
      </c>
      <c r="S280" s="1229">
        <v>60</v>
      </c>
      <c r="T280" s="1229">
        <v>60</v>
      </c>
      <c r="U280" s="1229">
        <v>60</v>
      </c>
      <c r="V280" s="1229">
        <v>60</v>
      </c>
      <c r="W280" s="1229">
        <v>60</v>
      </c>
      <c r="X280" s="1229">
        <v>60</v>
      </c>
      <c r="Y280" s="1229">
        <v>60</v>
      </c>
      <c r="Z280" s="1229">
        <v>60</v>
      </c>
      <c r="AA280" s="1229">
        <v>60</v>
      </c>
      <c r="AB280" s="1229">
        <v>60</v>
      </c>
      <c r="AC280" s="1230">
        <v>60</v>
      </c>
    </row>
    <row r="281" spans="1:29" s="645" customFormat="1" x14ac:dyDescent="0.3">
      <c r="A281" s="1203"/>
      <c r="B281" s="1204"/>
      <c r="C281" s="971"/>
      <c r="D281" s="1167"/>
      <c r="E281" s="649" t="s">
        <v>443</v>
      </c>
      <c r="F281" s="1224">
        <v>60</v>
      </c>
      <c r="G281" s="1224">
        <v>60</v>
      </c>
      <c r="H281" s="1224">
        <v>60</v>
      </c>
      <c r="I281" s="1224">
        <v>60</v>
      </c>
      <c r="J281" s="1224">
        <v>60</v>
      </c>
      <c r="K281" s="1224">
        <v>60</v>
      </c>
      <c r="L281" s="1224">
        <v>60</v>
      </c>
      <c r="M281" s="1224">
        <v>60</v>
      </c>
      <c r="N281" s="1224">
        <v>60</v>
      </c>
      <c r="O281" s="1224">
        <v>60</v>
      </c>
      <c r="P281" s="1224">
        <v>60</v>
      </c>
      <c r="Q281" s="1224">
        <v>60</v>
      </c>
      <c r="R281" s="1224">
        <v>60</v>
      </c>
      <c r="S281" s="1224">
        <v>60</v>
      </c>
      <c r="T281" s="1224">
        <v>60</v>
      </c>
      <c r="U281" s="1224">
        <v>60</v>
      </c>
      <c r="V281" s="1224">
        <v>60</v>
      </c>
      <c r="W281" s="1224">
        <v>60</v>
      </c>
      <c r="X281" s="1224">
        <v>60</v>
      </c>
      <c r="Y281" s="1224">
        <v>60</v>
      </c>
      <c r="Z281" s="1224">
        <v>60</v>
      </c>
      <c r="AA281" s="1224">
        <v>60</v>
      </c>
      <c r="AB281" s="1224">
        <v>60</v>
      </c>
      <c r="AC281" s="1231">
        <v>60</v>
      </c>
    </row>
    <row r="282" spans="1:29" s="645" customFormat="1" x14ac:dyDescent="0.3">
      <c r="A282" s="1206"/>
      <c r="B282" s="1207"/>
      <c r="C282" s="987"/>
      <c r="D282" s="1168"/>
      <c r="E282" s="1232" t="s">
        <v>444</v>
      </c>
      <c r="F282" s="1226">
        <v>60</v>
      </c>
      <c r="G282" s="1226">
        <v>60</v>
      </c>
      <c r="H282" s="1226">
        <v>60</v>
      </c>
      <c r="I282" s="1226">
        <v>60</v>
      </c>
      <c r="J282" s="1226">
        <v>60</v>
      </c>
      <c r="K282" s="1226">
        <v>60</v>
      </c>
      <c r="L282" s="1226">
        <v>60</v>
      </c>
      <c r="M282" s="1226">
        <v>60</v>
      </c>
      <c r="N282" s="1226">
        <v>60</v>
      </c>
      <c r="O282" s="1226">
        <v>60</v>
      </c>
      <c r="P282" s="1226">
        <v>60</v>
      </c>
      <c r="Q282" s="1226">
        <v>60</v>
      </c>
      <c r="R282" s="1226">
        <v>60</v>
      </c>
      <c r="S282" s="1226">
        <v>60</v>
      </c>
      <c r="T282" s="1226">
        <v>60</v>
      </c>
      <c r="U282" s="1226">
        <v>60</v>
      </c>
      <c r="V282" s="1226">
        <v>60</v>
      </c>
      <c r="W282" s="1226">
        <v>60</v>
      </c>
      <c r="X282" s="1226">
        <v>60</v>
      </c>
      <c r="Y282" s="1226">
        <v>60</v>
      </c>
      <c r="Z282" s="1226">
        <v>60</v>
      </c>
      <c r="AA282" s="1226">
        <v>60</v>
      </c>
      <c r="AB282" s="1226">
        <v>60</v>
      </c>
      <c r="AC282" s="1233">
        <v>60</v>
      </c>
    </row>
    <row r="283" spans="1:29" s="645" customFormat="1" ht="12" customHeight="1" x14ac:dyDescent="0.3">
      <c r="A283" s="1200" t="s">
        <v>762</v>
      </c>
      <c r="B283" s="1201" t="s">
        <v>129</v>
      </c>
      <c r="C283" s="986" t="s">
        <v>716</v>
      </c>
      <c r="D283" s="1166" t="s">
        <v>763</v>
      </c>
      <c r="E283" s="646" t="s">
        <v>442</v>
      </c>
      <c r="F283" s="647">
        <v>85</v>
      </c>
      <c r="G283" s="647">
        <v>85</v>
      </c>
      <c r="H283" s="647">
        <v>85</v>
      </c>
      <c r="I283" s="647">
        <v>85</v>
      </c>
      <c r="J283" s="647">
        <v>85</v>
      </c>
      <c r="K283" s="647">
        <v>85</v>
      </c>
      <c r="L283" s="647">
        <v>85</v>
      </c>
      <c r="M283" s="647">
        <v>85</v>
      </c>
      <c r="N283" s="647">
        <v>85</v>
      </c>
      <c r="O283" s="647">
        <v>85</v>
      </c>
      <c r="P283" s="647">
        <v>85</v>
      </c>
      <c r="Q283" s="647">
        <v>85</v>
      </c>
      <c r="R283" s="647">
        <v>85</v>
      </c>
      <c r="S283" s="647">
        <v>85</v>
      </c>
      <c r="T283" s="647">
        <v>85</v>
      </c>
      <c r="U283" s="647">
        <v>85</v>
      </c>
      <c r="V283" s="647">
        <v>85</v>
      </c>
      <c r="W283" s="647">
        <v>85</v>
      </c>
      <c r="X283" s="647">
        <v>85</v>
      </c>
      <c r="Y283" s="647">
        <v>85</v>
      </c>
      <c r="Z283" s="647">
        <v>85</v>
      </c>
      <c r="AA283" s="647">
        <v>85</v>
      </c>
      <c r="AB283" s="647">
        <v>85</v>
      </c>
      <c r="AC283" s="648">
        <v>85</v>
      </c>
    </row>
    <row r="284" spans="1:29" s="645" customFormat="1" ht="12" customHeight="1" x14ac:dyDescent="0.3">
      <c r="A284" s="1203"/>
      <c r="B284" s="1204"/>
      <c r="C284" s="971"/>
      <c r="D284" s="1167"/>
      <c r="E284" s="649" t="s">
        <v>443</v>
      </c>
      <c r="F284" s="650">
        <v>85</v>
      </c>
      <c r="G284" s="650">
        <v>85</v>
      </c>
      <c r="H284" s="650">
        <v>85</v>
      </c>
      <c r="I284" s="650">
        <v>85</v>
      </c>
      <c r="J284" s="650">
        <v>85</v>
      </c>
      <c r="K284" s="650">
        <v>85</v>
      </c>
      <c r="L284" s="650">
        <v>85</v>
      </c>
      <c r="M284" s="650">
        <v>85</v>
      </c>
      <c r="N284" s="650">
        <v>85</v>
      </c>
      <c r="O284" s="650">
        <v>85</v>
      </c>
      <c r="P284" s="650">
        <v>85</v>
      </c>
      <c r="Q284" s="650">
        <v>85</v>
      </c>
      <c r="R284" s="650">
        <v>85</v>
      </c>
      <c r="S284" s="650">
        <v>85</v>
      </c>
      <c r="T284" s="650">
        <v>85</v>
      </c>
      <c r="U284" s="650">
        <v>85</v>
      </c>
      <c r="V284" s="650">
        <v>85</v>
      </c>
      <c r="W284" s="650">
        <v>85</v>
      </c>
      <c r="X284" s="650">
        <v>85</v>
      </c>
      <c r="Y284" s="650">
        <v>85</v>
      </c>
      <c r="Z284" s="650">
        <v>85</v>
      </c>
      <c r="AA284" s="650">
        <v>85</v>
      </c>
      <c r="AB284" s="650">
        <v>85</v>
      </c>
      <c r="AC284" s="651">
        <v>85</v>
      </c>
    </row>
    <row r="285" spans="1:29" s="645" customFormat="1" ht="12" customHeight="1" x14ac:dyDescent="0.3">
      <c r="A285" s="1206"/>
      <c r="B285" s="1207"/>
      <c r="C285" s="987"/>
      <c r="D285" s="1168"/>
      <c r="E285" s="652" t="s">
        <v>444</v>
      </c>
      <c r="F285" s="653">
        <v>85</v>
      </c>
      <c r="G285" s="653">
        <v>85</v>
      </c>
      <c r="H285" s="653">
        <v>85</v>
      </c>
      <c r="I285" s="653">
        <v>85</v>
      </c>
      <c r="J285" s="653">
        <v>85</v>
      </c>
      <c r="K285" s="653">
        <v>85</v>
      </c>
      <c r="L285" s="653">
        <v>85</v>
      </c>
      <c r="M285" s="653">
        <v>85</v>
      </c>
      <c r="N285" s="653">
        <v>85</v>
      </c>
      <c r="O285" s="653">
        <v>85</v>
      </c>
      <c r="P285" s="653">
        <v>85</v>
      </c>
      <c r="Q285" s="653">
        <v>85</v>
      </c>
      <c r="R285" s="653">
        <v>85</v>
      </c>
      <c r="S285" s="653">
        <v>85</v>
      </c>
      <c r="T285" s="653">
        <v>85</v>
      </c>
      <c r="U285" s="653">
        <v>85</v>
      </c>
      <c r="V285" s="653">
        <v>85</v>
      </c>
      <c r="W285" s="653">
        <v>85</v>
      </c>
      <c r="X285" s="653">
        <v>85</v>
      </c>
      <c r="Y285" s="653">
        <v>85</v>
      </c>
      <c r="Z285" s="653">
        <v>85</v>
      </c>
      <c r="AA285" s="653">
        <v>85</v>
      </c>
      <c r="AB285" s="653">
        <v>85</v>
      </c>
      <c r="AC285" s="654">
        <v>85</v>
      </c>
    </row>
    <row r="286" spans="1:29" ht="13.2" x14ac:dyDescent="0.3">
      <c r="A286" s="983" t="s">
        <v>133</v>
      </c>
      <c r="B286" s="984"/>
      <c r="C286" s="984"/>
      <c r="D286" s="984"/>
      <c r="E286" s="984"/>
      <c r="F286" s="984"/>
      <c r="G286" s="984"/>
      <c r="H286" s="984"/>
      <c r="I286" s="984"/>
      <c r="J286" s="984"/>
      <c r="K286" s="984"/>
      <c r="L286" s="984"/>
      <c r="M286" s="984"/>
      <c r="N286" s="984"/>
      <c r="O286" s="984"/>
      <c r="P286" s="984"/>
      <c r="Q286" s="984"/>
      <c r="R286" s="984"/>
      <c r="S286" s="984"/>
      <c r="T286" s="984"/>
      <c r="U286" s="984"/>
      <c r="V286" s="984"/>
      <c r="W286" s="984"/>
      <c r="X286" s="984"/>
      <c r="Y286" s="984"/>
      <c r="Z286" s="984"/>
      <c r="AA286" s="984"/>
      <c r="AB286" s="984"/>
      <c r="AC286" s="985"/>
    </row>
    <row r="287" spans="1:29" x14ac:dyDescent="0.3">
      <c r="A287" s="967" t="s">
        <v>764</v>
      </c>
      <c r="B287" s="986" t="s">
        <v>133</v>
      </c>
      <c r="C287" s="986" t="s">
        <v>707</v>
      </c>
      <c r="D287" s="988" t="s">
        <v>765</v>
      </c>
      <c r="E287" s="680" t="s">
        <v>442</v>
      </c>
      <c r="F287" s="681">
        <v>0</v>
      </c>
      <c r="G287" s="681">
        <v>0</v>
      </c>
      <c r="H287" s="681">
        <v>0</v>
      </c>
      <c r="I287" s="681">
        <v>0</v>
      </c>
      <c r="J287" s="681">
        <v>0</v>
      </c>
      <c r="K287" s="681">
        <v>0</v>
      </c>
      <c r="L287" s="681">
        <v>0</v>
      </c>
      <c r="M287" s="681">
        <v>0</v>
      </c>
      <c r="N287" s="681">
        <v>0.2</v>
      </c>
      <c r="O287" s="681">
        <v>0.2</v>
      </c>
      <c r="P287" s="681">
        <v>0.2</v>
      </c>
      <c r="Q287" s="681">
        <v>0.8</v>
      </c>
      <c r="R287" s="681">
        <v>0.8</v>
      </c>
      <c r="S287" s="681">
        <v>0.8</v>
      </c>
      <c r="T287" s="681">
        <v>0.8</v>
      </c>
      <c r="U287" s="681">
        <v>0.8</v>
      </c>
      <c r="V287" s="681">
        <v>0.8</v>
      </c>
      <c r="W287" s="681">
        <v>0.8</v>
      </c>
      <c r="X287" s="681">
        <v>0.2</v>
      </c>
      <c r="Y287" s="681">
        <v>0.2</v>
      </c>
      <c r="Z287" s="681">
        <v>0.2</v>
      </c>
      <c r="AA287" s="681">
        <v>0.2</v>
      </c>
      <c r="AB287" s="681">
        <v>0.1</v>
      </c>
      <c r="AC287" s="682">
        <v>0</v>
      </c>
    </row>
    <row r="288" spans="1:29" x14ac:dyDescent="0.3">
      <c r="A288" s="968"/>
      <c r="B288" s="971"/>
      <c r="C288" s="971"/>
      <c r="D288" s="979"/>
      <c r="E288" s="683" t="s">
        <v>443</v>
      </c>
      <c r="F288" s="684">
        <v>0</v>
      </c>
      <c r="G288" s="684">
        <v>0</v>
      </c>
      <c r="H288" s="684">
        <v>0</v>
      </c>
      <c r="I288" s="684">
        <v>0</v>
      </c>
      <c r="J288" s="684">
        <v>0</v>
      </c>
      <c r="K288" s="684">
        <v>0</v>
      </c>
      <c r="L288" s="684">
        <v>0</v>
      </c>
      <c r="M288" s="684">
        <v>0</v>
      </c>
      <c r="N288" s="684">
        <v>0.2</v>
      </c>
      <c r="O288" s="684">
        <v>0.2</v>
      </c>
      <c r="P288" s="684">
        <v>0.2</v>
      </c>
      <c r="Q288" s="684">
        <v>0.6</v>
      </c>
      <c r="R288" s="684">
        <v>0.6</v>
      </c>
      <c r="S288" s="684">
        <v>0.6</v>
      </c>
      <c r="T288" s="684">
        <v>0.6</v>
      </c>
      <c r="U288" s="684">
        <v>0.6</v>
      </c>
      <c r="V288" s="684">
        <v>0.6</v>
      </c>
      <c r="W288" s="684">
        <v>0.6</v>
      </c>
      <c r="X288" s="684">
        <v>0.6</v>
      </c>
      <c r="Y288" s="684">
        <v>0.6</v>
      </c>
      <c r="Z288" s="684">
        <v>0.6</v>
      </c>
      <c r="AA288" s="684">
        <v>0.8</v>
      </c>
      <c r="AB288" s="684">
        <v>0.1</v>
      </c>
      <c r="AC288" s="685">
        <v>0</v>
      </c>
    </row>
    <row r="289" spans="1:29" x14ac:dyDescent="0.3">
      <c r="A289" s="969"/>
      <c r="B289" s="987"/>
      <c r="C289" s="987"/>
      <c r="D289" s="989"/>
      <c r="E289" s="686" t="s">
        <v>444</v>
      </c>
      <c r="F289" s="687">
        <v>0</v>
      </c>
      <c r="G289" s="687">
        <v>0</v>
      </c>
      <c r="H289" s="687">
        <v>0</v>
      </c>
      <c r="I289" s="687">
        <v>0</v>
      </c>
      <c r="J289" s="687">
        <v>0</v>
      </c>
      <c r="K289" s="687">
        <v>0</v>
      </c>
      <c r="L289" s="687">
        <v>0</v>
      </c>
      <c r="M289" s="687">
        <v>0</v>
      </c>
      <c r="N289" s="687">
        <v>0.1</v>
      </c>
      <c r="O289" s="687">
        <v>0.1</v>
      </c>
      <c r="P289" s="687">
        <v>0.1</v>
      </c>
      <c r="Q289" s="687">
        <v>0.1</v>
      </c>
      <c r="R289" s="687">
        <v>0.1</v>
      </c>
      <c r="S289" s="687">
        <v>0.7</v>
      </c>
      <c r="T289" s="687">
        <v>0.7</v>
      </c>
      <c r="U289" s="687">
        <v>0.7</v>
      </c>
      <c r="V289" s="687">
        <v>0.7</v>
      </c>
      <c r="W289" s="687">
        <v>0.7</v>
      </c>
      <c r="X289" s="687">
        <v>0.7</v>
      </c>
      <c r="Y289" s="687">
        <v>0.7</v>
      </c>
      <c r="Z289" s="687">
        <v>0.7</v>
      </c>
      <c r="AA289" s="687">
        <v>0.7</v>
      </c>
      <c r="AB289" s="687">
        <v>0.2</v>
      </c>
      <c r="AC289" s="688">
        <v>0</v>
      </c>
    </row>
    <row r="290" spans="1:29" x14ac:dyDescent="0.3">
      <c r="A290" s="967" t="str">
        <f>A287</f>
        <v>Basement zones except IDF</v>
      </c>
      <c r="B290" s="981" t="str">
        <f>B287</f>
        <v>Assembly</v>
      </c>
      <c r="C290" s="981" t="s">
        <v>709</v>
      </c>
      <c r="D290" s="978" t="str">
        <f>D287</f>
        <v>T24 2022 - Appendix 5.4B, [Assembly]</v>
      </c>
      <c r="E290" s="689" t="s">
        <v>442</v>
      </c>
      <c r="F290" s="690">
        <v>0.05</v>
      </c>
      <c r="G290" s="690">
        <v>0.05</v>
      </c>
      <c r="H290" s="690">
        <v>0.05</v>
      </c>
      <c r="I290" s="690">
        <v>0.05</v>
      </c>
      <c r="J290" s="690">
        <v>0.05</v>
      </c>
      <c r="K290" s="690">
        <v>0.05</v>
      </c>
      <c r="L290" s="690">
        <v>0.35</v>
      </c>
      <c r="M290" s="690">
        <v>0.35</v>
      </c>
      <c r="N290" s="690">
        <v>0.35</v>
      </c>
      <c r="O290" s="690">
        <v>0.65</v>
      </c>
      <c r="P290" s="690">
        <v>0.65</v>
      </c>
      <c r="Q290" s="690">
        <v>0.65</v>
      </c>
      <c r="R290" s="690">
        <v>0.65</v>
      </c>
      <c r="S290" s="690">
        <v>0.65</v>
      </c>
      <c r="T290" s="690">
        <v>0.65</v>
      </c>
      <c r="U290" s="690">
        <v>0.65</v>
      </c>
      <c r="V290" s="690">
        <v>0.65</v>
      </c>
      <c r="W290" s="690">
        <v>0.65</v>
      </c>
      <c r="X290" s="690">
        <v>0.65</v>
      </c>
      <c r="Y290" s="690">
        <v>0.65</v>
      </c>
      <c r="Z290" s="690">
        <v>0.65</v>
      </c>
      <c r="AA290" s="690">
        <v>0.65</v>
      </c>
      <c r="AB290" s="690">
        <v>0.25</v>
      </c>
      <c r="AC290" s="691">
        <v>0.05</v>
      </c>
    </row>
    <row r="291" spans="1:29" x14ac:dyDescent="0.3">
      <c r="A291" s="968"/>
      <c r="B291" s="971"/>
      <c r="C291" s="971"/>
      <c r="D291" s="979"/>
      <c r="E291" s="683" t="s">
        <v>443</v>
      </c>
      <c r="F291" s="684">
        <v>0.05</v>
      </c>
      <c r="G291" s="684">
        <v>0.05</v>
      </c>
      <c r="H291" s="684">
        <v>0.05</v>
      </c>
      <c r="I291" s="684">
        <v>0.05</v>
      </c>
      <c r="J291" s="684">
        <v>0.05</v>
      </c>
      <c r="K291" s="684">
        <v>0.05</v>
      </c>
      <c r="L291" s="684">
        <v>0.05</v>
      </c>
      <c r="M291" s="684">
        <v>0.3</v>
      </c>
      <c r="N291" s="684">
        <v>0.3</v>
      </c>
      <c r="O291" s="684">
        <v>0.4</v>
      </c>
      <c r="P291" s="684">
        <v>0.4</v>
      </c>
      <c r="Q291" s="684">
        <v>0.4</v>
      </c>
      <c r="R291" s="684">
        <v>0.4</v>
      </c>
      <c r="S291" s="684">
        <v>0.4</v>
      </c>
      <c r="T291" s="684">
        <v>0.4</v>
      </c>
      <c r="U291" s="684">
        <v>0.4</v>
      </c>
      <c r="V291" s="684">
        <v>0.4</v>
      </c>
      <c r="W291" s="684">
        <v>0.4</v>
      </c>
      <c r="X291" s="684">
        <v>0.4</v>
      </c>
      <c r="Y291" s="684">
        <v>0.4</v>
      </c>
      <c r="Z291" s="684">
        <v>0.4</v>
      </c>
      <c r="AA291" s="684">
        <v>0.4</v>
      </c>
      <c r="AB291" s="684">
        <v>0.4</v>
      </c>
      <c r="AC291" s="692">
        <v>0.05</v>
      </c>
    </row>
    <row r="292" spans="1:29" x14ac:dyDescent="0.3">
      <c r="A292" s="969"/>
      <c r="B292" s="972"/>
      <c r="C292" s="972"/>
      <c r="D292" s="980"/>
      <c r="E292" s="693" t="s">
        <v>444</v>
      </c>
      <c r="F292" s="694">
        <v>0.05</v>
      </c>
      <c r="G292" s="694">
        <v>0.05</v>
      </c>
      <c r="H292" s="694">
        <v>0.05</v>
      </c>
      <c r="I292" s="694">
        <v>0.05</v>
      </c>
      <c r="J292" s="694">
        <v>0.05</v>
      </c>
      <c r="K292" s="694">
        <v>0.05</v>
      </c>
      <c r="L292" s="694">
        <v>0.05</v>
      </c>
      <c r="M292" s="694">
        <v>0.3</v>
      </c>
      <c r="N292" s="694">
        <v>0.3</v>
      </c>
      <c r="O292" s="694">
        <v>0.3</v>
      </c>
      <c r="P292" s="694">
        <v>0.3</v>
      </c>
      <c r="Q292" s="694">
        <v>0.3</v>
      </c>
      <c r="R292" s="694">
        <v>0.55000000000000004</v>
      </c>
      <c r="S292" s="694">
        <v>0.55000000000000004</v>
      </c>
      <c r="T292" s="694">
        <v>0.55000000000000004</v>
      </c>
      <c r="U292" s="694">
        <v>0.55000000000000004</v>
      </c>
      <c r="V292" s="694">
        <v>0.55000000000000004</v>
      </c>
      <c r="W292" s="694">
        <v>0.55000000000000004</v>
      </c>
      <c r="X292" s="694">
        <v>0.55000000000000004</v>
      </c>
      <c r="Y292" s="694">
        <v>0.55000000000000004</v>
      </c>
      <c r="Z292" s="694">
        <v>0.55000000000000004</v>
      </c>
      <c r="AA292" s="694">
        <v>0.55000000000000004</v>
      </c>
      <c r="AB292" s="694">
        <v>0.05</v>
      </c>
      <c r="AC292" s="695">
        <v>0.05</v>
      </c>
    </row>
    <row r="293" spans="1:29" x14ac:dyDescent="0.3">
      <c r="A293" s="967" t="str">
        <f>A287</f>
        <v>Basement zones except IDF</v>
      </c>
      <c r="B293" s="970" t="str">
        <f t="shared" ref="B293" si="10">B290</f>
        <v>Assembly</v>
      </c>
      <c r="C293" s="939" t="s">
        <v>740</v>
      </c>
      <c r="D293" s="978" t="str">
        <f t="shared" ref="D293" si="11">D290</f>
        <v>T24 2022 - Appendix 5.4B, [Assembly]</v>
      </c>
      <c r="E293" s="696" t="s">
        <v>442</v>
      </c>
      <c r="F293" s="697">
        <v>0.05</v>
      </c>
      <c r="G293" s="697">
        <v>0.05</v>
      </c>
      <c r="H293" s="697">
        <v>0.05</v>
      </c>
      <c r="I293" s="697">
        <v>0.05</v>
      </c>
      <c r="J293" s="697">
        <v>0.05</v>
      </c>
      <c r="K293" s="697">
        <v>0.05</v>
      </c>
      <c r="L293" s="697">
        <v>0.4</v>
      </c>
      <c r="M293" s="697">
        <v>0.4</v>
      </c>
      <c r="N293" s="697">
        <v>0.4</v>
      </c>
      <c r="O293" s="697">
        <v>0.75</v>
      </c>
      <c r="P293" s="697">
        <v>0.75</v>
      </c>
      <c r="Q293" s="697">
        <v>0.75</v>
      </c>
      <c r="R293" s="697">
        <v>0.75</v>
      </c>
      <c r="S293" s="697">
        <v>0.75</v>
      </c>
      <c r="T293" s="697">
        <v>0.75</v>
      </c>
      <c r="U293" s="697">
        <v>0.75</v>
      </c>
      <c r="V293" s="697">
        <v>0.75</v>
      </c>
      <c r="W293" s="697">
        <v>0.75</v>
      </c>
      <c r="X293" s="697">
        <v>0.75</v>
      </c>
      <c r="Y293" s="697">
        <v>0.75</v>
      </c>
      <c r="Z293" s="697">
        <v>0.75</v>
      </c>
      <c r="AA293" s="697">
        <v>0.75</v>
      </c>
      <c r="AB293" s="697">
        <v>0.25</v>
      </c>
      <c r="AC293" s="698">
        <v>0.05</v>
      </c>
    </row>
    <row r="294" spans="1:29" x14ac:dyDescent="0.3">
      <c r="A294" s="968"/>
      <c r="B294" s="971"/>
      <c r="C294" s="940"/>
      <c r="D294" s="979"/>
      <c r="E294" s="683" t="s">
        <v>443</v>
      </c>
      <c r="F294" s="684">
        <v>0.05</v>
      </c>
      <c r="G294" s="684">
        <v>0.05</v>
      </c>
      <c r="H294" s="684">
        <v>0.05</v>
      </c>
      <c r="I294" s="684">
        <v>0.05</v>
      </c>
      <c r="J294" s="684">
        <v>0.05</v>
      </c>
      <c r="K294" s="684">
        <v>0.05</v>
      </c>
      <c r="L294" s="684">
        <v>0.05</v>
      </c>
      <c r="M294" s="684">
        <v>0.3</v>
      </c>
      <c r="N294" s="684">
        <v>0.3</v>
      </c>
      <c r="O294" s="684">
        <v>0.5</v>
      </c>
      <c r="P294" s="684">
        <v>0.5</v>
      </c>
      <c r="Q294" s="684">
        <v>0.5</v>
      </c>
      <c r="R294" s="684">
        <v>0.5</v>
      </c>
      <c r="S294" s="684">
        <v>0.5</v>
      </c>
      <c r="T294" s="684">
        <v>0.5</v>
      </c>
      <c r="U294" s="684">
        <v>0.5</v>
      </c>
      <c r="V294" s="684">
        <v>0.5</v>
      </c>
      <c r="W294" s="684">
        <v>0.5</v>
      </c>
      <c r="X294" s="684">
        <v>0.5</v>
      </c>
      <c r="Y294" s="684">
        <v>0.5</v>
      </c>
      <c r="Z294" s="684">
        <v>0.5</v>
      </c>
      <c r="AA294" s="684">
        <v>0.5</v>
      </c>
      <c r="AB294" s="684">
        <v>0.5</v>
      </c>
      <c r="AC294" s="692">
        <v>0.05</v>
      </c>
    </row>
    <row r="295" spans="1:29" x14ac:dyDescent="0.3">
      <c r="A295" s="969"/>
      <c r="B295" s="972"/>
      <c r="C295" s="941"/>
      <c r="D295" s="980"/>
      <c r="E295" s="699" t="s">
        <v>444</v>
      </c>
      <c r="F295" s="700">
        <v>0.05</v>
      </c>
      <c r="G295" s="700">
        <v>0.05</v>
      </c>
      <c r="H295" s="700">
        <v>0.05</v>
      </c>
      <c r="I295" s="700">
        <v>0.05</v>
      </c>
      <c r="J295" s="700">
        <v>0.05</v>
      </c>
      <c r="K295" s="700">
        <v>0.05</v>
      </c>
      <c r="L295" s="700">
        <v>0.05</v>
      </c>
      <c r="M295" s="700">
        <v>0.3</v>
      </c>
      <c r="N295" s="700">
        <v>0.3</v>
      </c>
      <c r="O295" s="700">
        <v>0.3</v>
      </c>
      <c r="P295" s="700">
        <v>0.3</v>
      </c>
      <c r="Q295" s="700">
        <v>0.3</v>
      </c>
      <c r="R295" s="700">
        <v>0.65</v>
      </c>
      <c r="S295" s="700">
        <v>0.65</v>
      </c>
      <c r="T295" s="700">
        <v>0.65</v>
      </c>
      <c r="U295" s="700">
        <v>0.65</v>
      </c>
      <c r="V295" s="700">
        <v>0.65</v>
      </c>
      <c r="W295" s="700">
        <v>0.65</v>
      </c>
      <c r="X295" s="700">
        <v>0.65</v>
      </c>
      <c r="Y295" s="700">
        <v>0.65</v>
      </c>
      <c r="Z295" s="700">
        <v>0.65</v>
      </c>
      <c r="AA295" s="700">
        <v>0.65</v>
      </c>
      <c r="AB295" s="700">
        <v>0.05</v>
      </c>
      <c r="AC295" s="701">
        <v>0.05</v>
      </c>
    </row>
    <row r="296" spans="1:29" x14ac:dyDescent="0.3">
      <c r="A296" s="967" t="str">
        <f>A287</f>
        <v>Basement zones except IDF</v>
      </c>
      <c r="B296" s="970" t="str">
        <f t="shared" ref="B296" si="12">B293</f>
        <v>Assembly</v>
      </c>
      <c r="C296" s="939" t="s">
        <v>714</v>
      </c>
      <c r="D296" s="978" t="str">
        <f t="shared" ref="D296" si="13">D293</f>
        <v>T24 2022 - Appendix 5.4B, [Assembly]</v>
      </c>
      <c r="E296" s="696" t="s">
        <v>442</v>
      </c>
      <c r="F296" s="697">
        <v>0</v>
      </c>
      <c r="G296" s="697">
        <v>0</v>
      </c>
      <c r="H296" s="697">
        <v>0</v>
      </c>
      <c r="I296" s="697">
        <v>0</v>
      </c>
      <c r="J296" s="697">
        <v>0</v>
      </c>
      <c r="K296" s="697">
        <v>0</v>
      </c>
      <c r="L296" s="697">
        <v>0</v>
      </c>
      <c r="M296" s="697">
        <v>1</v>
      </c>
      <c r="N296" s="697">
        <v>1</v>
      </c>
      <c r="O296" s="697">
        <v>1</v>
      </c>
      <c r="P296" s="697">
        <v>1</v>
      </c>
      <c r="Q296" s="697">
        <v>1</v>
      </c>
      <c r="R296" s="697">
        <v>1</v>
      </c>
      <c r="S296" s="697">
        <v>1</v>
      </c>
      <c r="T296" s="697">
        <v>1</v>
      </c>
      <c r="U296" s="697">
        <v>1</v>
      </c>
      <c r="V296" s="697">
        <v>1</v>
      </c>
      <c r="W296" s="697">
        <v>1</v>
      </c>
      <c r="X296" s="697">
        <v>1</v>
      </c>
      <c r="Y296" s="697">
        <v>1</v>
      </c>
      <c r="Z296" s="697">
        <v>1</v>
      </c>
      <c r="AA296" s="697">
        <v>1</v>
      </c>
      <c r="AB296" s="697">
        <v>1</v>
      </c>
      <c r="AC296" s="698">
        <v>0</v>
      </c>
    </row>
    <row r="297" spans="1:29" x14ac:dyDescent="0.3">
      <c r="A297" s="968"/>
      <c r="B297" s="971"/>
      <c r="C297" s="940"/>
      <c r="D297" s="979"/>
      <c r="E297" s="683" t="s">
        <v>443</v>
      </c>
      <c r="F297" s="684">
        <v>0</v>
      </c>
      <c r="G297" s="684">
        <v>0</v>
      </c>
      <c r="H297" s="684">
        <v>0</v>
      </c>
      <c r="I297" s="684">
        <v>0</v>
      </c>
      <c r="J297" s="684">
        <v>0</v>
      </c>
      <c r="K297" s="684">
        <v>0</v>
      </c>
      <c r="L297" s="684">
        <v>0</v>
      </c>
      <c r="M297" s="684">
        <v>1</v>
      </c>
      <c r="N297" s="684">
        <v>1</v>
      </c>
      <c r="O297" s="684">
        <v>1</v>
      </c>
      <c r="P297" s="684">
        <v>1</v>
      </c>
      <c r="Q297" s="684">
        <v>1</v>
      </c>
      <c r="R297" s="684">
        <v>1</v>
      </c>
      <c r="S297" s="684">
        <v>1</v>
      </c>
      <c r="T297" s="684">
        <v>1</v>
      </c>
      <c r="U297" s="684">
        <v>1</v>
      </c>
      <c r="V297" s="684">
        <v>1</v>
      </c>
      <c r="W297" s="684">
        <v>1</v>
      </c>
      <c r="X297" s="684">
        <v>1</v>
      </c>
      <c r="Y297" s="684">
        <v>1</v>
      </c>
      <c r="Z297" s="684">
        <v>1</v>
      </c>
      <c r="AA297" s="684">
        <v>1</v>
      </c>
      <c r="AB297" s="684">
        <v>1</v>
      </c>
      <c r="AC297" s="692">
        <v>0</v>
      </c>
    </row>
    <row r="298" spans="1:29" x14ac:dyDescent="0.3">
      <c r="A298" s="969"/>
      <c r="B298" s="972"/>
      <c r="C298" s="965"/>
      <c r="D298" s="980"/>
      <c r="E298" s="693" t="s">
        <v>444</v>
      </c>
      <c r="F298" s="694">
        <v>0</v>
      </c>
      <c r="G298" s="694">
        <v>0</v>
      </c>
      <c r="H298" s="694">
        <v>0</v>
      </c>
      <c r="I298" s="694">
        <v>0</v>
      </c>
      <c r="J298" s="694">
        <v>0</v>
      </c>
      <c r="K298" s="694">
        <v>0</v>
      </c>
      <c r="L298" s="694">
        <v>0</v>
      </c>
      <c r="M298" s="694">
        <v>1</v>
      </c>
      <c r="N298" s="694">
        <v>1</v>
      </c>
      <c r="O298" s="694">
        <v>1</v>
      </c>
      <c r="P298" s="694">
        <v>1</v>
      </c>
      <c r="Q298" s="694">
        <v>1</v>
      </c>
      <c r="R298" s="694">
        <v>1</v>
      </c>
      <c r="S298" s="694">
        <v>1</v>
      </c>
      <c r="T298" s="694">
        <v>1</v>
      </c>
      <c r="U298" s="694">
        <v>1</v>
      </c>
      <c r="V298" s="694">
        <v>1</v>
      </c>
      <c r="W298" s="694">
        <v>1</v>
      </c>
      <c r="X298" s="694">
        <v>1</v>
      </c>
      <c r="Y298" s="694">
        <v>1</v>
      </c>
      <c r="Z298" s="694">
        <v>1</v>
      </c>
      <c r="AA298" s="694">
        <v>1</v>
      </c>
      <c r="AB298" s="694">
        <v>1</v>
      </c>
      <c r="AC298" s="695">
        <v>0</v>
      </c>
    </row>
    <row r="299" spans="1:29" x14ac:dyDescent="0.3">
      <c r="A299" s="967" t="str">
        <f>A287</f>
        <v>Basement zones except IDF</v>
      </c>
      <c r="B299" s="970" t="str">
        <f>B296</f>
        <v>Assembly</v>
      </c>
      <c r="C299" s="964" t="s">
        <v>711</v>
      </c>
      <c r="D299" s="978" t="str">
        <f>D296</f>
        <v>T24 2022 - Appendix 5.4B, [Assembly]</v>
      </c>
      <c r="E299" s="689" t="s">
        <v>442</v>
      </c>
      <c r="F299" s="690">
        <v>0</v>
      </c>
      <c r="G299" s="690">
        <v>0</v>
      </c>
      <c r="H299" s="690">
        <v>0</v>
      </c>
      <c r="I299" s="690">
        <v>0</v>
      </c>
      <c r="J299" s="690">
        <v>0</v>
      </c>
      <c r="K299" s="690">
        <v>0</v>
      </c>
      <c r="L299" s="690">
        <v>0</v>
      </c>
      <c r="M299" s="690">
        <v>0</v>
      </c>
      <c r="N299" s="690">
        <v>0</v>
      </c>
      <c r="O299" s="690">
        <v>0.05</v>
      </c>
      <c r="P299" s="690">
        <v>0.05</v>
      </c>
      <c r="Q299" s="690">
        <v>0.35</v>
      </c>
      <c r="R299" s="690">
        <v>0.05</v>
      </c>
      <c r="S299" s="690">
        <v>0.05</v>
      </c>
      <c r="T299" s="690">
        <v>0.05</v>
      </c>
      <c r="U299" s="690">
        <v>0.05</v>
      </c>
      <c r="V299" s="690">
        <v>0.05</v>
      </c>
      <c r="W299" s="690">
        <v>0</v>
      </c>
      <c r="X299" s="690">
        <v>0</v>
      </c>
      <c r="Y299" s="690">
        <v>0</v>
      </c>
      <c r="Z299" s="690">
        <v>0</v>
      </c>
      <c r="AA299" s="690">
        <v>0</v>
      </c>
      <c r="AB299" s="690">
        <v>0</v>
      </c>
      <c r="AC299" s="691">
        <v>0</v>
      </c>
    </row>
    <row r="300" spans="1:29" x14ac:dyDescent="0.3">
      <c r="A300" s="968"/>
      <c r="B300" s="971"/>
      <c r="C300" s="940"/>
      <c r="D300" s="979"/>
      <c r="E300" s="683" t="s">
        <v>443</v>
      </c>
      <c r="F300" s="684">
        <v>0</v>
      </c>
      <c r="G300" s="684">
        <v>0</v>
      </c>
      <c r="H300" s="684">
        <v>0</v>
      </c>
      <c r="I300" s="684">
        <v>0</v>
      </c>
      <c r="J300" s="684">
        <v>0</v>
      </c>
      <c r="K300" s="684">
        <v>0</v>
      </c>
      <c r="L300" s="684">
        <v>0</v>
      </c>
      <c r="M300" s="684">
        <v>0</v>
      </c>
      <c r="N300" s="684">
        <v>0</v>
      </c>
      <c r="O300" s="684">
        <v>0.05</v>
      </c>
      <c r="P300" s="684">
        <v>0.05</v>
      </c>
      <c r="Q300" s="684">
        <v>0.2</v>
      </c>
      <c r="R300" s="684">
        <v>0</v>
      </c>
      <c r="S300" s="684">
        <v>0</v>
      </c>
      <c r="T300" s="684">
        <v>0</v>
      </c>
      <c r="U300" s="684">
        <v>0</v>
      </c>
      <c r="V300" s="684">
        <v>0</v>
      </c>
      <c r="W300" s="684">
        <v>0</v>
      </c>
      <c r="X300" s="684">
        <v>0</v>
      </c>
      <c r="Y300" s="684">
        <v>0.65</v>
      </c>
      <c r="Z300" s="684">
        <v>0.3</v>
      </c>
      <c r="AA300" s="684">
        <v>0</v>
      </c>
      <c r="AB300" s="684">
        <v>0</v>
      </c>
      <c r="AC300" s="692">
        <v>0</v>
      </c>
    </row>
    <row r="301" spans="1:29" x14ac:dyDescent="0.3">
      <c r="A301" s="969"/>
      <c r="B301" s="972"/>
      <c r="C301" s="965"/>
      <c r="D301" s="980"/>
      <c r="E301" s="693" t="s">
        <v>444</v>
      </c>
      <c r="F301" s="694">
        <v>0</v>
      </c>
      <c r="G301" s="694">
        <v>0</v>
      </c>
      <c r="H301" s="694">
        <v>0</v>
      </c>
      <c r="I301" s="694">
        <v>0</v>
      </c>
      <c r="J301" s="694">
        <v>0</v>
      </c>
      <c r="K301" s="694">
        <v>0</v>
      </c>
      <c r="L301" s="694">
        <v>0</v>
      </c>
      <c r="M301" s="694">
        <v>0</v>
      </c>
      <c r="N301" s="694">
        <v>0</v>
      </c>
      <c r="O301" s="694">
        <v>0.05</v>
      </c>
      <c r="P301" s="694">
        <v>0.05</v>
      </c>
      <c r="Q301" s="694">
        <v>0.1</v>
      </c>
      <c r="R301" s="694">
        <v>0</v>
      </c>
      <c r="S301" s="694">
        <v>0</v>
      </c>
      <c r="T301" s="694">
        <v>0</v>
      </c>
      <c r="U301" s="694">
        <v>0</v>
      </c>
      <c r="V301" s="694">
        <v>0</v>
      </c>
      <c r="W301" s="694">
        <v>0</v>
      </c>
      <c r="X301" s="694">
        <v>0</v>
      </c>
      <c r="Y301" s="694">
        <v>0.65</v>
      </c>
      <c r="Z301" s="694">
        <v>0.3</v>
      </c>
      <c r="AA301" s="694">
        <v>0</v>
      </c>
      <c r="AB301" s="694">
        <v>0</v>
      </c>
      <c r="AC301" s="695">
        <v>0</v>
      </c>
    </row>
    <row r="302" spans="1:29" x14ac:dyDescent="0.3">
      <c r="A302" s="967" t="str">
        <f>A287</f>
        <v>Basement zones except IDF</v>
      </c>
      <c r="B302" s="970" t="str">
        <f t="shared" ref="B302" si="14">B299</f>
        <v>Assembly</v>
      </c>
      <c r="C302" s="964" t="s">
        <v>299</v>
      </c>
      <c r="D302" s="978" t="str">
        <f>D299</f>
        <v>T24 2022 - Appendix 5.4B, [Assembly]</v>
      </c>
      <c r="E302" s="689" t="s">
        <v>442</v>
      </c>
      <c r="F302" s="690">
        <v>1</v>
      </c>
      <c r="G302" s="690">
        <v>1</v>
      </c>
      <c r="H302" s="690">
        <v>1</v>
      </c>
      <c r="I302" s="690">
        <v>1</v>
      </c>
      <c r="J302" s="690">
        <v>1</v>
      </c>
      <c r="K302" s="690">
        <v>1</v>
      </c>
      <c r="L302" s="690">
        <v>1</v>
      </c>
      <c r="M302" s="690">
        <v>0.25</v>
      </c>
      <c r="N302" s="690">
        <v>0.25</v>
      </c>
      <c r="O302" s="690">
        <v>0.25</v>
      </c>
      <c r="P302" s="690">
        <v>0.25</v>
      </c>
      <c r="Q302" s="690">
        <v>0.25</v>
      </c>
      <c r="R302" s="690">
        <v>0.25</v>
      </c>
      <c r="S302" s="690">
        <v>0.25</v>
      </c>
      <c r="T302" s="690">
        <v>0.25</v>
      </c>
      <c r="U302" s="690">
        <v>0.25</v>
      </c>
      <c r="V302" s="690">
        <v>0.25</v>
      </c>
      <c r="W302" s="690">
        <v>0.25</v>
      </c>
      <c r="X302" s="690">
        <v>0.25</v>
      </c>
      <c r="Y302" s="690">
        <v>0.25</v>
      </c>
      <c r="Z302" s="690">
        <v>0.25</v>
      </c>
      <c r="AA302" s="690">
        <v>0.25</v>
      </c>
      <c r="AB302" s="690">
        <v>0.25</v>
      </c>
      <c r="AC302" s="691">
        <v>1</v>
      </c>
    </row>
    <row r="303" spans="1:29" x14ac:dyDescent="0.3">
      <c r="A303" s="968"/>
      <c r="B303" s="971"/>
      <c r="C303" s="940"/>
      <c r="D303" s="979"/>
      <c r="E303" s="683" t="s">
        <v>443</v>
      </c>
      <c r="F303" s="684">
        <v>1</v>
      </c>
      <c r="G303" s="684">
        <v>1</v>
      </c>
      <c r="H303" s="684">
        <v>1</v>
      </c>
      <c r="I303" s="684">
        <v>1</v>
      </c>
      <c r="J303" s="684">
        <v>1</v>
      </c>
      <c r="K303" s="684">
        <v>1</v>
      </c>
      <c r="L303" s="684">
        <v>1</v>
      </c>
      <c r="M303" s="684">
        <v>0.25</v>
      </c>
      <c r="N303" s="684">
        <v>0.25</v>
      </c>
      <c r="O303" s="684">
        <v>0.25</v>
      </c>
      <c r="P303" s="684">
        <v>0.25</v>
      </c>
      <c r="Q303" s="684">
        <v>0.25</v>
      </c>
      <c r="R303" s="684">
        <v>0.25</v>
      </c>
      <c r="S303" s="684">
        <v>0.25</v>
      </c>
      <c r="T303" s="684">
        <v>0.25</v>
      </c>
      <c r="U303" s="684">
        <v>0.25</v>
      </c>
      <c r="V303" s="684">
        <v>0.25</v>
      </c>
      <c r="W303" s="684">
        <v>0.25</v>
      </c>
      <c r="X303" s="684">
        <v>0.25</v>
      </c>
      <c r="Y303" s="684">
        <v>0.25</v>
      </c>
      <c r="Z303" s="684">
        <v>0.25</v>
      </c>
      <c r="AA303" s="684">
        <v>0.25</v>
      </c>
      <c r="AB303" s="684">
        <v>0.25</v>
      </c>
      <c r="AC303" s="692">
        <v>1</v>
      </c>
    </row>
    <row r="304" spans="1:29" x14ac:dyDescent="0.3">
      <c r="A304" s="969"/>
      <c r="B304" s="972"/>
      <c r="C304" s="941"/>
      <c r="D304" s="980"/>
      <c r="E304" s="699" t="s">
        <v>444</v>
      </c>
      <c r="F304" s="700">
        <v>1</v>
      </c>
      <c r="G304" s="700">
        <v>1</v>
      </c>
      <c r="H304" s="700">
        <v>1</v>
      </c>
      <c r="I304" s="700">
        <v>1</v>
      </c>
      <c r="J304" s="700">
        <v>1</v>
      </c>
      <c r="K304" s="700">
        <v>1</v>
      </c>
      <c r="L304" s="700">
        <v>1</v>
      </c>
      <c r="M304" s="700">
        <v>0.25</v>
      </c>
      <c r="N304" s="700">
        <v>0.25</v>
      </c>
      <c r="O304" s="700">
        <v>0.25</v>
      </c>
      <c r="P304" s="700">
        <v>0.25</v>
      </c>
      <c r="Q304" s="700">
        <v>0.25</v>
      </c>
      <c r="R304" s="700">
        <v>0.25</v>
      </c>
      <c r="S304" s="700">
        <v>0.25</v>
      </c>
      <c r="T304" s="700">
        <v>0.25</v>
      </c>
      <c r="U304" s="700">
        <v>0.25</v>
      </c>
      <c r="V304" s="700">
        <v>0.25</v>
      </c>
      <c r="W304" s="700">
        <v>0.25</v>
      </c>
      <c r="X304" s="700">
        <v>0.25</v>
      </c>
      <c r="Y304" s="700">
        <v>0.25</v>
      </c>
      <c r="Z304" s="700">
        <v>0.25</v>
      </c>
      <c r="AA304" s="700">
        <v>0.25</v>
      </c>
      <c r="AB304" s="700">
        <v>0.25</v>
      </c>
      <c r="AC304" s="701">
        <v>1</v>
      </c>
    </row>
    <row r="305" spans="1:29" x14ac:dyDescent="0.3">
      <c r="A305" s="967" t="s">
        <v>766</v>
      </c>
      <c r="B305" s="970" t="str">
        <f>B302</f>
        <v>Assembly</v>
      </c>
      <c r="C305" s="939" t="s">
        <v>712</v>
      </c>
      <c r="D305" s="978" t="str">
        <f t="shared" ref="D305" si="15">D302</f>
        <v>T24 2022 - Appendix 5.4B, [Assembly]</v>
      </c>
      <c r="E305" s="696" t="s">
        <v>442</v>
      </c>
      <c r="F305" s="697">
        <v>0</v>
      </c>
      <c r="G305" s="697">
        <v>0</v>
      </c>
      <c r="H305" s="697">
        <v>0</v>
      </c>
      <c r="I305" s="697">
        <v>0</v>
      </c>
      <c r="J305" s="697">
        <v>0</v>
      </c>
      <c r="K305" s="697">
        <v>0</v>
      </c>
      <c r="L305" s="697">
        <v>0</v>
      </c>
      <c r="M305" s="697">
        <v>0</v>
      </c>
      <c r="N305" s="697">
        <v>0.3</v>
      </c>
      <c r="O305" s="697">
        <v>0.3</v>
      </c>
      <c r="P305" s="697">
        <v>0.2</v>
      </c>
      <c r="Q305" s="697">
        <v>0.9</v>
      </c>
      <c r="R305" s="697">
        <v>0.9</v>
      </c>
      <c r="S305" s="697">
        <v>0.9</v>
      </c>
      <c r="T305" s="697">
        <v>0.2</v>
      </c>
      <c r="U305" s="697">
        <v>0.2</v>
      </c>
      <c r="V305" s="697">
        <v>0.2</v>
      </c>
      <c r="W305" s="697">
        <v>0.5</v>
      </c>
      <c r="X305" s="697">
        <v>0.5</v>
      </c>
      <c r="Y305" s="697">
        <v>0.1</v>
      </c>
      <c r="Z305" s="697">
        <v>0.1</v>
      </c>
      <c r="AA305" s="697">
        <v>0.1</v>
      </c>
      <c r="AB305" s="697">
        <v>0</v>
      </c>
      <c r="AC305" s="698">
        <v>0</v>
      </c>
    </row>
    <row r="306" spans="1:29" x14ac:dyDescent="0.3">
      <c r="A306" s="968"/>
      <c r="B306" s="971"/>
      <c r="C306" s="940"/>
      <c r="D306" s="979"/>
      <c r="E306" s="683" t="s">
        <v>443</v>
      </c>
      <c r="F306" s="684">
        <v>0</v>
      </c>
      <c r="G306" s="684">
        <v>0</v>
      </c>
      <c r="H306" s="684">
        <v>0</v>
      </c>
      <c r="I306" s="684">
        <v>0</v>
      </c>
      <c r="J306" s="684">
        <v>0</v>
      </c>
      <c r="K306" s="684">
        <v>0</v>
      </c>
      <c r="L306" s="684">
        <v>0</v>
      </c>
      <c r="M306" s="684">
        <v>0</v>
      </c>
      <c r="N306" s="684">
        <v>0.3</v>
      </c>
      <c r="O306" s="684">
        <v>0.3</v>
      </c>
      <c r="P306" s="684">
        <v>0.2</v>
      </c>
      <c r="Q306" s="684">
        <v>0.7</v>
      </c>
      <c r="R306" s="684">
        <v>0.7</v>
      </c>
      <c r="S306" s="684">
        <v>0.7</v>
      </c>
      <c r="T306" s="684">
        <v>0.2</v>
      </c>
      <c r="U306" s="684">
        <v>0.2</v>
      </c>
      <c r="V306" s="684">
        <v>0.2</v>
      </c>
      <c r="W306" s="684">
        <v>0.4</v>
      </c>
      <c r="X306" s="684">
        <v>0.4</v>
      </c>
      <c r="Y306" s="684">
        <v>0.1</v>
      </c>
      <c r="Z306" s="684">
        <v>0.1</v>
      </c>
      <c r="AA306" s="684">
        <v>0.1</v>
      </c>
      <c r="AB306" s="684">
        <v>0</v>
      </c>
      <c r="AC306" s="692">
        <v>0</v>
      </c>
    </row>
    <row r="307" spans="1:29" x14ac:dyDescent="0.3">
      <c r="A307" s="969"/>
      <c r="B307" s="972"/>
      <c r="C307" s="965"/>
      <c r="D307" s="980"/>
      <c r="E307" s="699" t="s">
        <v>444</v>
      </c>
      <c r="F307" s="700">
        <v>0</v>
      </c>
      <c r="G307" s="700">
        <v>0</v>
      </c>
      <c r="H307" s="700">
        <v>0</v>
      </c>
      <c r="I307" s="700">
        <v>0</v>
      </c>
      <c r="J307" s="700">
        <v>0</v>
      </c>
      <c r="K307" s="700">
        <v>0</v>
      </c>
      <c r="L307" s="700">
        <v>0</v>
      </c>
      <c r="M307" s="700">
        <v>0</v>
      </c>
      <c r="N307" s="700">
        <v>0.2</v>
      </c>
      <c r="O307" s="700">
        <v>0.2</v>
      </c>
      <c r="P307" s="700">
        <v>0.1</v>
      </c>
      <c r="Q307" s="700">
        <v>0.1</v>
      </c>
      <c r="R307" s="700">
        <v>0.3</v>
      </c>
      <c r="S307" s="700">
        <v>0.8</v>
      </c>
      <c r="T307" s="700">
        <v>0.2</v>
      </c>
      <c r="U307" s="700">
        <v>0.2</v>
      </c>
      <c r="V307" s="700">
        <v>0.2</v>
      </c>
      <c r="W307" s="700">
        <v>0.5</v>
      </c>
      <c r="X307" s="700">
        <v>0.5</v>
      </c>
      <c r="Y307" s="700">
        <v>0.1</v>
      </c>
      <c r="Z307" s="700">
        <v>0.1</v>
      </c>
      <c r="AA307" s="700">
        <v>0.1</v>
      </c>
      <c r="AB307" s="700">
        <v>0</v>
      </c>
      <c r="AC307" s="701">
        <v>0</v>
      </c>
    </row>
    <row r="308" spans="1:29" x14ac:dyDescent="0.3">
      <c r="A308" s="967" t="str">
        <f>A287</f>
        <v>Basement zones except IDF</v>
      </c>
      <c r="B308" s="970" t="str">
        <f>B305</f>
        <v>Assembly</v>
      </c>
      <c r="C308" s="981" t="s">
        <v>715</v>
      </c>
      <c r="D308" s="973" t="str">
        <f t="shared" ref="D308" si="16">D305</f>
        <v>T24 2022 - Appendix 5.4B, [Assembly]</v>
      </c>
      <c r="E308" s="716" t="s">
        <v>442</v>
      </c>
      <c r="F308" s="717">
        <f>IF((F296=1),Thermostat!$B$19,Thermostat!$B$20)</f>
        <v>60</v>
      </c>
      <c r="G308" s="717">
        <f>IF((G296=1),Thermostat!$B$19,Thermostat!$B$20)</f>
        <v>60</v>
      </c>
      <c r="H308" s="717">
        <f>IF((H296=1),Thermostat!$B$19,Thermostat!$B$20)</f>
        <v>60</v>
      </c>
      <c r="I308" s="717">
        <f>IF((I296=1),Thermostat!$B$19,Thermostat!$B$20)</f>
        <v>60</v>
      </c>
      <c r="J308" s="717">
        <f>IF((J296=1),Thermostat!$B$19,Thermostat!$B$20)</f>
        <v>60</v>
      </c>
      <c r="K308" s="717">
        <f>IF((K296=1),Thermostat!$B$19,Thermostat!$B$20)</f>
        <v>60</v>
      </c>
      <c r="L308" s="717">
        <f>IF((L296=1),Thermostat!$B$19,Thermostat!$B$20)</f>
        <v>60</v>
      </c>
      <c r="M308" s="717">
        <f>IF((M296=1),Thermostat!$B$19,Thermostat!$B$20)</f>
        <v>70</v>
      </c>
      <c r="N308" s="717">
        <f>IF((N296=1),Thermostat!$B$19,Thermostat!$B$20)</f>
        <v>70</v>
      </c>
      <c r="O308" s="717">
        <f>IF((O296=1),Thermostat!$B$19,Thermostat!$B$20)</f>
        <v>70</v>
      </c>
      <c r="P308" s="717">
        <f>IF((P296=1),Thermostat!$B$19,Thermostat!$B$20)</f>
        <v>70</v>
      </c>
      <c r="Q308" s="717">
        <f>IF((Q296=1),Thermostat!$B$19,Thermostat!$B$20)</f>
        <v>70</v>
      </c>
      <c r="R308" s="717">
        <f>IF((R296=1),Thermostat!$B$19,Thermostat!$B$20)</f>
        <v>70</v>
      </c>
      <c r="S308" s="717">
        <f>IF((S296=1),Thermostat!$B$19,Thermostat!$B$20)</f>
        <v>70</v>
      </c>
      <c r="T308" s="717">
        <f>IF((T296=1),Thermostat!$B$19,Thermostat!$B$20)</f>
        <v>70</v>
      </c>
      <c r="U308" s="717">
        <f>IF((U296=1),Thermostat!$B$19,Thermostat!$B$20)</f>
        <v>70</v>
      </c>
      <c r="V308" s="717">
        <f>IF((V296=1),Thermostat!$B$19,Thermostat!$B$20)</f>
        <v>70</v>
      </c>
      <c r="W308" s="717">
        <f>IF((W296=1),Thermostat!$B$19,Thermostat!$B$20)</f>
        <v>70</v>
      </c>
      <c r="X308" s="717">
        <f>IF((X296=1),Thermostat!$B$19,Thermostat!$B$20)</f>
        <v>70</v>
      </c>
      <c r="Y308" s="717">
        <f>IF((Y296=1),Thermostat!$B$19,Thermostat!$B$20)</f>
        <v>70</v>
      </c>
      <c r="Z308" s="717">
        <f>IF((Z296=1),Thermostat!$B$19,Thermostat!$B$20)</f>
        <v>70</v>
      </c>
      <c r="AA308" s="717">
        <f>IF((AA296=1),Thermostat!$B$19,Thermostat!$B$20)</f>
        <v>70</v>
      </c>
      <c r="AB308" s="717">
        <f>IF((AB296=1),Thermostat!$B$19,Thermostat!$B$20)</f>
        <v>70</v>
      </c>
      <c r="AC308" s="718">
        <f>IF((AC296=1),Thermostat!$B$19,Thermostat!$B$20)</f>
        <v>60</v>
      </c>
    </row>
    <row r="309" spans="1:29" x14ac:dyDescent="0.3">
      <c r="A309" s="968"/>
      <c r="B309" s="971"/>
      <c r="C309" s="971"/>
      <c r="D309" s="954"/>
      <c r="E309" s="719" t="s">
        <v>443</v>
      </c>
      <c r="F309" s="714">
        <f>IF((F297=1),Thermostat!$B$19,Thermostat!$B$20)</f>
        <v>60</v>
      </c>
      <c r="G309" s="714">
        <f>IF((G297=1),Thermostat!$B$19,Thermostat!$B$20)</f>
        <v>60</v>
      </c>
      <c r="H309" s="714">
        <f>IF((H297=1),Thermostat!$B$19,Thermostat!$B$20)</f>
        <v>60</v>
      </c>
      <c r="I309" s="714">
        <f>IF((I297=1),Thermostat!$B$19,Thermostat!$B$20)</f>
        <v>60</v>
      </c>
      <c r="J309" s="714">
        <f>IF((J297=1),Thermostat!$B$19,Thermostat!$B$20)</f>
        <v>60</v>
      </c>
      <c r="K309" s="714">
        <f>IF((K297=1),Thermostat!$B$19,Thermostat!$B$20)</f>
        <v>60</v>
      </c>
      <c r="L309" s="714">
        <f>IF((L297=1),Thermostat!$B$19,Thermostat!$B$20)</f>
        <v>60</v>
      </c>
      <c r="M309" s="714">
        <f>IF((M297=1),Thermostat!$B$19,Thermostat!$B$20)</f>
        <v>70</v>
      </c>
      <c r="N309" s="714">
        <f>IF((N297=1),Thermostat!$B$19,Thermostat!$B$20)</f>
        <v>70</v>
      </c>
      <c r="O309" s="714">
        <f>IF((O297=1),Thermostat!$B$19,Thermostat!$B$20)</f>
        <v>70</v>
      </c>
      <c r="P309" s="714">
        <f>IF((P297=1),Thermostat!$B$19,Thermostat!$B$20)</f>
        <v>70</v>
      </c>
      <c r="Q309" s="714">
        <f>IF((Q297=1),Thermostat!$B$19,Thermostat!$B$20)</f>
        <v>70</v>
      </c>
      <c r="R309" s="714">
        <f>IF((R297=1),Thermostat!$B$19,Thermostat!$B$20)</f>
        <v>70</v>
      </c>
      <c r="S309" s="714">
        <f>IF((S297=1),Thermostat!$B$19,Thermostat!$B$20)</f>
        <v>70</v>
      </c>
      <c r="T309" s="714">
        <f>IF((T297=1),Thermostat!$B$19,Thermostat!$B$20)</f>
        <v>70</v>
      </c>
      <c r="U309" s="714">
        <f>IF((U297=1),Thermostat!$B$19,Thermostat!$B$20)</f>
        <v>70</v>
      </c>
      <c r="V309" s="714">
        <f>IF((V297=1),Thermostat!$B$19,Thermostat!$B$20)</f>
        <v>70</v>
      </c>
      <c r="W309" s="714">
        <f>IF((W297=1),Thermostat!$B$19,Thermostat!$B$20)</f>
        <v>70</v>
      </c>
      <c r="X309" s="714">
        <f>IF((X297=1),Thermostat!$B$19,Thermostat!$B$20)</f>
        <v>70</v>
      </c>
      <c r="Y309" s="714">
        <f>IF((Y297=1),Thermostat!$B$19,Thermostat!$B$20)</f>
        <v>70</v>
      </c>
      <c r="Z309" s="714">
        <f>IF((Z297=1),Thermostat!$B$19,Thermostat!$B$20)</f>
        <v>70</v>
      </c>
      <c r="AA309" s="714">
        <f>IF((AA297=1),Thermostat!$B$19,Thermostat!$B$20)</f>
        <v>70</v>
      </c>
      <c r="AB309" s="714">
        <f>IF((AB297=1),Thermostat!$B$19,Thermostat!$B$20)</f>
        <v>70</v>
      </c>
      <c r="AC309" s="720">
        <f>IF((AC297=1),Thermostat!$B$19,Thermostat!$B$20)</f>
        <v>60</v>
      </c>
    </row>
    <row r="310" spans="1:29" x14ac:dyDescent="0.3">
      <c r="A310" s="969"/>
      <c r="B310" s="972"/>
      <c r="C310" s="982"/>
      <c r="D310" s="974"/>
      <c r="E310" s="721" t="s">
        <v>444</v>
      </c>
      <c r="F310" s="722">
        <f>IF((F298=1),Thermostat!$B$19,Thermostat!$B$20)</f>
        <v>60</v>
      </c>
      <c r="G310" s="722">
        <f>IF((G298=1),Thermostat!$B$19,Thermostat!$B$20)</f>
        <v>60</v>
      </c>
      <c r="H310" s="722">
        <f>IF((H298=1),Thermostat!$B$19,Thermostat!$B$20)</f>
        <v>60</v>
      </c>
      <c r="I310" s="722">
        <f>IF((I298=1),Thermostat!$B$19,Thermostat!$B$20)</f>
        <v>60</v>
      </c>
      <c r="J310" s="722">
        <f>IF((J298=1),Thermostat!$B$19,Thermostat!$B$20)</f>
        <v>60</v>
      </c>
      <c r="K310" s="722">
        <f>IF((K298=1),Thermostat!$B$19,Thermostat!$B$20)</f>
        <v>60</v>
      </c>
      <c r="L310" s="722">
        <f>IF((L298=1),Thermostat!$B$19,Thermostat!$B$20)</f>
        <v>60</v>
      </c>
      <c r="M310" s="722">
        <f>IF((M298=1),Thermostat!$B$19,Thermostat!$B$20)</f>
        <v>70</v>
      </c>
      <c r="N310" s="722">
        <f>IF((N298=1),Thermostat!$B$19,Thermostat!$B$20)</f>
        <v>70</v>
      </c>
      <c r="O310" s="722">
        <f>IF((O298=1),Thermostat!$B$19,Thermostat!$B$20)</f>
        <v>70</v>
      </c>
      <c r="P310" s="722">
        <f>IF((P298=1),Thermostat!$B$19,Thermostat!$B$20)</f>
        <v>70</v>
      </c>
      <c r="Q310" s="722">
        <f>IF((Q298=1),Thermostat!$B$19,Thermostat!$B$20)</f>
        <v>70</v>
      </c>
      <c r="R310" s="722">
        <f>IF((R298=1),Thermostat!$B$19,Thermostat!$B$20)</f>
        <v>70</v>
      </c>
      <c r="S310" s="722">
        <f>IF((S298=1),Thermostat!$B$19,Thermostat!$B$20)</f>
        <v>70</v>
      </c>
      <c r="T310" s="722">
        <f>IF((T298=1),Thermostat!$B$19,Thermostat!$B$20)</f>
        <v>70</v>
      </c>
      <c r="U310" s="722">
        <f>IF((U298=1),Thermostat!$B$19,Thermostat!$B$20)</f>
        <v>70</v>
      </c>
      <c r="V310" s="722">
        <f>IF((V298=1),Thermostat!$B$19,Thermostat!$B$20)</f>
        <v>70</v>
      </c>
      <c r="W310" s="722">
        <f>IF((W298=1),Thermostat!$B$19,Thermostat!$B$20)</f>
        <v>70</v>
      </c>
      <c r="X310" s="722">
        <f>IF((X298=1),Thermostat!$B$19,Thermostat!$B$20)</f>
        <v>70</v>
      </c>
      <c r="Y310" s="722">
        <f>IF((Y298=1),Thermostat!$B$19,Thermostat!$B$20)</f>
        <v>70</v>
      </c>
      <c r="Z310" s="722">
        <f>IF((Z298=1),Thermostat!$B$19,Thermostat!$B$20)</f>
        <v>70</v>
      </c>
      <c r="AA310" s="722">
        <f>IF((AA298=1),Thermostat!$B$19,Thermostat!$B$20)</f>
        <v>70</v>
      </c>
      <c r="AB310" s="722">
        <f>IF((AB298=1),Thermostat!$B$19,Thermostat!$B$20)</f>
        <v>70</v>
      </c>
      <c r="AC310" s="723">
        <f>IF((AC298=1),Thermostat!$B$19,Thermostat!$B$20)</f>
        <v>60</v>
      </c>
    </row>
    <row r="311" spans="1:29" x14ac:dyDescent="0.3">
      <c r="A311" s="967" t="str">
        <f>A287</f>
        <v>Basement zones except IDF</v>
      </c>
      <c r="B311" s="970" t="str">
        <f>B308</f>
        <v>Assembly</v>
      </c>
      <c r="C311" s="970" t="s">
        <v>716</v>
      </c>
      <c r="D311" s="973" t="str">
        <f t="shared" ref="D311" si="17">D308</f>
        <v>T24 2022 - Appendix 5.4B, [Assembly]</v>
      </c>
      <c r="E311" s="715" t="s">
        <v>442</v>
      </c>
      <c r="F311" s="776">
        <f>IF((F296=1),Thermostat!$B$21,Thermostat!$B$22)</f>
        <v>85</v>
      </c>
      <c r="G311" s="776">
        <f>IF((G296=1),Thermostat!$B$21,Thermostat!$B$22)</f>
        <v>85</v>
      </c>
      <c r="H311" s="776">
        <f>IF((H296=1),Thermostat!$B$21,Thermostat!$B$22)</f>
        <v>85</v>
      </c>
      <c r="I311" s="776">
        <f>IF((I296=1),Thermostat!$B$21,Thermostat!$B$22)</f>
        <v>85</v>
      </c>
      <c r="J311" s="776">
        <f>IF((J296=1),Thermostat!$B$21,Thermostat!$B$22)</f>
        <v>85</v>
      </c>
      <c r="K311" s="776">
        <f>IF((K296=1),Thermostat!$B$21,Thermostat!$B$22)</f>
        <v>85</v>
      </c>
      <c r="L311" s="776">
        <f>IF((L296=1),Thermostat!$B$21,Thermostat!$B$22)</f>
        <v>85</v>
      </c>
      <c r="M311" s="776">
        <f>IF((M296=1),Thermostat!$B$21,Thermostat!$B$22)</f>
        <v>75</v>
      </c>
      <c r="N311" s="776">
        <f>IF((N296=1),Thermostat!$B$21,Thermostat!$B$22)</f>
        <v>75</v>
      </c>
      <c r="O311" s="776">
        <f>IF((O296=1),Thermostat!$B$21,Thermostat!$B$22)</f>
        <v>75</v>
      </c>
      <c r="P311" s="776">
        <f>IF((P296=1),Thermostat!$B$21,Thermostat!$B$22)</f>
        <v>75</v>
      </c>
      <c r="Q311" s="776">
        <f>IF((Q296=1),Thermostat!$B$21,Thermostat!$B$22)</f>
        <v>75</v>
      </c>
      <c r="R311" s="776">
        <f>IF((R296=1),Thermostat!$B$21,Thermostat!$B$22)</f>
        <v>75</v>
      </c>
      <c r="S311" s="776">
        <f>IF((S296=1),Thermostat!$B$21,Thermostat!$B$22)</f>
        <v>75</v>
      </c>
      <c r="T311" s="776">
        <f>IF((T296=1),Thermostat!$B$21,Thermostat!$B$22)</f>
        <v>75</v>
      </c>
      <c r="U311" s="776">
        <f>IF((U296=1),Thermostat!$B$21,Thermostat!$B$22)</f>
        <v>75</v>
      </c>
      <c r="V311" s="776">
        <f>IF((V296=1),Thermostat!$B$21,Thermostat!$B$22)</f>
        <v>75</v>
      </c>
      <c r="W311" s="776">
        <f>IF((W296=1),Thermostat!$B$21,Thermostat!$B$22)</f>
        <v>75</v>
      </c>
      <c r="X311" s="776">
        <f>IF((X296=1),Thermostat!$B$21,Thermostat!$B$22)</f>
        <v>75</v>
      </c>
      <c r="Y311" s="776">
        <f>IF((Y296=1),Thermostat!$B$21,Thermostat!$B$22)</f>
        <v>75</v>
      </c>
      <c r="Z311" s="776">
        <f>IF((Z296=1),Thermostat!$B$21,Thermostat!$B$22)</f>
        <v>75</v>
      </c>
      <c r="AA311" s="776">
        <f>IF((AA296=1),Thermostat!$B$21,Thermostat!$B$22)</f>
        <v>75</v>
      </c>
      <c r="AB311" s="776">
        <f>IF((AB296=1),Thermostat!$B$21,Thermostat!$B$22)</f>
        <v>75</v>
      </c>
      <c r="AC311" s="710">
        <f>IF((AC296=1),Thermostat!$B$21,Thermostat!$B$22)</f>
        <v>85</v>
      </c>
    </row>
    <row r="312" spans="1:29" x14ac:dyDescent="0.3">
      <c r="A312" s="968"/>
      <c r="B312" s="971"/>
      <c r="C312" s="971"/>
      <c r="D312" s="954"/>
      <c r="E312" s="711" t="s">
        <v>443</v>
      </c>
      <c r="F312" s="776">
        <f>IF((F297=1),Thermostat!$B$21,Thermostat!$B$22)</f>
        <v>85</v>
      </c>
      <c r="G312" s="776">
        <f>IF((G297=1),Thermostat!$B$21,Thermostat!$B$22)</f>
        <v>85</v>
      </c>
      <c r="H312" s="776">
        <f>IF((H297=1),Thermostat!$B$21,Thermostat!$B$22)</f>
        <v>85</v>
      </c>
      <c r="I312" s="776">
        <f>IF((I297=1),Thermostat!$B$21,Thermostat!$B$22)</f>
        <v>85</v>
      </c>
      <c r="J312" s="776">
        <f>IF((J297=1),Thermostat!$B$21,Thermostat!$B$22)</f>
        <v>85</v>
      </c>
      <c r="K312" s="776">
        <f>IF((K297=1),Thermostat!$B$21,Thermostat!$B$22)</f>
        <v>85</v>
      </c>
      <c r="L312" s="776">
        <f>IF((L297=1),Thermostat!$B$21,Thermostat!$B$22)</f>
        <v>85</v>
      </c>
      <c r="M312" s="776">
        <f>IF((M297=1),Thermostat!$B$21,Thermostat!$B$22)</f>
        <v>75</v>
      </c>
      <c r="N312" s="776">
        <f>IF((N297=1),Thermostat!$B$21,Thermostat!$B$22)</f>
        <v>75</v>
      </c>
      <c r="O312" s="776">
        <f>IF((O297=1),Thermostat!$B$21,Thermostat!$B$22)</f>
        <v>75</v>
      </c>
      <c r="P312" s="776">
        <f>IF((P297=1),Thermostat!$B$21,Thermostat!$B$22)</f>
        <v>75</v>
      </c>
      <c r="Q312" s="776">
        <f>IF((Q297=1),Thermostat!$B$21,Thermostat!$B$22)</f>
        <v>75</v>
      </c>
      <c r="R312" s="776">
        <f>IF((R297=1),Thermostat!$B$21,Thermostat!$B$22)</f>
        <v>75</v>
      </c>
      <c r="S312" s="776">
        <f>IF((S297=1),Thermostat!$B$21,Thermostat!$B$22)</f>
        <v>75</v>
      </c>
      <c r="T312" s="776">
        <f>IF((T297=1),Thermostat!$B$21,Thermostat!$B$22)</f>
        <v>75</v>
      </c>
      <c r="U312" s="776">
        <f>IF((U297=1),Thermostat!$B$21,Thermostat!$B$22)</f>
        <v>75</v>
      </c>
      <c r="V312" s="776">
        <f>IF((V297=1),Thermostat!$B$21,Thermostat!$B$22)</f>
        <v>75</v>
      </c>
      <c r="W312" s="776">
        <f>IF((W297=1),Thermostat!$B$21,Thermostat!$B$22)</f>
        <v>75</v>
      </c>
      <c r="X312" s="776">
        <f>IF((X297=1),Thermostat!$B$21,Thermostat!$B$22)</f>
        <v>75</v>
      </c>
      <c r="Y312" s="776">
        <f>IF((Y297=1),Thermostat!$B$21,Thermostat!$B$22)</f>
        <v>75</v>
      </c>
      <c r="Z312" s="776">
        <f>IF((Z297=1),Thermostat!$B$21,Thermostat!$B$22)</f>
        <v>75</v>
      </c>
      <c r="AA312" s="776">
        <f>IF((AA297=1),Thermostat!$B$21,Thermostat!$B$22)</f>
        <v>75</v>
      </c>
      <c r="AB312" s="776">
        <f>IF((AB297=1),Thermostat!$B$21,Thermostat!$B$22)</f>
        <v>75</v>
      </c>
      <c r="AC312" s="710">
        <f>IF((AC297=1),Thermostat!$B$21,Thermostat!$B$22)</f>
        <v>85</v>
      </c>
    </row>
    <row r="313" spans="1:29" x14ac:dyDescent="0.3">
      <c r="A313" s="969"/>
      <c r="B313" s="972"/>
      <c r="C313" s="972"/>
      <c r="D313" s="974"/>
      <c r="E313" s="712" t="s">
        <v>444</v>
      </c>
      <c r="F313" s="775">
        <f>IF((F298=1),Thermostat!$B$21,Thermostat!$B$22)</f>
        <v>85</v>
      </c>
      <c r="G313" s="775">
        <f>IF((G298=1),Thermostat!$B$21,Thermostat!$B$22)</f>
        <v>85</v>
      </c>
      <c r="H313" s="775">
        <f>IF((H298=1),Thermostat!$B$21,Thermostat!$B$22)</f>
        <v>85</v>
      </c>
      <c r="I313" s="775">
        <f>IF((I298=1),Thermostat!$B$21,Thermostat!$B$22)</f>
        <v>85</v>
      </c>
      <c r="J313" s="775">
        <f>IF((J298=1),Thermostat!$B$21,Thermostat!$B$22)</f>
        <v>85</v>
      </c>
      <c r="K313" s="775">
        <f>IF((K298=1),Thermostat!$B$21,Thermostat!$B$22)</f>
        <v>85</v>
      </c>
      <c r="L313" s="775">
        <f>IF((L298=1),Thermostat!$B$21,Thermostat!$B$22)</f>
        <v>85</v>
      </c>
      <c r="M313" s="775">
        <f>IF((M298=1),Thermostat!$B$21,Thermostat!$B$22)</f>
        <v>75</v>
      </c>
      <c r="N313" s="775">
        <f>IF((N298=1),Thermostat!$B$21,Thermostat!$B$22)</f>
        <v>75</v>
      </c>
      <c r="O313" s="775">
        <f>IF((O298=1),Thermostat!$B$21,Thermostat!$B$22)</f>
        <v>75</v>
      </c>
      <c r="P313" s="775">
        <f>IF((P298=1),Thermostat!$B$21,Thermostat!$B$22)</f>
        <v>75</v>
      </c>
      <c r="Q313" s="775">
        <f>IF((Q298=1),Thermostat!$B$21,Thermostat!$B$22)</f>
        <v>75</v>
      </c>
      <c r="R313" s="775">
        <f>IF((R298=1),Thermostat!$B$21,Thermostat!$B$22)</f>
        <v>75</v>
      </c>
      <c r="S313" s="775">
        <f>IF((S298=1),Thermostat!$B$21,Thermostat!$B$22)</f>
        <v>75</v>
      </c>
      <c r="T313" s="775">
        <f>IF((T298=1),Thermostat!$B$21,Thermostat!$B$22)</f>
        <v>75</v>
      </c>
      <c r="U313" s="775">
        <f>IF((U298=1),Thermostat!$B$21,Thermostat!$B$22)</f>
        <v>75</v>
      </c>
      <c r="V313" s="775">
        <f>IF((V298=1),Thermostat!$B$21,Thermostat!$B$22)</f>
        <v>75</v>
      </c>
      <c r="W313" s="775">
        <f>IF((W298=1),Thermostat!$B$21,Thermostat!$B$22)</f>
        <v>75</v>
      </c>
      <c r="X313" s="775">
        <f>IF((X298=1),Thermostat!$B$21,Thermostat!$B$22)</f>
        <v>75</v>
      </c>
      <c r="Y313" s="775">
        <f>IF((Y298=1),Thermostat!$B$21,Thermostat!$B$22)</f>
        <v>75</v>
      </c>
      <c r="Z313" s="775">
        <f>IF((Z298=1),Thermostat!$B$21,Thermostat!$B$22)</f>
        <v>75</v>
      </c>
      <c r="AA313" s="775">
        <f>IF((AA298=1),Thermostat!$B$21,Thermostat!$B$22)</f>
        <v>75</v>
      </c>
      <c r="AB313" s="775">
        <f>IF((AB298=1),Thermostat!$B$21,Thermostat!$B$22)</f>
        <v>75</v>
      </c>
      <c r="AC313" s="713">
        <f>IF((AC298=1),Thermostat!$B$21,Thermostat!$B$22)</f>
        <v>85</v>
      </c>
    </row>
    <row r="314" spans="1:29" ht="13.2" x14ac:dyDescent="0.3">
      <c r="A314" s="975" t="s">
        <v>140</v>
      </c>
      <c r="B314" s="976"/>
      <c r="C314" s="976"/>
      <c r="D314" s="976"/>
      <c r="E314" s="976"/>
      <c r="F314" s="976"/>
      <c r="G314" s="976"/>
      <c r="H314" s="976"/>
      <c r="I314" s="976"/>
      <c r="J314" s="976"/>
      <c r="K314" s="976"/>
      <c r="L314" s="976"/>
      <c r="M314" s="976"/>
      <c r="N314" s="976"/>
      <c r="O314" s="976"/>
      <c r="P314" s="976"/>
      <c r="Q314" s="976"/>
      <c r="R314" s="976"/>
      <c r="S314" s="976"/>
      <c r="T314" s="976"/>
      <c r="U314" s="976"/>
      <c r="V314" s="976"/>
      <c r="W314" s="976"/>
      <c r="X314" s="976"/>
      <c r="Y314" s="976"/>
      <c r="Z314" s="976"/>
      <c r="AA314" s="976"/>
      <c r="AB314" s="976"/>
      <c r="AC314" s="977"/>
    </row>
    <row r="315" spans="1:29" x14ac:dyDescent="0.3">
      <c r="A315" s="934" t="s">
        <v>767</v>
      </c>
      <c r="B315" s="937" t="s">
        <v>140</v>
      </c>
      <c r="C315" s="956" t="s">
        <v>707</v>
      </c>
      <c r="D315" s="957" t="s">
        <v>768</v>
      </c>
      <c r="E315" s="724" t="s">
        <v>442</v>
      </c>
      <c r="F315" s="725">
        <v>0</v>
      </c>
      <c r="G315" s="725">
        <v>0</v>
      </c>
      <c r="H315" s="725">
        <v>0</v>
      </c>
      <c r="I315" s="725">
        <v>0</v>
      </c>
      <c r="J315" s="725">
        <v>0.05</v>
      </c>
      <c r="K315" s="725">
        <v>0.1</v>
      </c>
      <c r="L315" s="725">
        <v>0.25</v>
      </c>
      <c r="M315" s="725">
        <v>0.65</v>
      </c>
      <c r="N315" s="725">
        <v>0.65</v>
      </c>
      <c r="O315" s="725">
        <v>0.65</v>
      </c>
      <c r="P315" s="725">
        <v>0.65</v>
      </c>
      <c r="Q315" s="725">
        <v>0.6</v>
      </c>
      <c r="R315" s="725">
        <v>0.6</v>
      </c>
      <c r="S315" s="725">
        <v>0.65</v>
      </c>
      <c r="T315" s="725">
        <v>0.65</v>
      </c>
      <c r="U315" s="725">
        <v>0.65</v>
      </c>
      <c r="V315" s="725">
        <v>0.65</v>
      </c>
      <c r="W315" s="725">
        <v>0.4</v>
      </c>
      <c r="X315" s="725">
        <v>0.25</v>
      </c>
      <c r="Y315" s="725">
        <v>0.1</v>
      </c>
      <c r="Z315" s="725">
        <v>0.05</v>
      </c>
      <c r="AA315" s="725">
        <v>0.05</v>
      </c>
      <c r="AB315" s="725">
        <v>0.05</v>
      </c>
      <c r="AC315" s="726">
        <v>0</v>
      </c>
    </row>
    <row r="316" spans="1:29" x14ac:dyDescent="0.3">
      <c r="A316" s="935"/>
      <c r="B316" s="938"/>
      <c r="C316" s="940"/>
      <c r="D316" s="943"/>
      <c r="E316" s="727" t="s">
        <v>443</v>
      </c>
      <c r="F316" s="728">
        <v>0</v>
      </c>
      <c r="G316" s="728">
        <v>0</v>
      </c>
      <c r="H316" s="728">
        <v>0</v>
      </c>
      <c r="I316" s="728">
        <v>0</v>
      </c>
      <c r="J316" s="728">
        <v>0</v>
      </c>
      <c r="K316" s="728">
        <v>0</v>
      </c>
      <c r="L316" s="729">
        <v>0</v>
      </c>
      <c r="M316" s="729">
        <v>0.05</v>
      </c>
      <c r="N316" s="729">
        <v>0.05</v>
      </c>
      <c r="O316" s="729">
        <v>0.05</v>
      </c>
      <c r="P316" s="729">
        <v>0.05</v>
      </c>
      <c r="Q316" s="729">
        <v>0.05</v>
      </c>
      <c r="R316" s="729">
        <v>0.05</v>
      </c>
      <c r="S316" s="729">
        <v>0.05</v>
      </c>
      <c r="T316" s="729">
        <v>0.05</v>
      </c>
      <c r="U316" s="729">
        <v>0.05</v>
      </c>
      <c r="V316" s="729">
        <v>0.05</v>
      </c>
      <c r="W316" s="729">
        <v>0.05</v>
      </c>
      <c r="X316" s="728">
        <v>0.05</v>
      </c>
      <c r="Y316" s="728">
        <v>0.05</v>
      </c>
      <c r="Z316" s="728">
        <v>0</v>
      </c>
      <c r="AA316" s="728">
        <v>0</v>
      </c>
      <c r="AB316" s="728">
        <v>0</v>
      </c>
      <c r="AC316" s="730">
        <v>0</v>
      </c>
    </row>
    <row r="317" spans="1:29" x14ac:dyDescent="0.3">
      <c r="A317" s="936"/>
      <c r="B317" s="938"/>
      <c r="C317" s="941"/>
      <c r="D317" s="944"/>
      <c r="E317" s="731" t="s">
        <v>444</v>
      </c>
      <c r="F317" s="729">
        <v>0</v>
      </c>
      <c r="G317" s="729">
        <v>0</v>
      </c>
      <c r="H317" s="729">
        <v>0</v>
      </c>
      <c r="I317" s="729">
        <v>0</v>
      </c>
      <c r="J317" s="729">
        <v>0</v>
      </c>
      <c r="K317" s="729">
        <v>0</v>
      </c>
      <c r="L317" s="729">
        <v>0</v>
      </c>
      <c r="M317" s="729">
        <v>0.05</v>
      </c>
      <c r="N317" s="729">
        <v>0.05</v>
      </c>
      <c r="O317" s="729">
        <v>0.05</v>
      </c>
      <c r="P317" s="729">
        <v>0.05</v>
      </c>
      <c r="Q317" s="729">
        <v>0.05</v>
      </c>
      <c r="R317" s="729">
        <v>0.05</v>
      </c>
      <c r="S317" s="729">
        <v>0.05</v>
      </c>
      <c r="T317" s="729">
        <v>0.05</v>
      </c>
      <c r="U317" s="729">
        <v>0.05</v>
      </c>
      <c r="V317" s="729">
        <v>0.05</v>
      </c>
      <c r="W317" s="729">
        <v>0.05</v>
      </c>
      <c r="X317" s="729">
        <v>0.05</v>
      </c>
      <c r="Y317" s="729">
        <v>0.05</v>
      </c>
      <c r="Z317" s="729">
        <v>0</v>
      </c>
      <c r="AA317" s="729">
        <v>0</v>
      </c>
      <c r="AB317" s="729">
        <v>0</v>
      </c>
      <c r="AC317" s="732">
        <v>0</v>
      </c>
    </row>
    <row r="318" spans="1:29" x14ac:dyDescent="0.3">
      <c r="A318" s="934" t="str">
        <f>A315</f>
        <v>IT room</v>
      </c>
      <c r="B318" s="937" t="str">
        <f>B315</f>
        <v>Data</v>
      </c>
      <c r="C318" s="956" t="s">
        <v>709</v>
      </c>
      <c r="D318" s="957" t="s">
        <v>768</v>
      </c>
      <c r="E318" s="680" t="s">
        <v>442</v>
      </c>
      <c r="F318" s="725">
        <v>0.05</v>
      </c>
      <c r="G318" s="725">
        <v>0.05</v>
      </c>
      <c r="H318" s="725">
        <v>0.05</v>
      </c>
      <c r="I318" s="725">
        <v>0.05</v>
      </c>
      <c r="J318" s="725">
        <v>0.1</v>
      </c>
      <c r="K318" s="725">
        <v>0.2</v>
      </c>
      <c r="L318" s="725">
        <v>0.4</v>
      </c>
      <c r="M318" s="725">
        <v>0.7</v>
      </c>
      <c r="N318" s="725">
        <v>0.8</v>
      </c>
      <c r="O318" s="725">
        <v>0.85</v>
      </c>
      <c r="P318" s="725">
        <v>0.85</v>
      </c>
      <c r="Q318" s="725">
        <v>0.85</v>
      </c>
      <c r="R318" s="725">
        <v>0.85</v>
      </c>
      <c r="S318" s="725">
        <v>0.85</v>
      </c>
      <c r="T318" s="725">
        <v>0.85</v>
      </c>
      <c r="U318" s="725">
        <v>0.85</v>
      </c>
      <c r="V318" s="725">
        <v>0.85</v>
      </c>
      <c r="W318" s="725">
        <v>0.8</v>
      </c>
      <c r="X318" s="725">
        <v>0.35</v>
      </c>
      <c r="Y318" s="725">
        <v>0.1</v>
      </c>
      <c r="Z318" s="725">
        <v>0.1</v>
      </c>
      <c r="AA318" s="725">
        <v>0.1</v>
      </c>
      <c r="AB318" s="725">
        <v>0.1</v>
      </c>
      <c r="AC318" s="726">
        <v>0.1</v>
      </c>
    </row>
    <row r="319" spans="1:29" x14ac:dyDescent="0.3">
      <c r="A319" s="935"/>
      <c r="B319" s="938"/>
      <c r="C319" s="940"/>
      <c r="D319" s="943"/>
      <c r="E319" s="683" t="s">
        <v>443</v>
      </c>
      <c r="F319" s="728">
        <v>0.05</v>
      </c>
      <c r="G319" s="728">
        <v>0.05</v>
      </c>
      <c r="H319" s="728">
        <v>0.05</v>
      </c>
      <c r="I319" s="728">
        <v>0.05</v>
      </c>
      <c r="J319" s="728">
        <v>0.05</v>
      </c>
      <c r="K319" s="728">
        <v>0.1</v>
      </c>
      <c r="L319" s="728">
        <v>0.1</v>
      </c>
      <c r="M319" s="728">
        <v>0.15</v>
      </c>
      <c r="N319" s="728">
        <v>0.15</v>
      </c>
      <c r="O319" s="728">
        <v>0.15</v>
      </c>
      <c r="P319" s="728">
        <v>0.15</v>
      </c>
      <c r="Q319" s="728">
        <v>0.15</v>
      </c>
      <c r="R319" s="728">
        <v>0.15</v>
      </c>
      <c r="S319" s="728">
        <v>0.15</v>
      </c>
      <c r="T319" s="728">
        <v>0.15</v>
      </c>
      <c r="U319" s="728">
        <v>0.15</v>
      </c>
      <c r="V319" s="728">
        <v>0.15</v>
      </c>
      <c r="W319" s="728">
        <v>0.1</v>
      </c>
      <c r="X319" s="728">
        <v>0.1</v>
      </c>
      <c r="Y319" s="728">
        <v>0.1</v>
      </c>
      <c r="Z319" s="728">
        <v>0.05</v>
      </c>
      <c r="AA319" s="728">
        <v>0.05</v>
      </c>
      <c r="AB319" s="728">
        <v>0.05</v>
      </c>
      <c r="AC319" s="730">
        <v>0.05</v>
      </c>
    </row>
    <row r="320" spans="1:29" x14ac:dyDescent="0.3">
      <c r="A320" s="936"/>
      <c r="B320" s="938"/>
      <c r="C320" s="941"/>
      <c r="D320" s="944"/>
      <c r="E320" s="686" t="s">
        <v>444</v>
      </c>
      <c r="F320" s="733">
        <v>0.05</v>
      </c>
      <c r="G320" s="733">
        <v>0.05</v>
      </c>
      <c r="H320" s="733">
        <v>0.05</v>
      </c>
      <c r="I320" s="733">
        <v>0.05</v>
      </c>
      <c r="J320" s="733">
        <v>0.05</v>
      </c>
      <c r="K320" s="733">
        <v>0.1</v>
      </c>
      <c r="L320" s="734">
        <v>0.1</v>
      </c>
      <c r="M320" s="734">
        <v>0.15</v>
      </c>
      <c r="N320" s="734">
        <v>0.15</v>
      </c>
      <c r="O320" s="734">
        <v>0.15</v>
      </c>
      <c r="P320" s="734">
        <v>0.15</v>
      </c>
      <c r="Q320" s="734">
        <v>0.15</v>
      </c>
      <c r="R320" s="734">
        <v>0.15</v>
      </c>
      <c r="S320" s="734">
        <v>0.15</v>
      </c>
      <c r="T320" s="734">
        <v>0.15</v>
      </c>
      <c r="U320" s="734">
        <v>0.15</v>
      </c>
      <c r="V320" s="734">
        <v>0.15</v>
      </c>
      <c r="W320" s="734">
        <v>0.1</v>
      </c>
      <c r="X320" s="733">
        <v>0.1</v>
      </c>
      <c r="Y320" s="733">
        <v>0.1</v>
      </c>
      <c r="Z320" s="734">
        <v>0.05</v>
      </c>
      <c r="AA320" s="734">
        <v>0.05</v>
      </c>
      <c r="AB320" s="734">
        <v>0.05</v>
      </c>
      <c r="AC320" s="735">
        <v>0.05</v>
      </c>
    </row>
    <row r="321" spans="1:29" x14ac:dyDescent="0.3">
      <c r="A321" s="934" t="str">
        <f>A315</f>
        <v>IT room</v>
      </c>
      <c r="B321" s="937" t="str">
        <f>B315</f>
        <v>Data</v>
      </c>
      <c r="C321" s="956" t="s">
        <v>714</v>
      </c>
      <c r="D321" s="942" t="s">
        <v>769</v>
      </c>
      <c r="E321" s="689" t="s">
        <v>442</v>
      </c>
      <c r="F321" s="736">
        <v>1</v>
      </c>
      <c r="G321" s="736">
        <v>1</v>
      </c>
      <c r="H321" s="736">
        <v>1</v>
      </c>
      <c r="I321" s="736">
        <v>1</v>
      </c>
      <c r="J321" s="736">
        <v>1</v>
      </c>
      <c r="K321" s="736">
        <v>1</v>
      </c>
      <c r="L321" s="736">
        <v>1</v>
      </c>
      <c r="M321" s="736">
        <v>1</v>
      </c>
      <c r="N321" s="736">
        <v>1</v>
      </c>
      <c r="O321" s="736">
        <v>1</v>
      </c>
      <c r="P321" s="736">
        <v>1</v>
      </c>
      <c r="Q321" s="736">
        <v>1</v>
      </c>
      <c r="R321" s="736">
        <v>1</v>
      </c>
      <c r="S321" s="736">
        <v>1</v>
      </c>
      <c r="T321" s="736">
        <v>1</v>
      </c>
      <c r="U321" s="736">
        <v>1</v>
      </c>
      <c r="V321" s="736">
        <v>1</v>
      </c>
      <c r="W321" s="736">
        <v>1</v>
      </c>
      <c r="X321" s="736">
        <v>1</v>
      </c>
      <c r="Y321" s="736">
        <v>1</v>
      </c>
      <c r="Z321" s="736">
        <v>1</v>
      </c>
      <c r="AA321" s="736">
        <v>1</v>
      </c>
      <c r="AB321" s="736">
        <v>1</v>
      </c>
      <c r="AC321" s="737">
        <v>1</v>
      </c>
    </row>
    <row r="322" spans="1:29" x14ac:dyDescent="0.3">
      <c r="A322" s="935"/>
      <c r="B322" s="938"/>
      <c r="C322" s="940"/>
      <c r="D322" s="943"/>
      <c r="E322" s="683" t="s">
        <v>443</v>
      </c>
      <c r="F322" s="728">
        <v>1</v>
      </c>
      <c r="G322" s="728">
        <v>1</v>
      </c>
      <c r="H322" s="728">
        <v>1</v>
      </c>
      <c r="I322" s="728">
        <v>1</v>
      </c>
      <c r="J322" s="728">
        <v>1</v>
      </c>
      <c r="K322" s="728">
        <v>1</v>
      </c>
      <c r="L322" s="728">
        <v>1</v>
      </c>
      <c r="M322" s="728">
        <v>1</v>
      </c>
      <c r="N322" s="728">
        <v>1</v>
      </c>
      <c r="O322" s="728">
        <v>1</v>
      </c>
      <c r="P322" s="728">
        <v>1</v>
      </c>
      <c r="Q322" s="728">
        <v>1</v>
      </c>
      <c r="R322" s="728">
        <v>1</v>
      </c>
      <c r="S322" s="728">
        <v>1</v>
      </c>
      <c r="T322" s="728">
        <v>1</v>
      </c>
      <c r="U322" s="728">
        <v>1</v>
      </c>
      <c r="V322" s="728">
        <v>1</v>
      </c>
      <c r="W322" s="728">
        <v>1</v>
      </c>
      <c r="X322" s="728">
        <v>1</v>
      </c>
      <c r="Y322" s="728">
        <v>1</v>
      </c>
      <c r="Z322" s="728">
        <v>1</v>
      </c>
      <c r="AA322" s="728">
        <v>1</v>
      </c>
      <c r="AB322" s="728">
        <v>1</v>
      </c>
      <c r="AC322" s="730">
        <v>1</v>
      </c>
    </row>
    <row r="323" spans="1:29" x14ac:dyDescent="0.3">
      <c r="A323" s="958"/>
      <c r="B323" s="959"/>
      <c r="C323" s="960"/>
      <c r="D323" s="961"/>
      <c r="E323" s="693" t="s">
        <v>444</v>
      </c>
      <c r="F323" s="733">
        <v>1</v>
      </c>
      <c r="G323" s="733">
        <v>1</v>
      </c>
      <c r="H323" s="733">
        <v>1</v>
      </c>
      <c r="I323" s="733">
        <v>1</v>
      </c>
      <c r="J323" s="733">
        <v>1</v>
      </c>
      <c r="K323" s="733">
        <v>1</v>
      </c>
      <c r="L323" s="733">
        <v>1</v>
      </c>
      <c r="M323" s="733">
        <v>1</v>
      </c>
      <c r="N323" s="733">
        <v>1</v>
      </c>
      <c r="O323" s="733">
        <v>1</v>
      </c>
      <c r="P323" s="733">
        <v>1</v>
      </c>
      <c r="Q323" s="733">
        <v>1</v>
      </c>
      <c r="R323" s="733">
        <v>1</v>
      </c>
      <c r="S323" s="733">
        <v>1</v>
      </c>
      <c r="T323" s="733">
        <v>1</v>
      </c>
      <c r="U323" s="733">
        <v>1</v>
      </c>
      <c r="V323" s="733">
        <v>1</v>
      </c>
      <c r="W323" s="733">
        <v>1</v>
      </c>
      <c r="X323" s="733">
        <v>1</v>
      </c>
      <c r="Y323" s="733">
        <v>1</v>
      </c>
      <c r="Z323" s="733">
        <v>1</v>
      </c>
      <c r="AA323" s="733">
        <v>1</v>
      </c>
      <c r="AB323" s="733">
        <v>1</v>
      </c>
      <c r="AC323" s="738">
        <v>1</v>
      </c>
    </row>
    <row r="324" spans="1:29" x14ac:dyDescent="0.3">
      <c r="A324" s="962" t="str">
        <f>A315</f>
        <v>IT room</v>
      </c>
      <c r="B324" s="938" t="str">
        <f>B315</f>
        <v>Data</v>
      </c>
      <c r="C324" s="964" t="s">
        <v>711</v>
      </c>
      <c r="D324" s="966" t="s">
        <v>770</v>
      </c>
      <c r="E324" s="689" t="s">
        <v>442</v>
      </c>
      <c r="F324" s="690">
        <v>0</v>
      </c>
      <c r="G324" s="690">
        <v>0</v>
      </c>
      <c r="H324" s="690">
        <v>0</v>
      </c>
      <c r="I324" s="690">
        <v>0</v>
      </c>
      <c r="J324" s="690">
        <v>0.1</v>
      </c>
      <c r="K324" s="690">
        <v>0.1</v>
      </c>
      <c r="L324" s="690">
        <v>0.5</v>
      </c>
      <c r="M324" s="690">
        <v>0.5</v>
      </c>
      <c r="N324" s="690">
        <v>0.5</v>
      </c>
      <c r="O324" s="690">
        <v>0.5</v>
      </c>
      <c r="P324" s="690">
        <v>0.7</v>
      </c>
      <c r="Q324" s="690">
        <v>0.9</v>
      </c>
      <c r="R324" s="690">
        <v>0.9</v>
      </c>
      <c r="S324" s="690">
        <v>0.5</v>
      </c>
      <c r="T324" s="690">
        <v>0.5</v>
      </c>
      <c r="U324" s="690">
        <v>0.7</v>
      </c>
      <c r="V324" s="690">
        <v>0.5</v>
      </c>
      <c r="W324" s="690">
        <v>0.5</v>
      </c>
      <c r="X324" s="690">
        <v>0.5</v>
      </c>
      <c r="Y324" s="690">
        <v>0.1</v>
      </c>
      <c r="Z324" s="690">
        <v>0.1</v>
      </c>
      <c r="AA324" s="690">
        <v>0.1</v>
      </c>
      <c r="AB324" s="690">
        <v>0.1</v>
      </c>
      <c r="AC324" s="691">
        <v>0</v>
      </c>
    </row>
    <row r="325" spans="1:29" x14ac:dyDescent="0.3">
      <c r="A325" s="935"/>
      <c r="B325" s="938"/>
      <c r="C325" s="940"/>
      <c r="D325" s="943"/>
      <c r="E325" s="683" t="s">
        <v>443</v>
      </c>
      <c r="F325" s="684">
        <v>0</v>
      </c>
      <c r="G325" s="684">
        <v>0</v>
      </c>
      <c r="H325" s="684">
        <v>0</v>
      </c>
      <c r="I325" s="684">
        <v>0</v>
      </c>
      <c r="J325" s="684">
        <v>0</v>
      </c>
      <c r="K325" s="684">
        <v>0</v>
      </c>
      <c r="L325" s="684">
        <v>0</v>
      </c>
      <c r="M325" s="684">
        <v>0</v>
      </c>
      <c r="N325" s="684">
        <v>0</v>
      </c>
      <c r="O325" s="684">
        <v>0</v>
      </c>
      <c r="P325" s="684">
        <v>0</v>
      </c>
      <c r="Q325" s="684">
        <v>0</v>
      </c>
      <c r="R325" s="684">
        <v>0</v>
      </c>
      <c r="S325" s="684">
        <v>0</v>
      </c>
      <c r="T325" s="684">
        <v>0</v>
      </c>
      <c r="U325" s="684">
        <v>0</v>
      </c>
      <c r="V325" s="684">
        <v>0</v>
      </c>
      <c r="W325" s="684">
        <v>0</v>
      </c>
      <c r="X325" s="684">
        <v>0</v>
      </c>
      <c r="Y325" s="684">
        <v>0</v>
      </c>
      <c r="Z325" s="684">
        <v>0</v>
      </c>
      <c r="AA325" s="684">
        <v>0</v>
      </c>
      <c r="AB325" s="684">
        <v>0</v>
      </c>
      <c r="AC325" s="692">
        <v>0</v>
      </c>
    </row>
    <row r="326" spans="1:29" x14ac:dyDescent="0.3">
      <c r="A326" s="936"/>
      <c r="B326" s="963"/>
      <c r="C326" s="965"/>
      <c r="D326" s="944"/>
      <c r="E326" s="693" t="s">
        <v>444</v>
      </c>
      <c r="F326" s="694">
        <v>0</v>
      </c>
      <c r="G326" s="694">
        <v>0</v>
      </c>
      <c r="H326" s="694">
        <v>0</v>
      </c>
      <c r="I326" s="694">
        <v>0</v>
      </c>
      <c r="J326" s="694">
        <v>0</v>
      </c>
      <c r="K326" s="694">
        <v>0</v>
      </c>
      <c r="L326" s="694">
        <v>0</v>
      </c>
      <c r="M326" s="694">
        <v>0</v>
      </c>
      <c r="N326" s="694">
        <v>0</v>
      </c>
      <c r="O326" s="694">
        <v>0</v>
      </c>
      <c r="P326" s="694">
        <v>0</v>
      </c>
      <c r="Q326" s="694">
        <v>0</v>
      </c>
      <c r="R326" s="694">
        <v>0</v>
      </c>
      <c r="S326" s="694">
        <v>0</v>
      </c>
      <c r="T326" s="694">
        <v>0</v>
      </c>
      <c r="U326" s="694">
        <v>0</v>
      </c>
      <c r="V326" s="694">
        <v>0</v>
      </c>
      <c r="W326" s="694">
        <v>0</v>
      </c>
      <c r="X326" s="694">
        <v>0</v>
      </c>
      <c r="Y326" s="694">
        <v>0</v>
      </c>
      <c r="Z326" s="694">
        <v>0</v>
      </c>
      <c r="AA326" s="694">
        <v>0</v>
      </c>
      <c r="AB326" s="694">
        <v>0</v>
      </c>
      <c r="AC326" s="695">
        <v>0</v>
      </c>
    </row>
    <row r="327" spans="1:29" x14ac:dyDescent="0.3">
      <c r="A327" s="934" t="str">
        <f>A315</f>
        <v>IT room</v>
      </c>
      <c r="B327" s="937" t="str">
        <f>B315</f>
        <v>Data</v>
      </c>
      <c r="C327" s="939" t="s">
        <v>299</v>
      </c>
      <c r="D327" s="942" t="s">
        <v>769</v>
      </c>
      <c r="E327" s="696" t="s">
        <v>442</v>
      </c>
      <c r="F327" s="736">
        <v>0.25</v>
      </c>
      <c r="G327" s="736">
        <v>0.25</v>
      </c>
      <c r="H327" s="736">
        <v>0.25</v>
      </c>
      <c r="I327" s="736">
        <v>0.25</v>
      </c>
      <c r="J327" s="736">
        <v>0.25</v>
      </c>
      <c r="K327" s="736">
        <v>0.25</v>
      </c>
      <c r="L327" s="736">
        <v>0.25</v>
      </c>
      <c r="M327" s="736">
        <v>0.25</v>
      </c>
      <c r="N327" s="736">
        <v>0.25</v>
      </c>
      <c r="O327" s="736">
        <v>0.25</v>
      </c>
      <c r="P327" s="736">
        <v>0.25</v>
      </c>
      <c r="Q327" s="736">
        <v>0.25</v>
      </c>
      <c r="R327" s="736">
        <v>0.25</v>
      </c>
      <c r="S327" s="736">
        <v>0.25</v>
      </c>
      <c r="T327" s="736">
        <v>0.25</v>
      </c>
      <c r="U327" s="736">
        <v>0.25</v>
      </c>
      <c r="V327" s="736">
        <v>0.25</v>
      </c>
      <c r="W327" s="736">
        <v>0.25</v>
      </c>
      <c r="X327" s="736">
        <v>0.25</v>
      </c>
      <c r="Y327" s="736">
        <v>0.25</v>
      </c>
      <c r="Z327" s="736">
        <v>0.25</v>
      </c>
      <c r="AA327" s="736">
        <v>0.25</v>
      </c>
      <c r="AB327" s="736">
        <v>0.25</v>
      </c>
      <c r="AC327" s="737">
        <v>0.25</v>
      </c>
    </row>
    <row r="328" spans="1:29" x14ac:dyDescent="0.3">
      <c r="A328" s="935"/>
      <c r="B328" s="938"/>
      <c r="C328" s="940"/>
      <c r="D328" s="943"/>
      <c r="E328" s="683" t="s">
        <v>443</v>
      </c>
      <c r="F328" s="728">
        <v>0.25</v>
      </c>
      <c r="G328" s="728">
        <v>0.25</v>
      </c>
      <c r="H328" s="728">
        <v>0.25</v>
      </c>
      <c r="I328" s="728">
        <v>0.25</v>
      </c>
      <c r="J328" s="728">
        <v>0.25</v>
      </c>
      <c r="K328" s="728">
        <v>0.25</v>
      </c>
      <c r="L328" s="728">
        <v>0.25</v>
      </c>
      <c r="M328" s="728">
        <v>0.25</v>
      </c>
      <c r="N328" s="728">
        <v>0.25</v>
      </c>
      <c r="O328" s="728">
        <v>0.25</v>
      </c>
      <c r="P328" s="728">
        <v>0.25</v>
      </c>
      <c r="Q328" s="728">
        <v>0.25</v>
      </c>
      <c r="R328" s="728">
        <v>0.25</v>
      </c>
      <c r="S328" s="728">
        <v>0.25</v>
      </c>
      <c r="T328" s="728">
        <v>0.25</v>
      </c>
      <c r="U328" s="728">
        <v>0.25</v>
      </c>
      <c r="V328" s="728">
        <v>0.25</v>
      </c>
      <c r="W328" s="728">
        <v>0.25</v>
      </c>
      <c r="X328" s="728">
        <v>0.25</v>
      </c>
      <c r="Y328" s="728">
        <v>0.25</v>
      </c>
      <c r="Z328" s="728">
        <v>0.25</v>
      </c>
      <c r="AA328" s="728">
        <v>0.25</v>
      </c>
      <c r="AB328" s="728">
        <v>0.25</v>
      </c>
      <c r="AC328" s="730">
        <v>0.25</v>
      </c>
    </row>
    <row r="329" spans="1:29" x14ac:dyDescent="0.3">
      <c r="A329" s="936"/>
      <c r="B329" s="938"/>
      <c r="C329" s="941"/>
      <c r="D329" s="944"/>
      <c r="E329" s="699" t="s">
        <v>444</v>
      </c>
      <c r="F329" s="729">
        <v>0.25</v>
      </c>
      <c r="G329" s="729">
        <v>0.25</v>
      </c>
      <c r="H329" s="729">
        <v>0.25</v>
      </c>
      <c r="I329" s="729">
        <v>0.25</v>
      </c>
      <c r="J329" s="729">
        <v>0.25</v>
      </c>
      <c r="K329" s="729">
        <v>0.25</v>
      </c>
      <c r="L329" s="729">
        <v>0.25</v>
      </c>
      <c r="M329" s="729">
        <v>0.25</v>
      </c>
      <c r="N329" s="729">
        <v>0.25</v>
      </c>
      <c r="O329" s="729">
        <v>0.25</v>
      </c>
      <c r="P329" s="729">
        <v>0.25</v>
      </c>
      <c r="Q329" s="729">
        <v>0.25</v>
      </c>
      <c r="R329" s="729">
        <v>0.25</v>
      </c>
      <c r="S329" s="729">
        <v>0.25</v>
      </c>
      <c r="T329" s="729">
        <v>0.25</v>
      </c>
      <c r="U329" s="729">
        <v>0.25</v>
      </c>
      <c r="V329" s="729">
        <v>0.25</v>
      </c>
      <c r="W329" s="729">
        <v>0.25</v>
      </c>
      <c r="X329" s="729">
        <v>0.25</v>
      </c>
      <c r="Y329" s="729">
        <v>0.25</v>
      </c>
      <c r="Z329" s="729">
        <v>0.25</v>
      </c>
      <c r="AA329" s="729">
        <v>0.25</v>
      </c>
      <c r="AB329" s="729">
        <v>0.25</v>
      </c>
      <c r="AC329" s="732">
        <v>0.25</v>
      </c>
    </row>
    <row r="330" spans="1:29" x14ac:dyDescent="0.3">
      <c r="A330" s="945" t="str">
        <f>A315</f>
        <v>IT room</v>
      </c>
      <c r="B330" s="948" t="str">
        <f>B315</f>
        <v>Data</v>
      </c>
      <c r="C330" s="950" t="s">
        <v>716</v>
      </c>
      <c r="D330" s="953" t="s">
        <v>771</v>
      </c>
      <c r="E330" s="716" t="s">
        <v>442</v>
      </c>
      <c r="F330" s="740">
        <f>Thermostat!$B$23</f>
        <v>80</v>
      </c>
      <c r="G330" s="740">
        <f>Thermostat!$B$23</f>
        <v>80</v>
      </c>
      <c r="H330" s="740">
        <f>Thermostat!$B$23</f>
        <v>80</v>
      </c>
      <c r="I330" s="740">
        <f>Thermostat!$B$23</f>
        <v>80</v>
      </c>
      <c r="J330" s="740">
        <f>Thermostat!$B$23</f>
        <v>80</v>
      </c>
      <c r="K330" s="740">
        <f>Thermostat!$B$23</f>
        <v>80</v>
      </c>
      <c r="L330" s="740">
        <f>Thermostat!$B$23</f>
        <v>80</v>
      </c>
      <c r="M330" s="740">
        <f>Thermostat!$B$23</f>
        <v>80</v>
      </c>
      <c r="N330" s="740">
        <f>Thermostat!$B$23</f>
        <v>80</v>
      </c>
      <c r="O330" s="740">
        <f>Thermostat!$B$23</f>
        <v>80</v>
      </c>
      <c r="P330" s="740">
        <f>Thermostat!$B$23</f>
        <v>80</v>
      </c>
      <c r="Q330" s="740">
        <f>Thermostat!$B$23</f>
        <v>80</v>
      </c>
      <c r="R330" s="740">
        <f>Thermostat!$B$23</f>
        <v>80</v>
      </c>
      <c r="S330" s="740">
        <f>Thermostat!$B$23</f>
        <v>80</v>
      </c>
      <c r="T330" s="740">
        <f>Thermostat!$B$23</f>
        <v>80</v>
      </c>
      <c r="U330" s="740">
        <f>Thermostat!$B$23</f>
        <v>80</v>
      </c>
      <c r="V330" s="740">
        <f>Thermostat!$B$23</f>
        <v>80</v>
      </c>
      <c r="W330" s="740">
        <f>Thermostat!$B$23</f>
        <v>80</v>
      </c>
      <c r="X330" s="740">
        <f>Thermostat!$B$23</f>
        <v>80</v>
      </c>
      <c r="Y330" s="740">
        <f>Thermostat!$B$23</f>
        <v>80</v>
      </c>
      <c r="Z330" s="740">
        <f>Thermostat!$B$23</f>
        <v>80</v>
      </c>
      <c r="AA330" s="740">
        <f>Thermostat!$B$23</f>
        <v>80</v>
      </c>
      <c r="AB330" s="740">
        <f>Thermostat!$B$23</f>
        <v>80</v>
      </c>
      <c r="AC330" s="741">
        <f>Thermostat!$B$23</f>
        <v>80</v>
      </c>
    </row>
    <row r="331" spans="1:29" x14ac:dyDescent="0.3">
      <c r="A331" s="946"/>
      <c r="B331" s="938"/>
      <c r="C331" s="951"/>
      <c r="D331" s="954"/>
      <c r="E331" s="719" t="s">
        <v>443</v>
      </c>
      <c r="F331" s="739">
        <f>Thermostat!$B$23</f>
        <v>80</v>
      </c>
      <c r="G331" s="739">
        <f>Thermostat!$B$23</f>
        <v>80</v>
      </c>
      <c r="H331" s="739">
        <f>Thermostat!$B$23</f>
        <v>80</v>
      </c>
      <c r="I331" s="739">
        <f>Thermostat!$B$23</f>
        <v>80</v>
      </c>
      <c r="J331" s="739">
        <f>Thermostat!$B$23</f>
        <v>80</v>
      </c>
      <c r="K331" s="739">
        <f>Thermostat!$B$23</f>
        <v>80</v>
      </c>
      <c r="L331" s="739">
        <f>Thermostat!$B$23</f>
        <v>80</v>
      </c>
      <c r="M331" s="739">
        <f>Thermostat!$B$23</f>
        <v>80</v>
      </c>
      <c r="N331" s="739">
        <f>Thermostat!$B$23</f>
        <v>80</v>
      </c>
      <c r="O331" s="739">
        <f>Thermostat!$B$23</f>
        <v>80</v>
      </c>
      <c r="P331" s="739">
        <f>Thermostat!$B$23</f>
        <v>80</v>
      </c>
      <c r="Q331" s="739">
        <f>Thermostat!$B$23</f>
        <v>80</v>
      </c>
      <c r="R331" s="739">
        <f>Thermostat!$B$23</f>
        <v>80</v>
      </c>
      <c r="S331" s="739">
        <f>Thermostat!$B$23</f>
        <v>80</v>
      </c>
      <c r="T331" s="739">
        <f>Thermostat!$B$23</f>
        <v>80</v>
      </c>
      <c r="U331" s="739">
        <f>Thermostat!$B$23</f>
        <v>80</v>
      </c>
      <c r="V331" s="739">
        <f>Thermostat!$B$23</f>
        <v>80</v>
      </c>
      <c r="W331" s="739">
        <f>Thermostat!$B$23</f>
        <v>80</v>
      </c>
      <c r="X331" s="739">
        <f>Thermostat!$B$23</f>
        <v>80</v>
      </c>
      <c r="Y331" s="739">
        <f>Thermostat!$B$23</f>
        <v>80</v>
      </c>
      <c r="Z331" s="739">
        <f>Thermostat!$B$23</f>
        <v>80</v>
      </c>
      <c r="AA331" s="739">
        <f>Thermostat!$B$23</f>
        <v>80</v>
      </c>
      <c r="AB331" s="739">
        <f>Thermostat!$B$23</f>
        <v>80</v>
      </c>
      <c r="AC331" s="742">
        <f>Thermostat!$B$23</f>
        <v>80</v>
      </c>
    </row>
    <row r="332" spans="1:29" x14ac:dyDescent="0.3">
      <c r="A332" s="947"/>
      <c r="B332" s="949"/>
      <c r="C332" s="952"/>
      <c r="D332" s="955"/>
      <c r="E332" s="721" t="s">
        <v>444</v>
      </c>
      <c r="F332" s="743">
        <f>Thermostat!$B$23</f>
        <v>80</v>
      </c>
      <c r="G332" s="743">
        <f>Thermostat!$B$23</f>
        <v>80</v>
      </c>
      <c r="H332" s="743">
        <f>Thermostat!$B$23</f>
        <v>80</v>
      </c>
      <c r="I332" s="743">
        <f>Thermostat!$B$23</f>
        <v>80</v>
      </c>
      <c r="J332" s="743">
        <f>Thermostat!$B$23</f>
        <v>80</v>
      </c>
      <c r="K332" s="743">
        <f>Thermostat!$B$23</f>
        <v>80</v>
      </c>
      <c r="L332" s="743">
        <f>Thermostat!$B$23</f>
        <v>80</v>
      </c>
      <c r="M332" s="743">
        <f>Thermostat!$B$23</f>
        <v>80</v>
      </c>
      <c r="N332" s="743">
        <f>Thermostat!$B$23</f>
        <v>80</v>
      </c>
      <c r="O332" s="743">
        <f>Thermostat!$B$23</f>
        <v>80</v>
      </c>
      <c r="P332" s="743">
        <f>Thermostat!$B$23</f>
        <v>80</v>
      </c>
      <c r="Q332" s="743">
        <f>Thermostat!$B$23</f>
        <v>80</v>
      </c>
      <c r="R332" s="743">
        <f>Thermostat!$B$23</f>
        <v>80</v>
      </c>
      <c r="S332" s="743">
        <f>Thermostat!$B$23</f>
        <v>80</v>
      </c>
      <c r="T332" s="743">
        <f>Thermostat!$B$23</f>
        <v>80</v>
      </c>
      <c r="U332" s="743">
        <f>Thermostat!$B$23</f>
        <v>80</v>
      </c>
      <c r="V332" s="743">
        <f>Thermostat!$B$23</f>
        <v>80</v>
      </c>
      <c r="W332" s="743">
        <f>Thermostat!$B$23</f>
        <v>80</v>
      </c>
      <c r="X332" s="743">
        <f>Thermostat!$B$23</f>
        <v>80</v>
      </c>
      <c r="Y332" s="743">
        <f>Thermostat!$B$23</f>
        <v>80</v>
      </c>
      <c r="Z332" s="743">
        <f>Thermostat!$B$23</f>
        <v>80</v>
      </c>
      <c r="AA332" s="743">
        <f>Thermostat!$B$23</f>
        <v>80</v>
      </c>
      <c r="AB332" s="743">
        <f>Thermostat!$B$23</f>
        <v>80</v>
      </c>
      <c r="AC332" s="744">
        <f>Thermostat!$B$23</f>
        <v>80</v>
      </c>
    </row>
  </sheetData>
  <autoFilter ref="A2:D3" xr:uid="{4AEAEBC7-570E-431D-A891-0E68E13886AA}"/>
  <mergeCells count="442">
    <mergeCell ref="A280:A282"/>
    <mergeCell ref="B280:B282"/>
    <mergeCell ref="C280:C282"/>
    <mergeCell ref="D280:D282"/>
    <mergeCell ref="A259:A261"/>
    <mergeCell ref="B259:B261"/>
    <mergeCell ref="C259:C261"/>
    <mergeCell ref="D259:D261"/>
    <mergeCell ref="A262:A264"/>
    <mergeCell ref="B262:B264"/>
    <mergeCell ref="C262:C264"/>
    <mergeCell ref="D262:D264"/>
    <mergeCell ref="A265:A267"/>
    <mergeCell ref="B265:B267"/>
    <mergeCell ref="C265:C267"/>
    <mergeCell ref="D265:D267"/>
    <mergeCell ref="A44:A46"/>
    <mergeCell ref="A47:A49"/>
    <mergeCell ref="A53:A55"/>
    <mergeCell ref="A283:A285"/>
    <mergeCell ref="B283:B285"/>
    <mergeCell ref="C283:C285"/>
    <mergeCell ref="D283:D285"/>
    <mergeCell ref="A268:A270"/>
    <mergeCell ref="B268:B270"/>
    <mergeCell ref="C268:C270"/>
    <mergeCell ref="D268:D270"/>
    <mergeCell ref="A271:A273"/>
    <mergeCell ref="B271:B273"/>
    <mergeCell ref="C271:C273"/>
    <mergeCell ref="D271:D273"/>
    <mergeCell ref="A274:A276"/>
    <mergeCell ref="B274:B276"/>
    <mergeCell ref="C274:C276"/>
    <mergeCell ref="D274:D276"/>
    <mergeCell ref="A255:AC255"/>
    <mergeCell ref="A277:A279"/>
    <mergeCell ref="B277:B279"/>
    <mergeCell ref="C277:C279"/>
    <mergeCell ref="D277:D279"/>
    <mergeCell ref="A35:A37"/>
    <mergeCell ref="B35:B37"/>
    <mergeCell ref="C35:C37"/>
    <mergeCell ref="D35:D37"/>
    <mergeCell ref="A38:A40"/>
    <mergeCell ref="B38:B40"/>
    <mergeCell ref="C38:C40"/>
    <mergeCell ref="D38:D40"/>
    <mergeCell ref="A41:A43"/>
    <mergeCell ref="B41:B43"/>
    <mergeCell ref="C41:C43"/>
    <mergeCell ref="D41:D43"/>
    <mergeCell ref="A196:A198"/>
    <mergeCell ref="B196:B198"/>
    <mergeCell ref="C196:C198"/>
    <mergeCell ref="D196:D198"/>
    <mergeCell ref="A199:A201"/>
    <mergeCell ref="B199:B201"/>
    <mergeCell ref="C199:C201"/>
    <mergeCell ref="D199:D201"/>
    <mergeCell ref="A190:A192"/>
    <mergeCell ref="B190:B192"/>
    <mergeCell ref="C190:C192"/>
    <mergeCell ref="D190:D192"/>
    <mergeCell ref="A193:A195"/>
    <mergeCell ref="B193:B195"/>
    <mergeCell ref="C193:C195"/>
    <mergeCell ref="D193:D195"/>
    <mergeCell ref="A184:A186"/>
    <mergeCell ref="B184:B186"/>
    <mergeCell ref="C184:C186"/>
    <mergeCell ref="D184:D186"/>
    <mergeCell ref="A187:A189"/>
    <mergeCell ref="B187:B189"/>
    <mergeCell ref="C187:C189"/>
    <mergeCell ref="D187:D189"/>
    <mergeCell ref="A178:A180"/>
    <mergeCell ref="B178:B180"/>
    <mergeCell ref="C178:C180"/>
    <mergeCell ref="D178:D180"/>
    <mergeCell ref="A181:A183"/>
    <mergeCell ref="B181:B183"/>
    <mergeCell ref="C181:C183"/>
    <mergeCell ref="D181:D183"/>
    <mergeCell ref="A172:A174"/>
    <mergeCell ref="B172:B174"/>
    <mergeCell ref="C172:C174"/>
    <mergeCell ref="D172:D174"/>
    <mergeCell ref="A175:A177"/>
    <mergeCell ref="B175:B177"/>
    <mergeCell ref="C175:C177"/>
    <mergeCell ref="D175:D177"/>
    <mergeCell ref="A166:A168"/>
    <mergeCell ref="B166:B168"/>
    <mergeCell ref="C166:C168"/>
    <mergeCell ref="D166:D168"/>
    <mergeCell ref="A169:A171"/>
    <mergeCell ref="B169:B171"/>
    <mergeCell ref="C169:C171"/>
    <mergeCell ref="D169:D171"/>
    <mergeCell ref="A162:A164"/>
    <mergeCell ref="B162:B164"/>
    <mergeCell ref="C162:C164"/>
    <mergeCell ref="D162:D164"/>
    <mergeCell ref="A165:AC165"/>
    <mergeCell ref="A156:A158"/>
    <mergeCell ref="B156:B158"/>
    <mergeCell ref="C156:C158"/>
    <mergeCell ref="D156:D158"/>
    <mergeCell ref="A159:A161"/>
    <mergeCell ref="B159:B161"/>
    <mergeCell ref="C159:C161"/>
    <mergeCell ref="D159:D161"/>
    <mergeCell ref="A119:A121"/>
    <mergeCell ref="C119:C121"/>
    <mergeCell ref="A125:A127"/>
    <mergeCell ref="A128:A130"/>
    <mergeCell ref="A150:A152"/>
    <mergeCell ref="B150:B152"/>
    <mergeCell ref="C150:C152"/>
    <mergeCell ref="D150:D152"/>
    <mergeCell ref="A153:A155"/>
    <mergeCell ref="B153:B155"/>
    <mergeCell ref="C153:C155"/>
    <mergeCell ref="D153:D155"/>
    <mergeCell ref="A141:A143"/>
    <mergeCell ref="B141:B143"/>
    <mergeCell ref="C141:C143"/>
    <mergeCell ref="D141:D143"/>
    <mergeCell ref="A144:A146"/>
    <mergeCell ref="B144:B146"/>
    <mergeCell ref="C144:C146"/>
    <mergeCell ref="D144:D146"/>
    <mergeCell ref="A147:A149"/>
    <mergeCell ref="B147:B149"/>
    <mergeCell ref="C147:C149"/>
    <mergeCell ref="D147:D149"/>
    <mergeCell ref="A137:AC137"/>
    <mergeCell ref="A138:A140"/>
    <mergeCell ref="B138:B140"/>
    <mergeCell ref="C138:C140"/>
    <mergeCell ref="D138:D140"/>
    <mergeCell ref="A131:A133"/>
    <mergeCell ref="B131:B133"/>
    <mergeCell ref="C131:C133"/>
    <mergeCell ref="D131:D133"/>
    <mergeCell ref="A134:A136"/>
    <mergeCell ref="B134:B136"/>
    <mergeCell ref="C134:C136"/>
    <mergeCell ref="D134:D136"/>
    <mergeCell ref="A1:AC1"/>
    <mergeCell ref="A4:A6"/>
    <mergeCell ref="A7:A9"/>
    <mergeCell ref="A10:A12"/>
    <mergeCell ref="D10:D12"/>
    <mergeCell ref="C7:C9"/>
    <mergeCell ref="F2:AC2"/>
    <mergeCell ref="E2:E3"/>
    <mergeCell ref="D2:D3"/>
    <mergeCell ref="C2:C3"/>
    <mergeCell ref="D4:D6"/>
    <mergeCell ref="C4:C6"/>
    <mergeCell ref="D7:D9"/>
    <mergeCell ref="B10:B12"/>
    <mergeCell ref="C10:C12"/>
    <mergeCell ref="A13:A15"/>
    <mergeCell ref="B16:B18"/>
    <mergeCell ref="A34:AC34"/>
    <mergeCell ref="B4:B6"/>
    <mergeCell ref="B7:B9"/>
    <mergeCell ref="B2:B3"/>
    <mergeCell ref="B13:B15"/>
    <mergeCell ref="A2:A3"/>
    <mergeCell ref="A16:A18"/>
    <mergeCell ref="D13:D15"/>
    <mergeCell ref="C13:C15"/>
    <mergeCell ref="B28:B30"/>
    <mergeCell ref="B25:B27"/>
    <mergeCell ref="C25:C27"/>
    <mergeCell ref="D25:D27"/>
    <mergeCell ref="D16:D18"/>
    <mergeCell ref="B19:B21"/>
    <mergeCell ref="C19:C21"/>
    <mergeCell ref="D19:D21"/>
    <mergeCell ref="A19:A21"/>
    <mergeCell ref="A25:A27"/>
    <mergeCell ref="C16:C18"/>
    <mergeCell ref="A22:A24"/>
    <mergeCell ref="B22:B24"/>
    <mergeCell ref="A28:A30"/>
    <mergeCell ref="A31:A33"/>
    <mergeCell ref="A202:AC202"/>
    <mergeCell ref="B31:B33"/>
    <mergeCell ref="C28:C30"/>
    <mergeCell ref="D28:D30"/>
    <mergeCell ref="D31:D33"/>
    <mergeCell ref="C31:C33"/>
    <mergeCell ref="A113:A115"/>
    <mergeCell ref="A116:A118"/>
    <mergeCell ref="A56:A58"/>
    <mergeCell ref="B56:B58"/>
    <mergeCell ref="C56:C58"/>
    <mergeCell ref="D56:D58"/>
    <mergeCell ref="A59:A61"/>
    <mergeCell ref="B59:B61"/>
    <mergeCell ref="C59:C61"/>
    <mergeCell ref="D59:D61"/>
    <mergeCell ref="A72:A74"/>
    <mergeCell ref="B72:B74"/>
    <mergeCell ref="C72:C74"/>
    <mergeCell ref="D72:D74"/>
    <mergeCell ref="A75:A77"/>
    <mergeCell ref="C128:C130"/>
    <mergeCell ref="C22:C24"/>
    <mergeCell ref="D22:D24"/>
    <mergeCell ref="D69:D71"/>
    <mergeCell ref="B203:B205"/>
    <mergeCell ref="C203:C205"/>
    <mergeCell ref="D203:D205"/>
    <mergeCell ref="B113:B115"/>
    <mergeCell ref="C113:C115"/>
    <mergeCell ref="A66:A68"/>
    <mergeCell ref="B66:B68"/>
    <mergeCell ref="C66:C68"/>
    <mergeCell ref="D66:D68"/>
    <mergeCell ref="A69:A71"/>
    <mergeCell ref="B69:B71"/>
    <mergeCell ref="C69:C71"/>
    <mergeCell ref="C50:C52"/>
    <mergeCell ref="A50:A52"/>
    <mergeCell ref="B50:B52"/>
    <mergeCell ref="D50:D52"/>
    <mergeCell ref="A62:AC62"/>
    <mergeCell ref="A63:A65"/>
    <mergeCell ref="B63:B65"/>
    <mergeCell ref="C63:C65"/>
    <mergeCell ref="D63:D65"/>
    <mergeCell ref="A209:A211"/>
    <mergeCell ref="B209:B211"/>
    <mergeCell ref="C209:C211"/>
    <mergeCell ref="D209:D211"/>
    <mergeCell ref="A206:A208"/>
    <mergeCell ref="B206:B208"/>
    <mergeCell ref="C206:C208"/>
    <mergeCell ref="D206:D208"/>
    <mergeCell ref="D113:D115"/>
    <mergeCell ref="B116:B118"/>
    <mergeCell ref="C116:C118"/>
    <mergeCell ref="D116:D118"/>
    <mergeCell ref="B119:B121"/>
    <mergeCell ref="B125:B127"/>
    <mergeCell ref="C125:C127"/>
    <mergeCell ref="D125:D127"/>
    <mergeCell ref="B128:B130"/>
    <mergeCell ref="A203:A205"/>
    <mergeCell ref="D128:D130"/>
    <mergeCell ref="D119:D121"/>
    <mergeCell ref="A122:A124"/>
    <mergeCell ref="B122:B124"/>
    <mergeCell ref="C122:C124"/>
    <mergeCell ref="D122:D124"/>
    <mergeCell ref="B75:B77"/>
    <mergeCell ref="C75:C77"/>
    <mergeCell ref="D75:D77"/>
    <mergeCell ref="A221:A223"/>
    <mergeCell ref="B221:B223"/>
    <mergeCell ref="C221:C223"/>
    <mergeCell ref="D221:D223"/>
    <mergeCell ref="A218:A220"/>
    <mergeCell ref="B218:B220"/>
    <mergeCell ref="C218:C220"/>
    <mergeCell ref="D218:D220"/>
    <mergeCell ref="A212:A214"/>
    <mergeCell ref="B212:B214"/>
    <mergeCell ref="C212:C214"/>
    <mergeCell ref="D212:D214"/>
    <mergeCell ref="A215:A217"/>
    <mergeCell ref="B215:B217"/>
    <mergeCell ref="C215:C217"/>
    <mergeCell ref="D215:D217"/>
    <mergeCell ref="A78:A80"/>
    <mergeCell ref="B78:B80"/>
    <mergeCell ref="C78:C80"/>
    <mergeCell ref="D78:D80"/>
    <mergeCell ref="A81:A83"/>
    <mergeCell ref="B81:B83"/>
    <mergeCell ref="C81:C83"/>
    <mergeCell ref="D81:D83"/>
    <mergeCell ref="A84:A86"/>
    <mergeCell ref="B84:B86"/>
    <mergeCell ref="C84:C86"/>
    <mergeCell ref="D84:D86"/>
    <mergeCell ref="A87:AC87"/>
    <mergeCell ref="A88:A90"/>
    <mergeCell ref="B88:B90"/>
    <mergeCell ref="C88:C90"/>
    <mergeCell ref="D88:D90"/>
    <mergeCell ref="A91:A93"/>
    <mergeCell ref="B91:B93"/>
    <mergeCell ref="C91:C93"/>
    <mergeCell ref="D91:D93"/>
    <mergeCell ref="A94:A96"/>
    <mergeCell ref="B94:B96"/>
    <mergeCell ref="C94:C96"/>
    <mergeCell ref="D94:D96"/>
    <mergeCell ref="A97:A99"/>
    <mergeCell ref="B97:B99"/>
    <mergeCell ref="C97:C99"/>
    <mergeCell ref="D97:D99"/>
    <mergeCell ref="A100:A102"/>
    <mergeCell ref="B100:B102"/>
    <mergeCell ref="C100:C102"/>
    <mergeCell ref="D100:D102"/>
    <mergeCell ref="A112:AC112"/>
    <mergeCell ref="A103:A105"/>
    <mergeCell ref="B103:B105"/>
    <mergeCell ref="C103:C105"/>
    <mergeCell ref="D103:D105"/>
    <mergeCell ref="A106:A108"/>
    <mergeCell ref="B106:B108"/>
    <mergeCell ref="C106:C108"/>
    <mergeCell ref="D106:D108"/>
    <mergeCell ref="A109:A111"/>
    <mergeCell ref="B109:B111"/>
    <mergeCell ref="C109:C111"/>
    <mergeCell ref="D109:D111"/>
    <mergeCell ref="A225:A227"/>
    <mergeCell ref="B225:B227"/>
    <mergeCell ref="C225:C227"/>
    <mergeCell ref="D225:D227"/>
    <mergeCell ref="A228:A230"/>
    <mergeCell ref="B228:B230"/>
    <mergeCell ref="C228:C230"/>
    <mergeCell ref="D228:D230"/>
    <mergeCell ref="A231:A233"/>
    <mergeCell ref="B231:B233"/>
    <mergeCell ref="C231:C233"/>
    <mergeCell ref="D231:D233"/>
    <mergeCell ref="D234:D236"/>
    <mergeCell ref="A237:A239"/>
    <mergeCell ref="B237:B239"/>
    <mergeCell ref="C237:C239"/>
    <mergeCell ref="D237:D239"/>
    <mergeCell ref="A240:A242"/>
    <mergeCell ref="B240:B242"/>
    <mergeCell ref="C240:C242"/>
    <mergeCell ref="D240:D242"/>
    <mergeCell ref="A252:A254"/>
    <mergeCell ref="B252:B254"/>
    <mergeCell ref="C252:C254"/>
    <mergeCell ref="D252:D254"/>
    <mergeCell ref="A224:AC224"/>
    <mergeCell ref="A256:A258"/>
    <mergeCell ref="B256:B258"/>
    <mergeCell ref="C256:C258"/>
    <mergeCell ref="D256:D258"/>
    <mergeCell ref="A243:A245"/>
    <mergeCell ref="B243:B245"/>
    <mergeCell ref="C243:C245"/>
    <mergeCell ref="D243:D245"/>
    <mergeCell ref="A246:A248"/>
    <mergeCell ref="B246:B248"/>
    <mergeCell ref="C246:C248"/>
    <mergeCell ref="D246:D248"/>
    <mergeCell ref="A249:A251"/>
    <mergeCell ref="B249:B251"/>
    <mergeCell ref="C249:C251"/>
    <mergeCell ref="D249:D251"/>
    <mergeCell ref="A234:A236"/>
    <mergeCell ref="B234:B236"/>
    <mergeCell ref="C234:C236"/>
    <mergeCell ref="B44:B46"/>
    <mergeCell ref="B47:B49"/>
    <mergeCell ref="B53:B55"/>
    <mergeCell ref="D53:D55"/>
    <mergeCell ref="C53:C55"/>
    <mergeCell ref="C47:C49"/>
    <mergeCell ref="D47:D49"/>
    <mergeCell ref="D44:D46"/>
    <mergeCell ref="C44:C46"/>
    <mergeCell ref="A286:AC286"/>
    <mergeCell ref="A287:A289"/>
    <mergeCell ref="B287:B289"/>
    <mergeCell ref="C287:C289"/>
    <mergeCell ref="D287:D289"/>
    <mergeCell ref="A290:A292"/>
    <mergeCell ref="B290:B292"/>
    <mergeCell ref="C290:C292"/>
    <mergeCell ref="D290:D292"/>
    <mergeCell ref="A293:A295"/>
    <mergeCell ref="B293:B295"/>
    <mergeCell ref="C293:C295"/>
    <mergeCell ref="D293:D295"/>
    <mergeCell ref="A296:A298"/>
    <mergeCell ref="B296:B298"/>
    <mergeCell ref="C296:C298"/>
    <mergeCell ref="D296:D298"/>
    <mergeCell ref="A299:A301"/>
    <mergeCell ref="B299:B301"/>
    <mergeCell ref="C299:C301"/>
    <mergeCell ref="D299:D301"/>
    <mergeCell ref="A302:A304"/>
    <mergeCell ref="B302:B304"/>
    <mergeCell ref="C302:C304"/>
    <mergeCell ref="D302:D304"/>
    <mergeCell ref="A305:A307"/>
    <mergeCell ref="B305:B307"/>
    <mergeCell ref="C305:C307"/>
    <mergeCell ref="D305:D307"/>
    <mergeCell ref="A308:A310"/>
    <mergeCell ref="B308:B310"/>
    <mergeCell ref="C308:C310"/>
    <mergeCell ref="D308:D310"/>
    <mergeCell ref="A311:A313"/>
    <mergeCell ref="B311:B313"/>
    <mergeCell ref="C311:C313"/>
    <mergeCell ref="D311:D313"/>
    <mergeCell ref="A314:AC314"/>
    <mergeCell ref="A315:A317"/>
    <mergeCell ref="B315:B317"/>
    <mergeCell ref="C315:C317"/>
    <mergeCell ref="D315:D317"/>
    <mergeCell ref="A327:A329"/>
    <mergeCell ref="B327:B329"/>
    <mergeCell ref="C327:C329"/>
    <mergeCell ref="D327:D329"/>
    <mergeCell ref="A330:A332"/>
    <mergeCell ref="B330:B332"/>
    <mergeCell ref="C330:C332"/>
    <mergeCell ref="D330:D332"/>
    <mergeCell ref="A318:A320"/>
    <mergeCell ref="B318:B320"/>
    <mergeCell ref="C318:C320"/>
    <mergeCell ref="D318:D320"/>
    <mergeCell ref="A321:A323"/>
    <mergeCell ref="B321:B323"/>
    <mergeCell ref="C321:C323"/>
    <mergeCell ref="D321:D323"/>
    <mergeCell ref="A324:A326"/>
    <mergeCell ref="B324:B326"/>
    <mergeCell ref="C324:C326"/>
    <mergeCell ref="D324:D326"/>
  </mergeCells>
  <phoneticPr fontId="5"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25"/>
  <sheetViews>
    <sheetView zoomScale="90" zoomScaleNormal="90" workbookViewId="0">
      <selection sqref="A1:L1"/>
    </sheetView>
  </sheetViews>
  <sheetFormatPr defaultColWidth="8.6640625" defaultRowHeight="13.2" x14ac:dyDescent="0.25"/>
  <cols>
    <col min="1" max="1" width="9.6640625" style="3" bestFit="1" customWidth="1"/>
    <col min="2" max="2" width="8.6640625" style="3" customWidth="1"/>
    <col min="3" max="3" width="17.33203125" style="3" bestFit="1" customWidth="1"/>
    <col min="4" max="4" width="12.6640625" style="3" bestFit="1" customWidth="1"/>
    <col min="5" max="5" width="12.88671875" style="3" bestFit="1" customWidth="1"/>
    <col min="6" max="6" width="22.33203125" style="3" bestFit="1" customWidth="1"/>
    <col min="7" max="7" width="16.88671875" style="3" bestFit="1" customWidth="1"/>
    <col min="8" max="8" width="19.5546875" style="3" customWidth="1"/>
    <col min="9" max="9" width="9.88671875" style="3" customWidth="1"/>
    <col min="10" max="10" width="13.88671875" style="3" customWidth="1"/>
    <col min="11" max="11" width="20.109375" style="3" bestFit="1" customWidth="1"/>
    <col min="12" max="12" width="24.33203125" style="3" bestFit="1" customWidth="1"/>
    <col min="13" max="13" width="8.6640625" style="3"/>
    <col min="14" max="14" width="14.44140625" style="3" customWidth="1"/>
    <col min="15" max="15" width="15.44140625" style="3" customWidth="1"/>
    <col min="16" max="16" width="19.33203125" style="3" customWidth="1"/>
    <col min="17" max="17" width="20.6640625" style="3" customWidth="1"/>
    <col min="18" max="18" width="18.33203125" style="3" customWidth="1"/>
    <col min="19" max="21" width="13.6640625" style="3" customWidth="1"/>
    <col min="22" max="22" width="11.5546875" style="3" customWidth="1"/>
    <col min="23" max="24" width="8.6640625" style="3"/>
    <col min="25" max="25" width="13.6640625" style="3" customWidth="1"/>
    <col min="26" max="28" width="8.6640625" style="3"/>
    <col min="29" max="29" width="12.44140625" style="3" customWidth="1"/>
    <col min="30" max="16384" width="8.6640625" style="3"/>
  </cols>
  <sheetData>
    <row r="1" spans="1:22" ht="27" customHeight="1" x14ac:dyDescent="0.25">
      <c r="A1" s="1178" t="s">
        <v>772</v>
      </c>
      <c r="B1" s="1179"/>
      <c r="C1" s="1179"/>
      <c r="D1" s="1179"/>
      <c r="E1" s="1179"/>
      <c r="F1" s="1179"/>
      <c r="G1" s="1179"/>
      <c r="H1" s="1179"/>
      <c r="I1" s="1179"/>
      <c r="J1" s="1179"/>
      <c r="K1" s="1179"/>
      <c r="L1" s="1179"/>
      <c r="N1" s="1176" t="str">
        <f>"Energy Consumption - "&amp;Prototype!A2</f>
        <v>Energy Consumption - Hospital</v>
      </c>
      <c r="O1" s="1177"/>
      <c r="P1" s="1177"/>
      <c r="Q1" s="1177"/>
      <c r="R1" s="1177"/>
      <c r="S1" s="1177"/>
      <c r="T1" s="1177"/>
      <c r="U1" s="1177"/>
      <c r="V1" s="1177"/>
    </row>
    <row r="2" spans="1:22" ht="39.6" customHeight="1" x14ac:dyDescent="0.25">
      <c r="A2" s="784" t="s">
        <v>10</v>
      </c>
      <c r="B2" s="784" t="s">
        <v>773</v>
      </c>
      <c r="C2" s="784" t="s">
        <v>774</v>
      </c>
      <c r="D2" s="784" t="s">
        <v>775</v>
      </c>
      <c r="E2" s="784" t="s">
        <v>776</v>
      </c>
      <c r="F2" s="784" t="s">
        <v>777</v>
      </c>
      <c r="G2" s="784" t="s">
        <v>778</v>
      </c>
      <c r="H2" s="784" t="s">
        <v>779</v>
      </c>
      <c r="I2" s="397" t="s">
        <v>780</v>
      </c>
      <c r="J2" s="397" t="s">
        <v>781</v>
      </c>
      <c r="K2" s="397" t="s">
        <v>782</v>
      </c>
      <c r="L2" s="397" t="s">
        <v>783</v>
      </c>
      <c r="N2" s="398" t="s">
        <v>10</v>
      </c>
      <c r="O2" s="784" t="s">
        <v>773</v>
      </c>
      <c r="P2" s="784" t="s">
        <v>784</v>
      </c>
      <c r="Q2" s="784" t="s">
        <v>785</v>
      </c>
      <c r="R2" s="784" t="s">
        <v>786</v>
      </c>
      <c r="S2" s="112" t="s">
        <v>787</v>
      </c>
      <c r="T2" s="112" t="s">
        <v>781</v>
      </c>
      <c r="U2" s="112" t="s">
        <v>782</v>
      </c>
      <c r="V2" s="112" t="s">
        <v>788</v>
      </c>
    </row>
    <row r="3" spans="1:22" ht="19.2" customHeight="1" x14ac:dyDescent="0.25">
      <c r="A3" s="1175" t="s">
        <v>67</v>
      </c>
      <c r="B3" s="789">
        <v>1</v>
      </c>
      <c r="C3" s="404"/>
      <c r="D3" s="404"/>
      <c r="E3" s="404"/>
      <c r="F3" s="404"/>
      <c r="G3" s="404"/>
      <c r="H3" s="404"/>
      <c r="I3" s="789">
        <v>200.3</v>
      </c>
      <c r="J3" s="404">
        <f>(I3*1.25)</f>
        <v>250.375</v>
      </c>
      <c r="K3" s="404">
        <f>(I3*0.75)</f>
        <v>150.22500000000002</v>
      </c>
      <c r="L3" s="404">
        <f>J3-K3</f>
        <v>100.14999999999998</v>
      </c>
      <c r="N3" s="991" t="s">
        <v>67</v>
      </c>
      <c r="O3" s="399">
        <v>1</v>
      </c>
      <c r="P3" s="400">
        <v>7059</v>
      </c>
      <c r="Q3" s="401">
        <v>70.980212195308724</v>
      </c>
      <c r="R3" s="401">
        <v>51.157709366392332</v>
      </c>
      <c r="S3" s="402">
        <f>Q3+R3</f>
        <v>122.13792156170106</v>
      </c>
      <c r="T3" s="403">
        <f t="shared" ref="T3:T18" si="0">S3*1.25</f>
        <v>152.67240195212634</v>
      </c>
      <c r="U3" s="403">
        <f t="shared" ref="U3:U18" si="1">S3*0.75</f>
        <v>91.60344117127579</v>
      </c>
      <c r="V3" s="402">
        <f>T3-U3</f>
        <v>61.068960780850546</v>
      </c>
    </row>
    <row r="4" spans="1:22" ht="19.2" customHeight="1" x14ac:dyDescent="0.25">
      <c r="A4" s="1175"/>
      <c r="B4" s="789">
        <v>2</v>
      </c>
      <c r="C4" s="404"/>
      <c r="D4" s="404"/>
      <c r="E4" s="404"/>
      <c r="F4" s="404"/>
      <c r="G4" s="404"/>
      <c r="H4" s="404"/>
      <c r="I4" s="789">
        <v>201.2</v>
      </c>
      <c r="J4" s="404">
        <f t="shared" ref="J4:J18" si="2">(I4*1.25)</f>
        <v>251.5</v>
      </c>
      <c r="K4" s="404">
        <f t="shared" ref="K4:K18" si="3">(I4*0.75)</f>
        <v>150.89999999999998</v>
      </c>
      <c r="L4" s="404">
        <f t="shared" ref="L4:L18" si="4">J4-K4</f>
        <v>100.60000000000002</v>
      </c>
      <c r="N4" s="991"/>
      <c r="O4" s="399">
        <v>2</v>
      </c>
      <c r="P4" s="400">
        <v>14514</v>
      </c>
      <c r="Q4" s="401">
        <v>45.631221123127403</v>
      </c>
      <c r="R4" s="401">
        <v>53.475471118975605</v>
      </c>
      <c r="S4" s="402">
        <f t="shared" ref="S4:S18" si="5">Q4+R4</f>
        <v>99.106692242103009</v>
      </c>
      <c r="T4" s="403">
        <f t="shared" si="0"/>
        <v>123.88336530262876</v>
      </c>
      <c r="U4" s="403">
        <f t="shared" si="1"/>
        <v>74.330019181577256</v>
      </c>
      <c r="V4" s="402">
        <f t="shared" ref="V4:V18" si="6">T4-U4</f>
        <v>49.553346121051504</v>
      </c>
    </row>
    <row r="5" spans="1:22" ht="19.2" customHeight="1" x14ac:dyDescent="0.25">
      <c r="A5" s="1175"/>
      <c r="B5" s="789">
        <v>3</v>
      </c>
      <c r="C5" s="404"/>
      <c r="D5" s="404"/>
      <c r="E5" s="404"/>
      <c r="F5" s="404"/>
      <c r="G5" s="404"/>
      <c r="H5" s="404"/>
      <c r="I5" s="789">
        <v>198.6</v>
      </c>
      <c r="J5" s="404">
        <f t="shared" si="2"/>
        <v>248.25</v>
      </c>
      <c r="K5" s="404">
        <f t="shared" si="3"/>
        <v>148.94999999999999</v>
      </c>
      <c r="L5" s="404">
        <f t="shared" si="4"/>
        <v>99.300000000000011</v>
      </c>
      <c r="N5" s="991"/>
      <c r="O5" s="399">
        <v>3</v>
      </c>
      <c r="P5" s="400">
        <v>56689</v>
      </c>
      <c r="Q5" s="401">
        <v>53.487682660570549</v>
      </c>
      <c r="R5" s="401">
        <v>48.160547948909439</v>
      </c>
      <c r="S5" s="402">
        <f t="shared" si="5"/>
        <v>101.64823060947998</v>
      </c>
      <c r="T5" s="403">
        <f t="shared" si="0"/>
        <v>127.06028826184998</v>
      </c>
      <c r="U5" s="403">
        <f t="shared" si="1"/>
        <v>76.236172957109986</v>
      </c>
      <c r="V5" s="402">
        <f t="shared" si="6"/>
        <v>50.824115304739991</v>
      </c>
    </row>
    <row r="6" spans="1:22" ht="19.2" customHeight="1" x14ac:dyDescent="0.25">
      <c r="A6" s="1175"/>
      <c r="B6" s="789">
        <v>4</v>
      </c>
      <c r="C6" s="404"/>
      <c r="D6" s="404"/>
      <c r="E6" s="404"/>
      <c r="F6" s="404"/>
      <c r="G6" s="404"/>
      <c r="H6" s="404"/>
      <c r="I6" s="789">
        <v>206.8</v>
      </c>
      <c r="J6" s="404">
        <f t="shared" si="2"/>
        <v>258.5</v>
      </c>
      <c r="K6" s="404">
        <f t="shared" si="3"/>
        <v>155.10000000000002</v>
      </c>
      <c r="L6" s="404">
        <f t="shared" si="4"/>
        <v>103.39999999999998</v>
      </c>
      <c r="N6" s="991"/>
      <c r="O6" s="399">
        <v>4</v>
      </c>
      <c r="P6" s="400">
        <v>29372</v>
      </c>
      <c r="Q6" s="401">
        <v>54.755926049206174</v>
      </c>
      <c r="R6" s="401">
        <v>50.159318999849447</v>
      </c>
      <c r="S6" s="402">
        <f t="shared" si="5"/>
        <v>104.91524504905561</v>
      </c>
      <c r="T6" s="403">
        <f t="shared" si="0"/>
        <v>131.1440563113195</v>
      </c>
      <c r="U6" s="403">
        <f t="shared" si="1"/>
        <v>78.68643378679171</v>
      </c>
      <c r="V6" s="402">
        <f t="shared" si="6"/>
        <v>52.457622524527793</v>
      </c>
    </row>
    <row r="7" spans="1:22" ht="19.2" customHeight="1" x14ac:dyDescent="0.25">
      <c r="A7" s="1175"/>
      <c r="B7" s="789">
        <v>5</v>
      </c>
      <c r="C7" s="404"/>
      <c r="D7" s="404"/>
      <c r="E7" s="404"/>
      <c r="F7" s="404"/>
      <c r="G7" s="404"/>
      <c r="H7" s="404"/>
      <c r="I7" s="789">
        <v>198.3</v>
      </c>
      <c r="J7" s="404">
        <f t="shared" si="2"/>
        <v>247.875</v>
      </c>
      <c r="K7" s="404">
        <f t="shared" si="3"/>
        <v>148.72500000000002</v>
      </c>
      <c r="L7" s="404">
        <f t="shared" si="4"/>
        <v>99.149999999999977</v>
      </c>
      <c r="N7" s="991"/>
      <c r="O7" s="399">
        <v>5</v>
      </c>
      <c r="P7" s="400">
        <v>5067</v>
      </c>
      <c r="Q7" s="401">
        <v>39.828202554020528</v>
      </c>
      <c r="R7" s="401">
        <v>24.816475850209393</v>
      </c>
      <c r="S7" s="402">
        <f t="shared" si="5"/>
        <v>64.644678404229921</v>
      </c>
      <c r="T7" s="403">
        <f t="shared" si="0"/>
        <v>80.805848005287402</v>
      </c>
      <c r="U7" s="403">
        <f t="shared" si="1"/>
        <v>48.483508803172441</v>
      </c>
      <c r="V7" s="402">
        <f t="shared" si="6"/>
        <v>32.322339202114961</v>
      </c>
    </row>
    <row r="8" spans="1:22" ht="19.2" customHeight="1" x14ac:dyDescent="0.25">
      <c r="A8" s="1175"/>
      <c r="B8" s="789">
        <v>6</v>
      </c>
      <c r="C8" s="404"/>
      <c r="D8" s="404"/>
      <c r="E8" s="404"/>
      <c r="F8" s="404"/>
      <c r="G8" s="404"/>
      <c r="H8" s="404"/>
      <c r="I8" s="789">
        <v>203.5</v>
      </c>
      <c r="J8" s="404">
        <f t="shared" si="2"/>
        <v>254.375</v>
      </c>
      <c r="K8" s="404">
        <f t="shared" si="3"/>
        <v>152.625</v>
      </c>
      <c r="L8" s="404">
        <f t="shared" si="4"/>
        <v>101.75</v>
      </c>
      <c r="N8" s="991"/>
      <c r="O8" s="399">
        <v>6</v>
      </c>
      <c r="P8" s="400">
        <v>32891</v>
      </c>
      <c r="Q8" s="401">
        <v>54.93212515884494</v>
      </c>
      <c r="R8" s="401">
        <v>75.476365686410062</v>
      </c>
      <c r="S8" s="402">
        <f t="shared" si="5"/>
        <v>130.40849084525502</v>
      </c>
      <c r="T8" s="403">
        <f t="shared" si="0"/>
        <v>163.01061355656879</v>
      </c>
      <c r="U8" s="403">
        <f t="shared" si="1"/>
        <v>97.806368133941262</v>
      </c>
      <c r="V8" s="402">
        <f t="shared" si="6"/>
        <v>65.204245422627523</v>
      </c>
    </row>
    <row r="9" spans="1:22" ht="19.2" customHeight="1" x14ac:dyDescent="0.25">
      <c r="A9" s="1175"/>
      <c r="B9" s="789">
        <v>7</v>
      </c>
      <c r="C9" s="404"/>
      <c r="D9" s="404"/>
      <c r="E9" s="404"/>
      <c r="F9" s="404"/>
      <c r="G9" s="404"/>
      <c r="H9" s="404"/>
      <c r="I9" s="789">
        <v>205</v>
      </c>
      <c r="J9" s="404">
        <f t="shared" si="2"/>
        <v>256.25</v>
      </c>
      <c r="K9" s="404">
        <f t="shared" si="3"/>
        <v>153.75</v>
      </c>
      <c r="L9" s="404">
        <f t="shared" si="4"/>
        <v>102.5</v>
      </c>
      <c r="N9" s="991"/>
      <c r="O9" s="399">
        <v>7</v>
      </c>
      <c r="P9" s="400">
        <v>31754</v>
      </c>
      <c r="Q9" s="401">
        <v>74.843716197552865</v>
      </c>
      <c r="R9" s="401">
        <v>45.486109268373966</v>
      </c>
      <c r="S9" s="402">
        <f t="shared" si="5"/>
        <v>120.32982546592683</v>
      </c>
      <c r="T9" s="403">
        <f t="shared" si="0"/>
        <v>150.41228183240855</v>
      </c>
      <c r="U9" s="403">
        <f t="shared" si="1"/>
        <v>90.247369099445123</v>
      </c>
      <c r="V9" s="402">
        <f t="shared" si="6"/>
        <v>60.16491273296343</v>
      </c>
    </row>
    <row r="10" spans="1:22" ht="19.2" customHeight="1" x14ac:dyDescent="0.25">
      <c r="A10" s="1175"/>
      <c r="B10" s="789">
        <v>8</v>
      </c>
      <c r="C10" s="404"/>
      <c r="D10" s="404"/>
      <c r="E10" s="404"/>
      <c r="F10" s="404"/>
      <c r="G10" s="404"/>
      <c r="H10" s="404"/>
      <c r="I10" s="789">
        <v>210.8</v>
      </c>
      <c r="J10" s="404">
        <f t="shared" si="2"/>
        <v>263.5</v>
      </c>
      <c r="K10" s="404">
        <f t="shared" si="3"/>
        <v>158.10000000000002</v>
      </c>
      <c r="L10" s="404">
        <f t="shared" si="4"/>
        <v>105.39999999999998</v>
      </c>
      <c r="N10" s="991"/>
      <c r="O10" s="399">
        <v>8</v>
      </c>
      <c r="P10" s="400">
        <v>50355</v>
      </c>
      <c r="Q10" s="401">
        <v>56.543942198765762</v>
      </c>
      <c r="R10" s="401">
        <v>86.911469679451784</v>
      </c>
      <c r="S10" s="402">
        <f t="shared" si="5"/>
        <v>143.45541187821755</v>
      </c>
      <c r="T10" s="403">
        <f t="shared" si="0"/>
        <v>179.31926484777193</v>
      </c>
      <c r="U10" s="403">
        <f t="shared" si="1"/>
        <v>107.59155890866316</v>
      </c>
      <c r="V10" s="402">
        <f t="shared" si="6"/>
        <v>71.727705939108773</v>
      </c>
    </row>
    <row r="11" spans="1:22" ht="19.2" customHeight="1" x14ac:dyDescent="0.25">
      <c r="A11" s="1175"/>
      <c r="B11" s="789">
        <v>9</v>
      </c>
      <c r="C11" s="404"/>
      <c r="D11" s="404"/>
      <c r="E11" s="404"/>
      <c r="F11" s="404"/>
      <c r="G11" s="404"/>
      <c r="H11" s="404"/>
      <c r="I11" s="789">
        <v>209.8</v>
      </c>
      <c r="J11" s="404">
        <f t="shared" si="2"/>
        <v>262.25</v>
      </c>
      <c r="K11" s="404">
        <f t="shared" si="3"/>
        <v>157.35000000000002</v>
      </c>
      <c r="L11" s="404">
        <f t="shared" si="4"/>
        <v>104.89999999999998</v>
      </c>
      <c r="N11" s="991"/>
      <c r="O11" s="399">
        <v>9</v>
      </c>
      <c r="P11" s="400">
        <v>72118</v>
      </c>
      <c r="Q11" s="401">
        <v>45.225686473214381</v>
      </c>
      <c r="R11" s="401">
        <v>63.3726521601304</v>
      </c>
      <c r="S11" s="402">
        <f t="shared" si="5"/>
        <v>108.59833863334478</v>
      </c>
      <c r="T11" s="403">
        <f t="shared" si="0"/>
        <v>135.74792329168099</v>
      </c>
      <c r="U11" s="403">
        <f t="shared" si="1"/>
        <v>81.448753975008586</v>
      </c>
      <c r="V11" s="402">
        <f t="shared" si="6"/>
        <v>54.299169316672405</v>
      </c>
    </row>
    <row r="12" spans="1:22" ht="19.2" customHeight="1" x14ac:dyDescent="0.25">
      <c r="A12" s="1175"/>
      <c r="B12" s="789">
        <v>10</v>
      </c>
      <c r="C12" s="404"/>
      <c r="D12" s="404"/>
      <c r="E12" s="404"/>
      <c r="F12" s="404"/>
      <c r="G12" s="404"/>
      <c r="H12" s="404"/>
      <c r="I12" s="789">
        <v>213.4</v>
      </c>
      <c r="J12" s="404">
        <f t="shared" si="2"/>
        <v>266.75</v>
      </c>
      <c r="K12" s="404">
        <f t="shared" si="3"/>
        <v>160.05000000000001</v>
      </c>
      <c r="L12" s="404">
        <f t="shared" si="4"/>
        <v>106.69999999999999</v>
      </c>
      <c r="N12" s="991"/>
      <c r="O12" s="399">
        <v>10</v>
      </c>
      <c r="P12" s="400">
        <v>55175</v>
      </c>
      <c r="Q12" s="401">
        <v>66.772263788736169</v>
      </c>
      <c r="R12" s="401">
        <v>63.83398665256901</v>
      </c>
      <c r="S12" s="402">
        <f t="shared" si="5"/>
        <v>130.60625044130518</v>
      </c>
      <c r="T12" s="403">
        <f t="shared" si="0"/>
        <v>163.25781305163147</v>
      </c>
      <c r="U12" s="403">
        <f t="shared" si="1"/>
        <v>97.954687830978884</v>
      </c>
      <c r="V12" s="402">
        <f t="shared" si="6"/>
        <v>65.303125220652589</v>
      </c>
    </row>
    <row r="13" spans="1:22" ht="19.2" customHeight="1" x14ac:dyDescent="0.25">
      <c r="A13" s="1175"/>
      <c r="B13" s="789">
        <v>11</v>
      </c>
      <c r="C13" s="404"/>
      <c r="D13" s="404"/>
      <c r="E13" s="404"/>
      <c r="F13" s="404"/>
      <c r="G13" s="404"/>
      <c r="H13" s="404"/>
      <c r="I13" s="789">
        <v>215.5</v>
      </c>
      <c r="J13" s="404">
        <f t="shared" si="2"/>
        <v>269.375</v>
      </c>
      <c r="K13" s="404">
        <f t="shared" si="3"/>
        <v>161.625</v>
      </c>
      <c r="L13" s="404">
        <f t="shared" si="4"/>
        <v>107.75</v>
      </c>
      <c r="N13" s="991"/>
      <c r="O13" s="399">
        <v>11</v>
      </c>
      <c r="P13" s="400">
        <v>20961</v>
      </c>
      <c r="Q13" s="401">
        <v>67.713582297283381</v>
      </c>
      <c r="R13" s="401">
        <v>42.220507647070832</v>
      </c>
      <c r="S13" s="402">
        <f t="shared" si="5"/>
        <v>109.93408994435421</v>
      </c>
      <c r="T13" s="403">
        <f t="shared" si="0"/>
        <v>137.41761243044277</v>
      </c>
      <c r="U13" s="403">
        <f t="shared" si="1"/>
        <v>82.450567458265652</v>
      </c>
      <c r="V13" s="402">
        <f t="shared" si="6"/>
        <v>54.967044972177121</v>
      </c>
    </row>
    <row r="14" spans="1:22" ht="19.2" customHeight="1" x14ac:dyDescent="0.25">
      <c r="A14" s="1175"/>
      <c r="B14" s="789">
        <v>12</v>
      </c>
      <c r="C14" s="404"/>
      <c r="D14" s="404"/>
      <c r="E14" s="404"/>
      <c r="F14" s="404"/>
      <c r="G14" s="404"/>
      <c r="H14" s="404"/>
      <c r="I14" s="789">
        <v>209.5</v>
      </c>
      <c r="J14" s="404">
        <f t="shared" si="2"/>
        <v>261.875</v>
      </c>
      <c r="K14" s="404">
        <f t="shared" si="3"/>
        <v>157.125</v>
      </c>
      <c r="L14" s="404">
        <f t="shared" si="4"/>
        <v>104.75</v>
      </c>
      <c r="N14" s="991"/>
      <c r="O14" s="399">
        <v>12</v>
      </c>
      <c r="P14" s="400">
        <v>93863</v>
      </c>
      <c r="Q14" s="401">
        <v>69.337542630166993</v>
      </c>
      <c r="R14" s="401">
        <v>42.635038447479175</v>
      </c>
      <c r="S14" s="402">
        <f t="shared" si="5"/>
        <v>111.97258107764617</v>
      </c>
      <c r="T14" s="403">
        <f t="shared" si="0"/>
        <v>139.96572634705771</v>
      </c>
      <c r="U14" s="403">
        <f t="shared" si="1"/>
        <v>83.979435808234626</v>
      </c>
      <c r="V14" s="402">
        <f t="shared" si="6"/>
        <v>55.986290538823084</v>
      </c>
    </row>
    <row r="15" spans="1:22" ht="19.2" customHeight="1" x14ac:dyDescent="0.25">
      <c r="A15" s="1175"/>
      <c r="B15" s="789">
        <v>13</v>
      </c>
      <c r="C15" s="404"/>
      <c r="D15" s="404"/>
      <c r="E15" s="404"/>
      <c r="F15" s="404"/>
      <c r="G15" s="404"/>
      <c r="H15" s="404"/>
      <c r="I15" s="789">
        <v>218.3</v>
      </c>
      <c r="J15" s="404">
        <f t="shared" si="2"/>
        <v>272.875</v>
      </c>
      <c r="K15" s="404">
        <f t="shared" si="3"/>
        <v>163.72500000000002</v>
      </c>
      <c r="L15" s="404">
        <f t="shared" si="4"/>
        <v>109.14999999999998</v>
      </c>
      <c r="N15" s="991"/>
      <c r="O15" s="399">
        <v>13</v>
      </c>
      <c r="P15" s="400">
        <v>30306</v>
      </c>
      <c r="Q15" s="401">
        <v>75.593438725341301</v>
      </c>
      <c r="R15" s="401">
        <v>48.302175867405005</v>
      </c>
      <c r="S15" s="402">
        <f t="shared" si="5"/>
        <v>123.89561459274631</v>
      </c>
      <c r="T15" s="403">
        <f t="shared" si="0"/>
        <v>154.8695182409329</v>
      </c>
      <c r="U15" s="403">
        <f t="shared" si="1"/>
        <v>92.921710944559734</v>
      </c>
      <c r="V15" s="402">
        <f t="shared" si="6"/>
        <v>61.947807296373171</v>
      </c>
    </row>
    <row r="16" spans="1:22" ht="19.2" customHeight="1" x14ac:dyDescent="0.25">
      <c r="A16" s="1175"/>
      <c r="B16" s="789">
        <v>14</v>
      </c>
      <c r="C16" s="404"/>
      <c r="D16" s="404"/>
      <c r="E16" s="404"/>
      <c r="F16" s="404"/>
      <c r="G16" s="404"/>
      <c r="H16" s="404"/>
      <c r="I16" s="789">
        <v>215.8</v>
      </c>
      <c r="J16" s="404">
        <f t="shared" si="2"/>
        <v>269.75</v>
      </c>
      <c r="K16" s="404">
        <f t="shared" si="3"/>
        <v>161.85000000000002</v>
      </c>
      <c r="L16" s="404">
        <f t="shared" si="4"/>
        <v>107.89999999999998</v>
      </c>
      <c r="N16" s="991"/>
      <c r="O16" s="399">
        <v>14</v>
      </c>
      <c r="P16" s="400">
        <v>13400</v>
      </c>
      <c r="Q16" s="401">
        <v>63.176915436294905</v>
      </c>
      <c r="R16" s="401">
        <v>77.508974240287117</v>
      </c>
      <c r="S16" s="402">
        <f t="shared" si="5"/>
        <v>140.68588967658201</v>
      </c>
      <c r="T16" s="403">
        <f t="shared" si="0"/>
        <v>175.85736209572752</v>
      </c>
      <c r="U16" s="403">
        <f t="shared" si="1"/>
        <v>105.51441725743651</v>
      </c>
      <c r="V16" s="402">
        <f t="shared" si="6"/>
        <v>70.342944838291018</v>
      </c>
    </row>
    <row r="17" spans="1:22" ht="19.2" customHeight="1" x14ac:dyDescent="0.25">
      <c r="A17" s="1175"/>
      <c r="B17" s="789">
        <v>15</v>
      </c>
      <c r="C17" s="404"/>
      <c r="D17" s="404"/>
      <c r="E17" s="404"/>
      <c r="F17" s="404"/>
      <c r="G17" s="404"/>
      <c r="H17" s="404"/>
      <c r="I17" s="789">
        <v>238.3</v>
      </c>
      <c r="J17" s="404">
        <f t="shared" si="2"/>
        <v>297.875</v>
      </c>
      <c r="K17" s="404">
        <f t="shared" si="3"/>
        <v>178.72500000000002</v>
      </c>
      <c r="L17" s="404">
        <f t="shared" si="4"/>
        <v>119.14999999999998</v>
      </c>
      <c r="N17" s="991"/>
      <c r="O17" s="399">
        <v>15</v>
      </c>
      <c r="P17" s="400">
        <v>24206</v>
      </c>
      <c r="Q17" s="401">
        <v>61.217834653468351</v>
      </c>
      <c r="R17" s="401">
        <v>63.656692197584519</v>
      </c>
      <c r="S17" s="402">
        <f t="shared" si="5"/>
        <v>124.87452685105288</v>
      </c>
      <c r="T17" s="403">
        <f t="shared" si="0"/>
        <v>156.0931585638161</v>
      </c>
      <c r="U17" s="403">
        <f t="shared" si="1"/>
        <v>93.655895138289651</v>
      </c>
      <c r="V17" s="402">
        <f t="shared" si="6"/>
        <v>62.437263425526453</v>
      </c>
    </row>
    <row r="18" spans="1:22" ht="19.2" customHeight="1" x14ac:dyDescent="0.25">
      <c r="A18" s="1175"/>
      <c r="B18" s="789">
        <v>16</v>
      </c>
      <c r="C18" s="404"/>
      <c r="D18" s="404"/>
      <c r="E18" s="404"/>
      <c r="F18" s="404"/>
      <c r="G18" s="404"/>
      <c r="H18" s="404"/>
      <c r="I18" s="789">
        <v>204.9</v>
      </c>
      <c r="J18" s="404">
        <f t="shared" si="2"/>
        <v>256.125</v>
      </c>
      <c r="K18" s="404">
        <f t="shared" si="3"/>
        <v>153.67500000000001</v>
      </c>
      <c r="L18" s="404">
        <f t="shared" si="4"/>
        <v>102.44999999999999</v>
      </c>
      <c r="N18" s="991"/>
      <c r="O18" s="399">
        <v>16</v>
      </c>
      <c r="P18" s="400">
        <v>57915</v>
      </c>
      <c r="Q18" s="401">
        <v>72.26808706778472</v>
      </c>
      <c r="R18" s="401">
        <v>64.383248663836667</v>
      </c>
      <c r="S18" s="402">
        <f t="shared" si="5"/>
        <v>136.65133573162137</v>
      </c>
      <c r="T18" s="403">
        <f t="shared" si="0"/>
        <v>170.81416966452673</v>
      </c>
      <c r="U18" s="403">
        <f t="shared" si="1"/>
        <v>102.48850179871603</v>
      </c>
      <c r="V18" s="402">
        <f t="shared" si="6"/>
        <v>68.325667865810701</v>
      </c>
    </row>
    <row r="20" spans="1:22" x14ac:dyDescent="0.25">
      <c r="N20" s="3" t="s">
        <v>789</v>
      </c>
    </row>
    <row r="21" spans="1:22" x14ac:dyDescent="0.25">
      <c r="N21" s="3" t="s">
        <v>790</v>
      </c>
    </row>
    <row r="25" spans="1:22" s="22" customFormat="1" hidden="1" x14ac:dyDescent="0.25">
      <c r="N25" s="22" t="s">
        <v>241</v>
      </c>
      <c r="R25" s="23"/>
      <c r="S25" s="24"/>
      <c r="T25" s="25"/>
    </row>
  </sheetData>
  <mergeCells count="4">
    <mergeCell ref="N3:N18"/>
    <mergeCell ref="A3:A18"/>
    <mergeCell ref="N1:V1"/>
    <mergeCell ref="A1:L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K62"/>
  <sheetViews>
    <sheetView zoomScale="85" zoomScaleNormal="85" workbookViewId="0">
      <selection sqref="A1:G1"/>
    </sheetView>
  </sheetViews>
  <sheetFormatPr defaultColWidth="8.6640625" defaultRowHeight="13.2" x14ac:dyDescent="0.25"/>
  <cols>
    <col min="1" max="2" width="12" style="3" customWidth="1"/>
    <col min="3" max="6" width="13.6640625" style="3" customWidth="1"/>
    <col min="7" max="7" width="13.33203125" style="3" customWidth="1"/>
    <col min="8" max="8" width="6.33203125" style="3" customWidth="1"/>
    <col min="9" max="9" width="8.6640625" style="3"/>
    <col min="10" max="10" width="12" style="3" customWidth="1"/>
    <col min="11" max="11" width="14.109375" style="3" customWidth="1"/>
    <col min="12" max="12" width="10.33203125" style="3" customWidth="1"/>
    <col min="13" max="27" width="5.6640625" style="3" customWidth="1"/>
    <col min="28" max="28" width="21.109375" style="3" bestFit="1" customWidth="1"/>
    <col min="29" max="16384" width="8.6640625" style="3"/>
  </cols>
  <sheetData>
    <row r="1" spans="1:37" ht="28.95" customHeight="1" x14ac:dyDescent="0.25">
      <c r="A1" s="818" t="str">
        <f>"% of Floor Area per CZ and Vintage Bin - "&amp;Prototype!A2</f>
        <v>% of Floor Area per CZ and Vintage Bin - Hospital</v>
      </c>
      <c r="B1" s="818"/>
      <c r="C1" s="818"/>
      <c r="D1" s="818"/>
      <c r="E1" s="818"/>
      <c r="F1" s="818"/>
      <c r="G1" s="818"/>
      <c r="J1" s="1181" t="str">
        <f>"% of Floor Area per CZ and Vintage Bin - "&amp;Prototype!A2</f>
        <v>% of Floor Area per CZ and Vintage Bin - Hospital</v>
      </c>
      <c r="K1" s="1181"/>
      <c r="L1" s="1181"/>
      <c r="M1" s="1181"/>
      <c r="N1" s="1181"/>
      <c r="O1" s="1181"/>
      <c r="P1" s="1181"/>
      <c r="Q1" s="1181"/>
      <c r="R1" s="1181"/>
      <c r="S1" s="1181"/>
      <c r="T1" s="1181"/>
      <c r="U1" s="1181"/>
      <c r="V1" s="1181"/>
      <c r="W1" s="1181"/>
      <c r="X1" s="1181"/>
      <c r="Y1" s="1181"/>
      <c r="Z1" s="1181"/>
      <c r="AA1" s="1181"/>
    </row>
    <row r="2" spans="1:37" ht="21" customHeight="1" x14ac:dyDescent="0.25">
      <c r="A2" s="1182" t="s">
        <v>10</v>
      </c>
      <c r="B2" s="1182" t="s">
        <v>773</v>
      </c>
      <c r="C2" s="1182" t="s">
        <v>791</v>
      </c>
      <c r="D2" s="1182"/>
      <c r="E2" s="1182"/>
      <c r="F2" s="1182"/>
      <c r="G2" s="1182"/>
      <c r="J2" s="1182" t="s">
        <v>10</v>
      </c>
      <c r="K2" s="1182" t="s">
        <v>791</v>
      </c>
      <c r="L2" s="1182" t="s">
        <v>773</v>
      </c>
      <c r="M2" s="1182"/>
      <c r="N2" s="1182"/>
      <c r="O2" s="1182"/>
      <c r="P2" s="1182"/>
      <c r="Q2" s="1182"/>
      <c r="R2" s="1182"/>
      <c r="S2" s="1182"/>
      <c r="T2" s="1182"/>
      <c r="U2" s="1182"/>
      <c r="V2" s="1182"/>
      <c r="W2" s="1182"/>
      <c r="X2" s="1182"/>
      <c r="Y2" s="1182"/>
      <c r="Z2" s="1182"/>
      <c r="AA2" s="1182"/>
    </row>
    <row r="3" spans="1:37" ht="21" customHeight="1" x14ac:dyDescent="0.25">
      <c r="A3" s="1182"/>
      <c r="B3" s="1182"/>
      <c r="C3" s="791" t="s">
        <v>792</v>
      </c>
      <c r="D3" s="791" t="s">
        <v>271</v>
      </c>
      <c r="E3" s="791" t="s">
        <v>274</v>
      </c>
      <c r="F3" s="791" t="s">
        <v>276</v>
      </c>
      <c r="G3" s="791"/>
      <c r="J3" s="1182"/>
      <c r="K3" s="1182"/>
      <c r="L3" s="791">
        <v>1</v>
      </c>
      <c r="M3" s="791">
        <v>2</v>
      </c>
      <c r="N3" s="791">
        <v>3</v>
      </c>
      <c r="O3" s="791">
        <v>4</v>
      </c>
      <c r="P3" s="791">
        <v>5</v>
      </c>
      <c r="Q3" s="791">
        <v>6</v>
      </c>
      <c r="R3" s="791">
        <v>7</v>
      </c>
      <c r="S3" s="791">
        <v>8</v>
      </c>
      <c r="T3" s="791">
        <v>9</v>
      </c>
      <c r="U3" s="791">
        <v>10</v>
      </c>
      <c r="V3" s="791">
        <v>11</v>
      </c>
      <c r="W3" s="791">
        <v>12</v>
      </c>
      <c r="X3" s="791">
        <v>13</v>
      </c>
      <c r="Y3" s="791">
        <v>14</v>
      </c>
      <c r="Z3" s="791">
        <v>15</v>
      </c>
      <c r="AA3" s="791">
        <v>16</v>
      </c>
    </row>
    <row r="4" spans="1:37" ht="16.95" customHeight="1" x14ac:dyDescent="0.3">
      <c r="A4" s="814" t="s">
        <v>67</v>
      </c>
      <c r="B4" s="214">
        <v>1</v>
      </c>
      <c r="C4" s="675">
        <v>0.38</v>
      </c>
      <c r="D4" s="675">
        <v>0.17</v>
      </c>
      <c r="E4" s="675">
        <v>0.17</v>
      </c>
      <c r="F4" s="675">
        <v>0.28000000000000003</v>
      </c>
      <c r="G4" s="215"/>
      <c r="H4" s="59">
        <f>SUM(C4:G4)</f>
        <v>1</v>
      </c>
      <c r="J4" s="1180" t="s">
        <v>67</v>
      </c>
      <c r="K4" s="790" t="s">
        <v>792</v>
      </c>
      <c r="L4" s="672">
        <v>1.0931E-2</v>
      </c>
      <c r="M4" s="672">
        <v>2.7876999999999999E-2</v>
      </c>
      <c r="N4" s="672">
        <v>6.6830000000000001E-2</v>
      </c>
      <c r="O4" s="672">
        <v>3.5771999999999998E-2</v>
      </c>
      <c r="P4" s="672">
        <v>2.062E-3</v>
      </c>
      <c r="Q4" s="672">
        <v>7.5861999999999999E-2</v>
      </c>
      <c r="R4" s="672">
        <v>4.5012999999999997E-2</v>
      </c>
      <c r="S4" s="672">
        <v>0.123308</v>
      </c>
      <c r="T4" s="672">
        <v>0.19039500000000001</v>
      </c>
      <c r="U4" s="672">
        <v>7.9546000000000006E-2</v>
      </c>
      <c r="V4" s="672">
        <v>2.9489000000000001E-2</v>
      </c>
      <c r="W4" s="672">
        <v>0.12828600000000001</v>
      </c>
      <c r="X4" s="672">
        <v>4.2897999999999999E-2</v>
      </c>
      <c r="Y4" s="672">
        <v>2.4372000000000001E-2</v>
      </c>
      <c r="Z4" s="672">
        <v>3.1706999999999999E-2</v>
      </c>
      <c r="AA4" s="672">
        <v>8.5652000000000006E-2</v>
      </c>
      <c r="AB4" s="59">
        <f t="shared" ref="AB4:AB9" si="0">SUM(L4:AA4)</f>
        <v>1</v>
      </c>
    </row>
    <row r="5" spans="1:37" ht="16.95" customHeight="1" x14ac:dyDescent="0.3">
      <c r="A5" s="814"/>
      <c r="B5" s="214">
        <v>2</v>
      </c>
      <c r="C5" s="675">
        <v>0.47</v>
      </c>
      <c r="D5" s="675">
        <v>0.2</v>
      </c>
      <c r="E5" s="675">
        <v>0.15</v>
      </c>
      <c r="F5" s="675">
        <v>0.18</v>
      </c>
      <c r="G5" s="215"/>
      <c r="H5" s="59">
        <f>SUM(C5:G5)</f>
        <v>1</v>
      </c>
      <c r="J5" s="1180"/>
      <c r="K5" s="790" t="s">
        <v>271</v>
      </c>
      <c r="L5" s="672">
        <v>6.8440000000000003E-3</v>
      </c>
      <c r="M5" s="672">
        <v>1.6386999999999999E-2</v>
      </c>
      <c r="N5" s="672">
        <v>0.128437</v>
      </c>
      <c r="O5" s="672">
        <v>6.5969E-2</v>
      </c>
      <c r="P5" s="672">
        <v>1.4904000000000001E-2</v>
      </c>
      <c r="Q5" s="672">
        <v>4.7213999999999999E-2</v>
      </c>
      <c r="R5" s="672">
        <v>7.8358999999999998E-2</v>
      </c>
      <c r="S5" s="672">
        <v>6.4692E-2</v>
      </c>
      <c r="T5" s="672">
        <v>8.1428E-2</v>
      </c>
      <c r="U5" s="672">
        <v>0.12398000000000001</v>
      </c>
      <c r="V5" s="672">
        <v>2.921E-2</v>
      </c>
      <c r="W5" s="672">
        <v>0.145067</v>
      </c>
      <c r="X5" s="672">
        <v>2.7546000000000001E-2</v>
      </c>
      <c r="Y5" s="672">
        <v>2.2203000000000001E-2</v>
      </c>
      <c r="Z5" s="672">
        <v>6.0560000000000003E-2</v>
      </c>
      <c r="AA5" s="672">
        <v>8.72E-2</v>
      </c>
      <c r="AB5" s="59">
        <f t="shared" si="0"/>
        <v>1</v>
      </c>
    </row>
    <row r="6" spans="1:37" ht="16.95" customHeight="1" x14ac:dyDescent="0.3">
      <c r="A6" s="814"/>
      <c r="B6" s="214">
        <v>3</v>
      </c>
      <c r="C6" s="675">
        <v>0.28999999999999998</v>
      </c>
      <c r="D6" s="675">
        <v>0.39</v>
      </c>
      <c r="E6" s="675">
        <v>0.22</v>
      </c>
      <c r="F6" s="675">
        <v>0.1</v>
      </c>
      <c r="G6" s="215"/>
      <c r="H6" s="59">
        <f t="shared" ref="H6:H20" si="1">SUM(C6:G6)</f>
        <v>0.99999999999999989</v>
      </c>
      <c r="J6" s="1180"/>
      <c r="K6" s="790" t="s">
        <v>274</v>
      </c>
      <c r="L6" s="672">
        <v>1.3727E-2</v>
      </c>
      <c r="M6" s="672">
        <v>2.4412E-2</v>
      </c>
      <c r="N6" s="672">
        <v>0.13583100000000001</v>
      </c>
      <c r="O6" s="672">
        <v>6.7575999999999997E-2</v>
      </c>
      <c r="P6" s="672">
        <v>1.8858E-2</v>
      </c>
      <c r="Q6" s="672">
        <v>5.6320000000000002E-2</v>
      </c>
      <c r="R6" s="672">
        <v>4.9456E-2</v>
      </c>
      <c r="S6" s="672">
        <v>8.881E-2</v>
      </c>
      <c r="T6" s="672">
        <v>7.3915999999999996E-2</v>
      </c>
      <c r="U6" s="672">
        <v>4.9063000000000002E-2</v>
      </c>
      <c r="V6" s="672">
        <v>4.3546000000000001E-2</v>
      </c>
      <c r="W6" s="672">
        <v>0.203267</v>
      </c>
      <c r="X6" s="672">
        <v>6.7627000000000007E-2</v>
      </c>
      <c r="Y6" s="672">
        <v>1.9772000000000001E-2</v>
      </c>
      <c r="Z6" s="672">
        <v>3.7950000000000002E-3</v>
      </c>
      <c r="AA6" s="672">
        <v>8.4021999999999999E-2</v>
      </c>
      <c r="AB6" s="59">
        <f t="shared" si="0"/>
        <v>0.99999799999999994</v>
      </c>
    </row>
    <row r="7" spans="1:37" ht="16.95" customHeight="1" x14ac:dyDescent="0.3">
      <c r="A7" s="814"/>
      <c r="B7" s="214">
        <v>4</v>
      </c>
      <c r="C7" s="675">
        <v>0.2988112</v>
      </c>
      <c r="D7" s="675">
        <v>0.38998179999999999</v>
      </c>
      <c r="E7" s="675">
        <v>0.20677870000000001</v>
      </c>
      <c r="F7" s="675">
        <v>0.1044283</v>
      </c>
      <c r="G7" s="215"/>
      <c r="H7" s="59">
        <f t="shared" si="1"/>
        <v>1</v>
      </c>
      <c r="J7" s="1180"/>
      <c r="K7" s="790" t="s">
        <v>276</v>
      </c>
      <c r="L7" s="672">
        <v>2.2526999999999998E-2</v>
      </c>
      <c r="M7" s="672">
        <v>3.0369E-2</v>
      </c>
      <c r="N7" s="672">
        <v>6.6661999999999999E-2</v>
      </c>
      <c r="O7" s="672">
        <v>3.5365000000000001E-2</v>
      </c>
      <c r="P7" s="672">
        <v>3.2100000000000002E-3</v>
      </c>
      <c r="Q7" s="672">
        <v>1.1715E-2</v>
      </c>
      <c r="R7" s="672">
        <v>3.0665999999999999E-2</v>
      </c>
      <c r="S7" s="672">
        <v>1.0187E-2</v>
      </c>
      <c r="T7" s="672">
        <v>5.3238000000000001E-2</v>
      </c>
      <c r="U7" s="672">
        <v>0.112042</v>
      </c>
      <c r="V7" s="672">
        <v>5.4612000000000001E-2</v>
      </c>
      <c r="W7" s="672">
        <v>0.21810499999999999</v>
      </c>
      <c r="X7" s="672">
        <v>0.102797</v>
      </c>
      <c r="Y7" s="672">
        <v>2.06E-2</v>
      </c>
      <c r="Z7" s="672">
        <v>6.4190999999999998E-2</v>
      </c>
      <c r="AA7" s="672">
        <v>0.163714</v>
      </c>
      <c r="AB7" s="59">
        <f t="shared" si="0"/>
        <v>1</v>
      </c>
    </row>
    <row r="8" spans="1:37" ht="16.95" customHeight="1" x14ac:dyDescent="0.3">
      <c r="A8" s="814"/>
      <c r="B8" s="214">
        <v>5</v>
      </c>
      <c r="C8" s="675">
        <v>9.9838099999999999E-2</v>
      </c>
      <c r="D8" s="675">
        <v>0.51072910000000005</v>
      </c>
      <c r="E8" s="675">
        <v>0.3344896</v>
      </c>
      <c r="F8" s="675">
        <v>5.4943199999999998E-2</v>
      </c>
      <c r="G8" s="215"/>
      <c r="H8" s="59">
        <f t="shared" si="1"/>
        <v>1.0000000000000002</v>
      </c>
      <c r="J8" s="1180"/>
      <c r="K8" s="790"/>
      <c r="L8" s="677"/>
      <c r="M8" s="677"/>
      <c r="N8" s="677"/>
      <c r="O8" s="677"/>
      <c r="P8" s="677"/>
      <c r="Q8" s="677"/>
      <c r="R8" s="677"/>
      <c r="S8" s="677"/>
      <c r="T8" s="677"/>
      <c r="U8" s="677"/>
      <c r="V8" s="677"/>
      <c r="W8" s="677"/>
      <c r="X8" s="677"/>
      <c r="Y8" s="677"/>
      <c r="Z8" s="677"/>
      <c r="AA8" s="677"/>
      <c r="AB8" s="59"/>
    </row>
    <row r="9" spans="1:37" ht="16.95" customHeight="1" x14ac:dyDescent="0.3">
      <c r="A9" s="814"/>
      <c r="B9" s="214">
        <v>6</v>
      </c>
      <c r="C9" s="675">
        <v>0.56592770000000003</v>
      </c>
      <c r="D9" s="675">
        <v>0.24926960000000001</v>
      </c>
      <c r="E9" s="675">
        <v>0.15390880000000001</v>
      </c>
      <c r="F9" s="675">
        <v>3.0893799999999999E-2</v>
      </c>
      <c r="G9" s="215"/>
      <c r="H9" s="59">
        <f t="shared" si="1"/>
        <v>0.99999990000000005</v>
      </c>
      <c r="J9" s="1180"/>
      <c r="K9" s="790" t="s">
        <v>397</v>
      </c>
      <c r="L9" s="672">
        <v>1.1849999999999999E-2</v>
      </c>
      <c r="M9" s="672">
        <v>2.4367E-2</v>
      </c>
      <c r="N9" s="672">
        <v>9.5179E-2</v>
      </c>
      <c r="O9" s="672">
        <v>4.9314999999999998E-2</v>
      </c>
      <c r="P9" s="672">
        <v>8.5079999999999999E-3</v>
      </c>
      <c r="Q9" s="672">
        <v>5.5219999999999998E-2</v>
      </c>
      <c r="R9" s="672">
        <v>5.3316000000000002E-2</v>
      </c>
      <c r="S9" s="672">
        <v>8.4540000000000004E-2</v>
      </c>
      <c r="T9" s="672">
        <v>0.121077</v>
      </c>
      <c r="U9" s="672">
        <v>9.2632000000000006E-2</v>
      </c>
      <c r="V9" s="672">
        <v>3.5187000000000003E-2</v>
      </c>
      <c r="W9" s="672">
        <v>0.15757299999999999</v>
      </c>
      <c r="X9" s="672">
        <v>5.0875999999999998E-2</v>
      </c>
      <c r="Y9" s="672">
        <v>2.2495999999999999E-2</v>
      </c>
      <c r="Z9" s="672">
        <v>4.0637E-2</v>
      </c>
      <c r="AA9" s="672">
        <v>9.7225000000000006E-2</v>
      </c>
      <c r="AB9" s="59">
        <f t="shared" si="0"/>
        <v>0.99999800000000005</v>
      </c>
    </row>
    <row r="10" spans="1:37" ht="16.95" customHeight="1" x14ac:dyDescent="0.3">
      <c r="A10" s="814"/>
      <c r="B10" s="214">
        <v>7</v>
      </c>
      <c r="C10" s="675">
        <v>0.34778920000000002</v>
      </c>
      <c r="D10" s="675">
        <v>0.4284732</v>
      </c>
      <c r="E10" s="675">
        <v>0.13997809999999999</v>
      </c>
      <c r="F10" s="675">
        <v>8.3759500000000001E-2</v>
      </c>
      <c r="G10" s="215"/>
      <c r="H10" s="59">
        <f t="shared" si="1"/>
        <v>1</v>
      </c>
      <c r="J10" s="501"/>
      <c r="K10" s="57"/>
      <c r="L10" s="28"/>
      <c r="M10" s="28"/>
      <c r="N10" s="28"/>
      <c r="O10" s="28"/>
      <c r="P10" s="58"/>
      <c r="AB10" s="59"/>
    </row>
    <row r="11" spans="1:37" ht="16.95" customHeight="1" x14ac:dyDescent="0.3">
      <c r="A11" s="814"/>
      <c r="B11" s="214">
        <v>8</v>
      </c>
      <c r="C11" s="675">
        <v>0.60084210000000005</v>
      </c>
      <c r="D11" s="675">
        <v>0.22308710000000001</v>
      </c>
      <c r="E11" s="675">
        <v>0.15852350000000001</v>
      </c>
      <c r="F11" s="675">
        <v>1.7547400000000001E-2</v>
      </c>
      <c r="G11" s="215"/>
      <c r="H11" s="59">
        <f t="shared" si="1"/>
        <v>1.0000001000000001</v>
      </c>
      <c r="J11" s="501"/>
      <c r="K11" s="57"/>
      <c r="L11" s="28"/>
      <c r="M11" s="28"/>
      <c r="N11" s="28"/>
      <c r="O11" s="28"/>
      <c r="P11" s="58"/>
    </row>
    <row r="12" spans="1:37" ht="16.95" customHeight="1" x14ac:dyDescent="0.3">
      <c r="A12" s="814"/>
      <c r="B12" s="214">
        <v>9</v>
      </c>
      <c r="C12" s="675">
        <v>0.64778060000000004</v>
      </c>
      <c r="D12" s="675">
        <v>0.19606560000000001</v>
      </c>
      <c r="E12" s="675">
        <v>9.21236E-2</v>
      </c>
      <c r="F12" s="675">
        <v>6.4030199999999995E-2</v>
      </c>
      <c r="G12" s="215"/>
      <c r="H12" s="59">
        <f t="shared" si="1"/>
        <v>1</v>
      </c>
      <c r="J12" s="34"/>
      <c r="K12" s="673"/>
      <c r="L12" s="674"/>
      <c r="M12" s="674"/>
      <c r="N12" s="674"/>
      <c r="O12" s="674"/>
      <c r="P12" s="674"/>
      <c r="Q12" s="674"/>
      <c r="R12" s="674"/>
      <c r="S12" s="674"/>
      <c r="T12" s="674"/>
      <c r="U12" s="674"/>
      <c r="V12" s="674"/>
      <c r="W12" s="674"/>
      <c r="X12" s="674"/>
      <c r="Y12" s="674"/>
      <c r="Z12" s="674"/>
      <c r="AA12" s="674"/>
      <c r="AB12" s="674"/>
      <c r="AC12" s="674"/>
      <c r="AD12" s="674"/>
      <c r="AE12" s="674"/>
      <c r="AF12" s="674"/>
      <c r="AG12" s="674"/>
      <c r="AH12" s="674"/>
      <c r="AI12" s="674"/>
      <c r="AJ12" s="674"/>
      <c r="AK12" s="674"/>
    </row>
    <row r="13" spans="1:37" ht="16.95" customHeight="1" x14ac:dyDescent="0.3">
      <c r="A13" s="814"/>
      <c r="B13" s="214">
        <v>10</v>
      </c>
      <c r="C13" s="675">
        <v>0.35374410000000001</v>
      </c>
      <c r="D13" s="675">
        <v>0.39019389999999998</v>
      </c>
      <c r="E13" s="675">
        <v>7.9926899999999995E-2</v>
      </c>
      <c r="F13" s="675">
        <v>0.17613509999999999</v>
      </c>
      <c r="G13" s="215"/>
      <c r="H13" s="59">
        <f t="shared" si="1"/>
        <v>1</v>
      </c>
      <c r="J13" s="34"/>
      <c r="K13" s="673"/>
      <c r="L13" s="674"/>
      <c r="M13" s="674"/>
      <c r="N13" s="674"/>
      <c r="O13" s="674"/>
      <c r="P13" s="674"/>
      <c r="Q13" s="674"/>
      <c r="R13" s="674"/>
      <c r="S13" s="674"/>
      <c r="T13" s="674"/>
      <c r="U13" s="674"/>
      <c r="V13" s="674"/>
      <c r="W13" s="674"/>
      <c r="X13" s="674"/>
      <c r="Y13" s="674"/>
      <c r="Z13" s="674"/>
      <c r="AA13" s="674"/>
      <c r="AB13" s="674"/>
      <c r="AC13" s="674"/>
      <c r="AD13" s="674"/>
      <c r="AE13" s="674"/>
      <c r="AF13" s="674"/>
      <c r="AG13" s="674"/>
      <c r="AH13" s="674"/>
      <c r="AI13" s="674"/>
      <c r="AJ13" s="674"/>
      <c r="AK13" s="674"/>
    </row>
    <row r="14" spans="1:37" ht="16.95" customHeight="1" x14ac:dyDescent="0.3">
      <c r="A14" s="814"/>
      <c r="B14" s="214">
        <v>11</v>
      </c>
      <c r="C14" s="675">
        <v>0.34522700000000001</v>
      </c>
      <c r="D14" s="675">
        <v>0.24201139999999999</v>
      </c>
      <c r="E14" s="675">
        <v>0.18674979999999999</v>
      </c>
      <c r="F14" s="675">
        <v>0.22601180000000001</v>
      </c>
      <c r="G14" s="215"/>
      <c r="H14" s="59">
        <f t="shared" si="1"/>
        <v>0.99999999999999989</v>
      </c>
      <c r="J14" s="34"/>
      <c r="K14" s="671"/>
      <c r="L14" s="671"/>
      <c r="M14" s="671"/>
      <c r="N14" s="671"/>
      <c r="O14" s="671"/>
      <c r="P14" s="671"/>
      <c r="Q14" s="671"/>
      <c r="R14" s="671"/>
      <c r="S14" s="671"/>
      <c r="T14" s="671"/>
      <c r="U14" s="671"/>
      <c r="V14" s="671"/>
      <c r="W14" s="671"/>
      <c r="X14" s="671"/>
      <c r="Y14" s="671"/>
      <c r="Z14" s="671"/>
      <c r="AA14" s="671"/>
      <c r="AB14" s="671"/>
      <c r="AC14" s="671"/>
      <c r="AD14" s="671"/>
      <c r="AE14" s="671"/>
      <c r="AF14" s="671"/>
      <c r="AG14" s="671"/>
      <c r="AH14" s="671"/>
      <c r="AI14" s="671"/>
      <c r="AJ14" s="671"/>
      <c r="AK14" s="671"/>
    </row>
    <row r="15" spans="1:37" ht="16.95" customHeight="1" x14ac:dyDescent="0.3">
      <c r="A15" s="814"/>
      <c r="B15" s="214">
        <v>12</v>
      </c>
      <c r="C15" s="675">
        <v>0.3353759</v>
      </c>
      <c r="D15" s="675">
        <v>0.26839819999999998</v>
      </c>
      <c r="E15" s="675">
        <v>0.19466249999999999</v>
      </c>
      <c r="F15" s="675">
        <v>0.20156350000000001</v>
      </c>
      <c r="G15" s="215"/>
      <c r="H15" s="59">
        <f t="shared" si="1"/>
        <v>1.0000000999999998</v>
      </c>
      <c r="J15" s="34"/>
      <c r="K15" s="671"/>
      <c r="L15" s="671"/>
      <c r="M15" s="671"/>
      <c r="N15" s="671"/>
      <c r="O15" s="671"/>
      <c r="P15" s="671"/>
      <c r="Q15" s="671"/>
      <c r="R15" s="671"/>
      <c r="S15" s="671"/>
      <c r="T15" s="671"/>
      <c r="U15" s="671"/>
      <c r="V15" s="671"/>
      <c r="W15" s="671"/>
      <c r="X15" s="671"/>
      <c r="Y15" s="671"/>
      <c r="Z15" s="671"/>
      <c r="AA15" s="671"/>
      <c r="AB15" s="671"/>
      <c r="AC15" s="671"/>
      <c r="AD15" s="671"/>
      <c r="AE15" s="671"/>
      <c r="AF15" s="671"/>
      <c r="AG15" s="671"/>
      <c r="AH15" s="671"/>
      <c r="AI15" s="671"/>
      <c r="AJ15" s="671"/>
      <c r="AK15" s="671"/>
    </row>
    <row r="16" spans="1:37" ht="16.95" customHeight="1" x14ac:dyDescent="0.3">
      <c r="A16" s="814"/>
      <c r="B16" s="214">
        <v>13</v>
      </c>
      <c r="C16" s="675">
        <v>0.3473366</v>
      </c>
      <c r="D16" s="675">
        <v>0.15784429999999999</v>
      </c>
      <c r="E16" s="675">
        <v>0.20058680000000001</v>
      </c>
      <c r="F16" s="675">
        <v>0.2942322</v>
      </c>
      <c r="G16" s="215"/>
      <c r="H16" s="59">
        <f t="shared" si="1"/>
        <v>0.99999989999999994</v>
      </c>
      <c r="J16" s="501"/>
      <c r="K16" s="671"/>
      <c r="L16" s="671"/>
      <c r="M16" s="671"/>
      <c r="N16" s="671"/>
      <c r="O16" s="671"/>
      <c r="P16" s="671"/>
      <c r="Q16" s="671"/>
      <c r="R16" s="671"/>
      <c r="S16" s="671"/>
      <c r="T16" s="671"/>
      <c r="U16" s="671"/>
      <c r="V16" s="671"/>
      <c r="W16" s="671"/>
      <c r="X16" s="671"/>
      <c r="Y16" s="671"/>
      <c r="Z16" s="671"/>
      <c r="AA16" s="671"/>
      <c r="AB16" s="671"/>
      <c r="AC16" s="671"/>
      <c r="AD16" s="671"/>
      <c r="AE16" s="671"/>
      <c r="AF16" s="671"/>
      <c r="AG16" s="671"/>
      <c r="AH16" s="671"/>
      <c r="AI16" s="671"/>
      <c r="AJ16" s="671"/>
      <c r="AK16" s="671"/>
    </row>
    <row r="17" spans="1:37" ht="16.95" customHeight="1" x14ac:dyDescent="0.3">
      <c r="A17" s="814"/>
      <c r="B17" s="214">
        <v>14</v>
      </c>
      <c r="C17" s="675">
        <v>0.44629010000000002</v>
      </c>
      <c r="D17" s="675">
        <v>0.28773490000000002</v>
      </c>
      <c r="E17" s="675">
        <v>0.13262579999999999</v>
      </c>
      <c r="F17" s="675">
        <v>0.1333491</v>
      </c>
      <c r="G17" s="215"/>
      <c r="H17" s="59">
        <f t="shared" si="1"/>
        <v>0.99999990000000005</v>
      </c>
      <c r="J17" s="501"/>
      <c r="K17" s="671"/>
      <c r="L17" s="671"/>
      <c r="M17" s="671"/>
      <c r="N17" s="671"/>
      <c r="O17" s="671"/>
      <c r="P17" s="671"/>
      <c r="Q17" s="671"/>
      <c r="R17" s="671"/>
      <c r="S17" s="671"/>
      <c r="T17" s="671"/>
      <c r="U17" s="671"/>
      <c r="V17" s="671"/>
      <c r="W17" s="671"/>
      <c r="X17" s="671"/>
      <c r="Y17" s="671"/>
      <c r="Z17" s="671"/>
      <c r="AA17" s="671"/>
      <c r="AB17" s="671"/>
      <c r="AC17" s="671"/>
      <c r="AD17" s="671"/>
      <c r="AE17" s="671"/>
      <c r="AF17" s="671"/>
      <c r="AG17" s="671"/>
      <c r="AH17" s="671"/>
      <c r="AI17" s="671"/>
      <c r="AJ17" s="671"/>
      <c r="AK17" s="671"/>
    </row>
    <row r="18" spans="1:37" ht="16.95" customHeight="1" x14ac:dyDescent="0.3">
      <c r="A18" s="814"/>
      <c r="B18" s="214">
        <v>15</v>
      </c>
      <c r="C18" s="675">
        <v>0.32141819999999999</v>
      </c>
      <c r="D18" s="675">
        <v>0.43446289999999999</v>
      </c>
      <c r="E18" s="675">
        <v>1.40941E-2</v>
      </c>
      <c r="F18" s="675">
        <v>0.2300248</v>
      </c>
      <c r="G18" s="215"/>
      <c r="H18" s="59">
        <f t="shared" si="1"/>
        <v>1</v>
      </c>
      <c r="J18" s="501"/>
      <c r="K18" s="57"/>
      <c r="L18" s="676"/>
      <c r="M18" s="676"/>
      <c r="N18" s="676"/>
      <c r="O18" s="676"/>
      <c r="P18" s="676"/>
      <c r="Q18" s="676"/>
      <c r="R18" s="676"/>
      <c r="S18" s="676"/>
      <c r="T18" s="676"/>
      <c r="U18" s="676"/>
      <c r="V18" s="676"/>
      <c r="W18" s="676"/>
      <c r="X18" s="676"/>
      <c r="Y18" s="676"/>
      <c r="Z18" s="676"/>
      <c r="AA18" s="676"/>
      <c r="AB18" s="676"/>
      <c r="AC18" s="676"/>
      <c r="AD18" s="676"/>
      <c r="AE18" s="676"/>
      <c r="AF18" s="676"/>
      <c r="AG18" s="676"/>
      <c r="AH18" s="676"/>
      <c r="AI18" s="676"/>
      <c r="AJ18" s="676"/>
      <c r="AK18" s="676"/>
    </row>
    <row r="19" spans="1:37" ht="16.95" customHeight="1" x14ac:dyDescent="0.3">
      <c r="A19" s="814"/>
      <c r="B19" s="214">
        <v>16</v>
      </c>
      <c r="C19" s="675">
        <v>0.36290699999999998</v>
      </c>
      <c r="D19" s="675">
        <v>0.2614746</v>
      </c>
      <c r="E19" s="675">
        <v>0.13040950000000001</v>
      </c>
      <c r="F19" s="675">
        <v>0.24520890000000001</v>
      </c>
      <c r="G19" s="215"/>
      <c r="H19" s="59">
        <f t="shared" si="1"/>
        <v>1</v>
      </c>
      <c r="J19" s="501"/>
      <c r="K19" s="57"/>
      <c r="L19" s="676"/>
      <c r="M19" s="676"/>
      <c r="N19" s="676"/>
      <c r="O19" s="676"/>
      <c r="P19" s="676"/>
      <c r="Q19" s="676"/>
      <c r="R19" s="676"/>
      <c r="S19" s="676"/>
      <c r="T19" s="676"/>
      <c r="U19" s="676"/>
      <c r="V19" s="676"/>
      <c r="W19" s="676"/>
      <c r="X19" s="676"/>
      <c r="Y19" s="676"/>
      <c r="Z19" s="676"/>
      <c r="AA19" s="676"/>
      <c r="AB19" s="676"/>
      <c r="AC19" s="676"/>
      <c r="AD19" s="676"/>
      <c r="AE19" s="676"/>
      <c r="AF19" s="676"/>
      <c r="AG19" s="676"/>
      <c r="AH19" s="676"/>
      <c r="AI19" s="676"/>
      <c r="AJ19" s="676"/>
      <c r="AK19" s="676"/>
    </row>
    <row r="20" spans="1:37" ht="15.6" customHeight="1" x14ac:dyDescent="0.3">
      <c r="A20" s="814"/>
      <c r="B20" s="215" t="s">
        <v>793</v>
      </c>
      <c r="C20" s="675">
        <v>0.41194049999999999</v>
      </c>
      <c r="D20" s="675">
        <v>0.29153499999999999</v>
      </c>
      <c r="E20" s="675">
        <v>0.15090229999999999</v>
      </c>
      <c r="F20" s="675">
        <v>0.14562220000000001</v>
      </c>
      <c r="G20" s="215"/>
      <c r="H20" s="59">
        <f t="shared" si="1"/>
        <v>1</v>
      </c>
    </row>
    <row r="21" spans="1:37" x14ac:dyDescent="0.25">
      <c r="C21" s="670"/>
    </row>
    <row r="22" spans="1:37" x14ac:dyDescent="0.25">
      <c r="A22" s="3" t="s">
        <v>794</v>
      </c>
      <c r="C22" s="670"/>
    </row>
    <row r="23" spans="1:37" x14ac:dyDescent="0.25">
      <c r="A23" s="3" t="s">
        <v>790</v>
      </c>
      <c r="C23" s="670"/>
    </row>
    <row r="25" spans="1:37" ht="15.75" customHeight="1" x14ac:dyDescent="0.25"/>
    <row r="44" spans="1:14" x14ac:dyDescent="0.25">
      <c r="A44" s="666"/>
      <c r="B44" s="666"/>
      <c r="C44" s="666"/>
      <c r="D44" s="666"/>
      <c r="E44" s="666"/>
      <c r="F44" s="666"/>
    </row>
    <row r="45" spans="1:14" x14ac:dyDescent="0.25">
      <c r="A45" s="666"/>
      <c r="B45" s="666"/>
      <c r="C45" s="666"/>
      <c r="D45" s="666"/>
      <c r="E45" s="666"/>
      <c r="F45" s="666"/>
    </row>
    <row r="46" spans="1:14" x14ac:dyDescent="0.25">
      <c r="A46" s="667"/>
      <c r="B46" s="668"/>
      <c r="C46" s="668"/>
      <c r="D46" s="668"/>
      <c r="E46" s="668"/>
      <c r="F46" s="31"/>
      <c r="G46" s="31"/>
      <c r="J46" s="31"/>
      <c r="K46" s="31"/>
      <c r="L46" s="31"/>
      <c r="M46" s="31"/>
      <c r="N46" s="31"/>
    </row>
    <row r="47" spans="1:14" x14ac:dyDescent="0.25">
      <c r="A47" s="667"/>
      <c r="B47" s="668"/>
      <c r="C47" s="668"/>
      <c r="D47" s="668"/>
      <c r="E47" s="668"/>
      <c r="F47" s="31"/>
      <c r="G47" s="31"/>
      <c r="J47" s="31"/>
      <c r="K47" s="31"/>
      <c r="L47" s="31"/>
      <c r="M47" s="31"/>
      <c r="N47" s="31"/>
    </row>
    <row r="48" spans="1:14" x14ac:dyDescent="0.25">
      <c r="A48" s="667"/>
      <c r="B48" s="668"/>
      <c r="C48" s="668"/>
      <c r="D48" s="668"/>
      <c r="E48" s="668"/>
      <c r="F48" s="31"/>
      <c r="G48" s="31"/>
      <c r="J48" s="31"/>
      <c r="K48" s="31"/>
      <c r="L48" s="31"/>
      <c r="M48" s="31"/>
      <c r="N48" s="31"/>
    </row>
    <row r="49" spans="1:14" x14ac:dyDescent="0.25">
      <c r="A49" s="667"/>
      <c r="B49" s="668"/>
      <c r="C49" s="668"/>
      <c r="D49" s="668"/>
      <c r="E49" s="668"/>
      <c r="F49" s="31"/>
      <c r="G49" s="31"/>
      <c r="J49" s="31"/>
      <c r="K49" s="31"/>
      <c r="L49" s="31"/>
      <c r="M49" s="31"/>
      <c r="N49" s="31"/>
    </row>
    <row r="50" spans="1:14" x14ac:dyDescent="0.25">
      <c r="A50" s="667"/>
      <c r="B50" s="668"/>
      <c r="C50" s="668"/>
      <c r="D50" s="668"/>
      <c r="E50" s="668"/>
      <c r="F50" s="31"/>
      <c r="G50" s="31"/>
      <c r="J50" s="31"/>
      <c r="K50" s="31"/>
      <c r="L50" s="31"/>
      <c r="M50" s="31"/>
      <c r="N50" s="31"/>
    </row>
    <row r="51" spans="1:14" x14ac:dyDescent="0.25">
      <c r="A51" s="667"/>
      <c r="B51" s="668"/>
      <c r="C51" s="668"/>
      <c r="D51" s="668"/>
      <c r="E51" s="668"/>
      <c r="F51" s="31"/>
      <c r="G51" s="31"/>
      <c r="J51" s="31"/>
      <c r="K51" s="31"/>
      <c r="L51" s="31"/>
      <c r="M51" s="31"/>
      <c r="N51" s="31"/>
    </row>
    <row r="52" spans="1:14" x14ac:dyDescent="0.25">
      <c r="A52" s="667"/>
      <c r="B52" s="668"/>
      <c r="C52" s="668"/>
      <c r="D52" s="668"/>
      <c r="E52" s="668"/>
      <c r="F52" s="31"/>
      <c r="G52" s="31"/>
      <c r="J52" s="31"/>
      <c r="K52" s="31"/>
      <c r="L52" s="31"/>
      <c r="M52" s="31"/>
      <c r="N52" s="31"/>
    </row>
    <row r="53" spans="1:14" x14ac:dyDescent="0.25">
      <c r="A53" s="667"/>
      <c r="B53" s="668"/>
      <c r="C53" s="668"/>
      <c r="D53" s="668"/>
      <c r="E53" s="668"/>
      <c r="F53" s="31"/>
      <c r="G53" s="31"/>
      <c r="J53" s="31"/>
      <c r="K53" s="31"/>
      <c r="L53" s="31"/>
      <c r="M53" s="31"/>
      <c r="N53" s="31"/>
    </row>
    <row r="54" spans="1:14" x14ac:dyDescent="0.25">
      <c r="A54" s="667"/>
      <c r="B54" s="668"/>
      <c r="C54" s="668"/>
      <c r="D54" s="668"/>
      <c r="E54" s="668"/>
      <c r="F54" s="31"/>
      <c r="G54" s="31"/>
      <c r="J54" s="31"/>
      <c r="K54" s="31"/>
      <c r="L54" s="31"/>
      <c r="M54" s="31"/>
      <c r="N54" s="31"/>
    </row>
    <row r="55" spans="1:14" x14ac:dyDescent="0.25">
      <c r="A55" s="667"/>
      <c r="B55" s="668"/>
      <c r="C55" s="668"/>
      <c r="D55" s="668"/>
      <c r="E55" s="668"/>
      <c r="F55" s="31"/>
      <c r="G55" s="31"/>
      <c r="J55" s="31"/>
      <c r="K55" s="31"/>
      <c r="L55" s="31"/>
      <c r="M55" s="31"/>
      <c r="N55" s="31"/>
    </row>
    <row r="56" spans="1:14" x14ac:dyDescent="0.25">
      <c r="A56" s="667"/>
      <c r="B56" s="668"/>
      <c r="C56" s="668"/>
      <c r="D56" s="668"/>
      <c r="E56" s="668"/>
      <c r="F56" s="31"/>
      <c r="G56" s="31"/>
      <c r="J56" s="31"/>
      <c r="K56" s="31"/>
      <c r="L56" s="31"/>
      <c r="M56" s="31"/>
      <c r="N56" s="31"/>
    </row>
    <row r="57" spans="1:14" x14ac:dyDescent="0.25">
      <c r="A57" s="667"/>
      <c r="B57" s="668"/>
      <c r="C57" s="668"/>
      <c r="D57" s="668"/>
      <c r="E57" s="668"/>
      <c r="F57" s="31"/>
      <c r="G57" s="31"/>
      <c r="J57" s="31"/>
      <c r="K57" s="31"/>
      <c r="L57" s="31"/>
      <c r="M57" s="31"/>
      <c r="N57" s="31"/>
    </row>
    <row r="58" spans="1:14" x14ac:dyDescent="0.25">
      <c r="A58" s="667"/>
      <c r="B58" s="668"/>
      <c r="C58" s="668"/>
      <c r="D58" s="668"/>
      <c r="E58" s="668"/>
      <c r="F58" s="31"/>
      <c r="G58" s="31"/>
      <c r="J58" s="31"/>
      <c r="K58" s="31"/>
      <c r="L58" s="31"/>
      <c r="M58" s="31"/>
      <c r="N58" s="31"/>
    </row>
    <row r="59" spans="1:14" x14ac:dyDescent="0.25">
      <c r="A59" s="667"/>
      <c r="B59" s="668"/>
      <c r="C59" s="668"/>
      <c r="D59" s="668"/>
      <c r="E59" s="668"/>
      <c r="F59" s="31"/>
      <c r="G59" s="31"/>
      <c r="J59" s="31"/>
      <c r="K59" s="31"/>
      <c r="L59" s="31"/>
      <c r="M59" s="31"/>
      <c r="N59" s="31"/>
    </row>
    <row r="60" spans="1:14" x14ac:dyDescent="0.25">
      <c r="A60" s="667"/>
      <c r="B60" s="668"/>
      <c r="C60" s="668"/>
      <c r="D60" s="669"/>
      <c r="E60" s="668"/>
      <c r="F60" s="31"/>
      <c r="G60" s="31"/>
      <c r="J60" s="31"/>
      <c r="K60" s="31"/>
      <c r="L60" s="31"/>
      <c r="M60" s="31"/>
      <c r="N60" s="31"/>
    </row>
    <row r="61" spans="1:14" x14ac:dyDescent="0.25">
      <c r="A61" s="667"/>
      <c r="B61" s="31"/>
      <c r="C61" s="31"/>
      <c r="D61" s="31"/>
      <c r="E61" s="31"/>
      <c r="F61" s="31"/>
      <c r="G61" s="31"/>
      <c r="J61" s="31"/>
      <c r="K61" s="31"/>
      <c r="L61" s="31"/>
      <c r="M61" s="31"/>
      <c r="N61" s="31"/>
    </row>
    <row r="62" spans="1:14" x14ac:dyDescent="0.25">
      <c r="A62" s="31"/>
      <c r="B62" s="31"/>
      <c r="C62" s="31"/>
      <c r="D62" s="31"/>
      <c r="E62" s="31"/>
      <c r="F62" s="31"/>
      <c r="G62" s="31"/>
      <c r="J62" s="31"/>
      <c r="K62" s="31"/>
      <c r="L62" s="31"/>
      <c r="M62" s="31"/>
      <c r="N62" s="31"/>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dimension ref="A1:J2"/>
  <sheetViews>
    <sheetView workbookViewId="0">
      <selection sqref="A1:J1"/>
    </sheetView>
  </sheetViews>
  <sheetFormatPr defaultRowHeight="14.4" x14ac:dyDescent="0.3"/>
  <sheetData>
    <row r="1" spans="1:10" ht="19.2" customHeight="1" x14ac:dyDescent="0.3">
      <c r="A1" s="818" t="str">
        <f>"PV - "&amp;Prototype!A2</f>
        <v>PV - Hospital</v>
      </c>
      <c r="B1" s="818"/>
      <c r="C1" s="818"/>
      <c r="D1" s="818"/>
      <c r="E1" s="818"/>
      <c r="F1" s="818"/>
      <c r="G1" s="818"/>
      <c r="H1" s="818"/>
      <c r="I1" s="818"/>
      <c r="J1" s="818"/>
    </row>
    <row r="2" spans="1:10" x14ac:dyDescent="0.3">
      <c r="A2" t="s">
        <v>795</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6640625" defaultRowHeight="13.2" x14ac:dyDescent="0.25"/>
  <cols>
    <col min="1" max="1" width="21" style="3" customWidth="1"/>
    <col min="2" max="2" width="14.33203125" style="3" customWidth="1"/>
    <col min="3" max="3" width="14.5546875" style="3" customWidth="1"/>
    <col min="4" max="8" width="8.6640625" style="3"/>
    <col min="9" max="9" width="13.6640625" style="3" customWidth="1"/>
    <col min="10" max="10" width="14.44140625" style="3" customWidth="1"/>
    <col min="11" max="16384" width="8.6640625" style="3"/>
  </cols>
  <sheetData>
    <row r="1" spans="1:8" ht="15.6" x14ac:dyDescent="0.25">
      <c r="A1" s="818" t="str">
        <f>"EV Charger - "&amp;Prototype!A2</f>
        <v>EV Charger - Hospital</v>
      </c>
      <c r="B1" s="818"/>
      <c r="C1" s="818"/>
      <c r="D1" s="818"/>
      <c r="E1" s="818"/>
      <c r="F1" s="818"/>
      <c r="G1" s="818"/>
      <c r="H1" s="818"/>
    </row>
    <row r="2" spans="1:8" x14ac:dyDescent="0.25">
      <c r="A2" s="3" t="s">
        <v>795</v>
      </c>
      <c r="B2" s="42"/>
      <c r="C2" s="43"/>
      <c r="D2" s="44"/>
      <c r="E2" s="44"/>
    </row>
    <row r="3" spans="1:8" x14ac:dyDescent="0.25">
      <c r="A3" s="754"/>
      <c r="B3" s="41"/>
      <c r="C3" s="502"/>
      <c r="D3" s="45"/>
      <c r="E3" s="45"/>
    </row>
    <row r="11" spans="1:8" s="22" customFormat="1" hidden="1" x14ac:dyDescent="0.25">
      <c r="A11" s="22" t="s">
        <v>241</v>
      </c>
      <c r="E11" s="23"/>
      <c r="F11" s="24"/>
      <c r="G11" s="25"/>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E4553-2A73-4E4B-9FCB-9F59F3984FF3}">
  <dimension ref="A1:G83"/>
  <sheetViews>
    <sheetView workbookViewId="0"/>
  </sheetViews>
  <sheetFormatPr defaultRowHeight="14.4" x14ac:dyDescent="0.3"/>
  <cols>
    <col min="1" max="1" width="58.6640625" customWidth="1"/>
    <col min="2" max="2" width="30.88671875" customWidth="1"/>
    <col min="3" max="3" width="30.33203125" customWidth="1"/>
  </cols>
  <sheetData>
    <row r="1" spans="1:7" x14ac:dyDescent="0.3">
      <c r="A1" t="s">
        <v>796</v>
      </c>
      <c r="B1" t="s">
        <v>797</v>
      </c>
      <c r="C1" t="s">
        <v>797</v>
      </c>
      <c r="D1" s="1183" t="s">
        <v>798</v>
      </c>
      <c r="E1" s="1183"/>
      <c r="F1" s="1183"/>
      <c r="G1" s="1183"/>
    </row>
    <row r="2" spans="1:7" x14ac:dyDescent="0.3">
      <c r="A2" s="751" t="s">
        <v>799</v>
      </c>
      <c r="D2">
        <v>2013</v>
      </c>
      <c r="E2">
        <v>2016</v>
      </c>
      <c r="F2">
        <v>2019</v>
      </c>
      <c r="G2">
        <v>2025</v>
      </c>
    </row>
    <row r="3" spans="1:7" x14ac:dyDescent="0.3">
      <c r="A3" s="751" t="s">
        <v>800</v>
      </c>
    </row>
    <row r="4" spans="1:7" x14ac:dyDescent="0.3">
      <c r="A4" t="s">
        <v>801</v>
      </c>
    </row>
    <row r="5" spans="1:7" x14ac:dyDescent="0.3">
      <c r="A5" t="s">
        <v>802</v>
      </c>
    </row>
    <row r="6" spans="1:7" x14ac:dyDescent="0.3">
      <c r="A6" t="s">
        <v>803</v>
      </c>
    </row>
    <row r="7" spans="1:7" x14ac:dyDescent="0.3">
      <c r="A7" t="s">
        <v>804</v>
      </c>
    </row>
    <row r="8" spans="1:7" x14ac:dyDescent="0.3">
      <c r="A8" t="s">
        <v>805</v>
      </c>
    </row>
    <row r="9" spans="1:7" x14ac:dyDescent="0.3">
      <c r="A9" t="s">
        <v>806</v>
      </c>
    </row>
    <row r="10" spans="1:7" x14ac:dyDescent="0.3">
      <c r="A10" t="s">
        <v>807</v>
      </c>
    </row>
    <row r="11" spans="1:7" x14ac:dyDescent="0.3">
      <c r="A11" t="s">
        <v>808</v>
      </c>
    </row>
    <row r="12" spans="1:7" x14ac:dyDescent="0.3">
      <c r="A12" t="s">
        <v>809</v>
      </c>
    </row>
    <row r="13" spans="1:7" x14ac:dyDescent="0.3">
      <c r="A13" t="s">
        <v>810</v>
      </c>
    </row>
    <row r="14" spans="1:7" x14ac:dyDescent="0.3">
      <c r="A14" t="s">
        <v>811</v>
      </c>
    </row>
    <row r="15" spans="1:7" x14ac:dyDescent="0.3">
      <c r="A15" t="s">
        <v>812</v>
      </c>
    </row>
    <row r="16" spans="1:7" x14ac:dyDescent="0.3">
      <c r="A16" t="s">
        <v>813</v>
      </c>
    </row>
    <row r="17" spans="1:1" x14ac:dyDescent="0.3">
      <c r="A17" t="s">
        <v>814</v>
      </c>
    </row>
    <row r="18" spans="1:1" x14ac:dyDescent="0.3">
      <c r="A18" t="s">
        <v>815</v>
      </c>
    </row>
    <row r="19" spans="1:1" x14ac:dyDescent="0.3">
      <c r="A19" t="s">
        <v>135</v>
      </c>
    </row>
    <row r="20" spans="1:1" x14ac:dyDescent="0.3">
      <c r="A20" t="s">
        <v>816</v>
      </c>
    </row>
    <row r="21" spans="1:1" x14ac:dyDescent="0.3">
      <c r="A21" t="s">
        <v>153</v>
      </c>
    </row>
    <row r="22" spans="1:1" x14ac:dyDescent="0.3">
      <c r="A22" t="s">
        <v>817</v>
      </c>
    </row>
    <row r="23" spans="1:1" x14ac:dyDescent="0.3">
      <c r="A23" t="s">
        <v>127</v>
      </c>
    </row>
    <row r="24" spans="1:1" x14ac:dyDescent="0.3">
      <c r="A24" t="s">
        <v>818</v>
      </c>
    </row>
    <row r="25" spans="1:1" x14ac:dyDescent="0.3">
      <c r="A25" t="s">
        <v>819</v>
      </c>
    </row>
    <row r="26" spans="1:1" x14ac:dyDescent="0.3">
      <c r="A26" t="s">
        <v>157</v>
      </c>
    </row>
    <row r="27" spans="1:1" x14ac:dyDescent="0.3">
      <c r="A27" t="s">
        <v>231</v>
      </c>
    </row>
    <row r="28" spans="1:1" x14ac:dyDescent="0.3">
      <c r="A28" t="s">
        <v>142</v>
      </c>
    </row>
    <row r="29" spans="1:1" x14ac:dyDescent="0.3">
      <c r="A29" t="s">
        <v>820</v>
      </c>
    </row>
    <row r="30" spans="1:1" x14ac:dyDescent="0.3">
      <c r="A30" t="s">
        <v>163</v>
      </c>
    </row>
    <row r="31" spans="1:1" x14ac:dyDescent="0.3">
      <c r="A31" t="s">
        <v>201</v>
      </c>
    </row>
    <row r="32" spans="1:1" x14ac:dyDescent="0.3">
      <c r="A32" t="s">
        <v>209</v>
      </c>
    </row>
    <row r="33" spans="1:1" x14ac:dyDescent="0.3">
      <c r="A33" t="s">
        <v>229</v>
      </c>
    </row>
    <row r="34" spans="1:1" x14ac:dyDescent="0.3">
      <c r="A34" t="s">
        <v>169</v>
      </c>
    </row>
    <row r="35" spans="1:1" x14ac:dyDescent="0.3">
      <c r="A35" t="s">
        <v>821</v>
      </c>
    </row>
    <row r="36" spans="1:1" x14ac:dyDescent="0.3">
      <c r="A36" t="s">
        <v>177</v>
      </c>
    </row>
    <row r="37" spans="1:1" x14ac:dyDescent="0.3">
      <c r="A37" t="s">
        <v>822</v>
      </c>
    </row>
    <row r="38" spans="1:1" x14ac:dyDescent="0.3">
      <c r="A38" t="s">
        <v>181</v>
      </c>
    </row>
    <row r="39" spans="1:1" x14ac:dyDescent="0.3">
      <c r="A39" t="s">
        <v>132</v>
      </c>
    </row>
    <row r="40" spans="1:1" x14ac:dyDescent="0.3">
      <c r="A40" t="s">
        <v>823</v>
      </c>
    </row>
    <row r="41" spans="1:1" x14ac:dyDescent="0.3">
      <c r="A41" t="s">
        <v>824</v>
      </c>
    </row>
    <row r="42" spans="1:1" x14ac:dyDescent="0.3">
      <c r="A42" t="s">
        <v>186</v>
      </c>
    </row>
    <row r="43" spans="1:1" x14ac:dyDescent="0.3">
      <c r="A43" t="s">
        <v>825</v>
      </c>
    </row>
    <row r="44" spans="1:1" x14ac:dyDescent="0.3">
      <c r="A44" t="s">
        <v>826</v>
      </c>
    </row>
    <row r="45" spans="1:1" x14ac:dyDescent="0.3">
      <c r="A45" t="s">
        <v>827</v>
      </c>
    </row>
    <row r="46" spans="1:1" x14ac:dyDescent="0.3">
      <c r="A46" t="s">
        <v>828</v>
      </c>
    </row>
    <row r="47" spans="1:1" x14ac:dyDescent="0.3">
      <c r="A47" t="s">
        <v>829</v>
      </c>
    </row>
    <row r="48" spans="1:1" x14ac:dyDescent="0.3">
      <c r="A48" t="s">
        <v>830</v>
      </c>
    </row>
    <row r="49" spans="1:1" x14ac:dyDescent="0.3">
      <c r="A49" t="s">
        <v>831</v>
      </c>
    </row>
    <row r="50" spans="1:1" x14ac:dyDescent="0.3">
      <c r="A50" t="s">
        <v>193</v>
      </c>
    </row>
    <row r="51" spans="1:1" x14ac:dyDescent="0.3">
      <c r="A51" t="s">
        <v>196</v>
      </c>
    </row>
    <row r="52" spans="1:1" x14ac:dyDescent="0.3">
      <c r="A52" t="s">
        <v>832</v>
      </c>
    </row>
    <row r="53" spans="1:1" x14ac:dyDescent="0.3">
      <c r="A53" t="s">
        <v>833</v>
      </c>
    </row>
    <row r="54" spans="1:1" x14ac:dyDescent="0.3">
      <c r="A54" t="s">
        <v>834</v>
      </c>
    </row>
    <row r="55" spans="1:1" x14ac:dyDescent="0.3">
      <c r="A55" t="s">
        <v>835</v>
      </c>
    </row>
    <row r="56" spans="1:1" x14ac:dyDescent="0.3">
      <c r="A56" t="s">
        <v>836</v>
      </c>
    </row>
    <row r="57" spans="1:1" x14ac:dyDescent="0.3">
      <c r="A57" t="s">
        <v>837</v>
      </c>
    </row>
    <row r="58" spans="1:1" x14ac:dyDescent="0.3">
      <c r="A58" t="s">
        <v>838</v>
      </c>
    </row>
    <row r="59" spans="1:1" x14ac:dyDescent="0.3">
      <c r="A59" t="s">
        <v>839</v>
      </c>
    </row>
    <row r="60" spans="1:1" x14ac:dyDescent="0.3">
      <c r="A60" t="s">
        <v>840</v>
      </c>
    </row>
    <row r="61" spans="1:1" x14ac:dyDescent="0.3">
      <c r="A61" t="s">
        <v>841</v>
      </c>
    </row>
    <row r="62" spans="1:1" x14ac:dyDescent="0.3">
      <c r="A62" t="s">
        <v>842</v>
      </c>
    </row>
    <row r="63" spans="1:1" x14ac:dyDescent="0.3">
      <c r="A63" t="s">
        <v>843</v>
      </c>
    </row>
    <row r="64" spans="1:1" x14ac:dyDescent="0.3">
      <c r="A64" t="s">
        <v>844</v>
      </c>
    </row>
    <row r="65" spans="1:1" x14ac:dyDescent="0.3">
      <c r="A65" t="s">
        <v>845</v>
      </c>
    </row>
    <row r="66" spans="1:1" x14ac:dyDescent="0.3">
      <c r="A66" t="s">
        <v>846</v>
      </c>
    </row>
    <row r="67" spans="1:1" x14ac:dyDescent="0.3">
      <c r="A67" t="s">
        <v>847</v>
      </c>
    </row>
    <row r="68" spans="1:1" x14ac:dyDescent="0.3">
      <c r="A68" t="s">
        <v>848</v>
      </c>
    </row>
    <row r="69" spans="1:1" x14ac:dyDescent="0.3">
      <c r="A69" t="s">
        <v>849</v>
      </c>
    </row>
    <row r="70" spans="1:1" x14ac:dyDescent="0.3">
      <c r="A70" t="s">
        <v>850</v>
      </c>
    </row>
    <row r="71" spans="1:1" x14ac:dyDescent="0.3">
      <c r="A71" t="s">
        <v>851</v>
      </c>
    </row>
    <row r="72" spans="1:1" x14ac:dyDescent="0.3">
      <c r="A72" t="s">
        <v>852</v>
      </c>
    </row>
    <row r="73" spans="1:1" x14ac:dyDescent="0.3">
      <c r="A73" t="s">
        <v>853</v>
      </c>
    </row>
    <row r="74" spans="1:1" x14ac:dyDescent="0.3">
      <c r="A74" t="s">
        <v>854</v>
      </c>
    </row>
    <row r="75" spans="1:1" x14ac:dyDescent="0.3">
      <c r="A75" t="s">
        <v>855</v>
      </c>
    </row>
    <row r="76" spans="1:1" x14ac:dyDescent="0.3">
      <c r="A76" t="s">
        <v>856</v>
      </c>
    </row>
    <row r="77" spans="1:1" x14ac:dyDescent="0.3">
      <c r="A77" t="s">
        <v>857</v>
      </c>
    </row>
    <row r="78" spans="1:1" x14ac:dyDescent="0.3">
      <c r="A78" t="s">
        <v>858</v>
      </c>
    </row>
    <row r="79" spans="1:1" x14ac:dyDescent="0.3">
      <c r="A79" t="s">
        <v>601</v>
      </c>
    </row>
    <row r="80" spans="1:1" x14ac:dyDescent="0.3">
      <c r="A80" t="s">
        <v>859</v>
      </c>
    </row>
    <row r="81" spans="1:1" x14ac:dyDescent="0.3">
      <c r="A81" t="s">
        <v>860</v>
      </c>
    </row>
    <row r="82" spans="1:1" x14ac:dyDescent="0.3">
      <c r="A82" t="s">
        <v>138</v>
      </c>
    </row>
    <row r="83" spans="1:1" x14ac:dyDescent="0.3">
      <c r="A83" t="s">
        <v>861</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46676A-D102-4D8D-954B-5DEE109284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921AF10-0BF8-441A-BDBA-64AF3E09D4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Ventilation</vt:lpstr>
      <vt:lpstr>Thermostat</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2026-10-27T16:35:35Z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ContentTypeId">
    <vt:lpwstr>0x0101003D1D6A7EB2452B4A86A9506D4E13D4C9</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MSIP_Label_aa7be39c-9e9f-446a-a199-286f73f56a3f_Enabled">
    <vt:lpwstr>true</vt:lpwstr>
  </property>
  <property fmtid="{D5CDD505-2E9C-101B-9397-08002B2CF9AE}" pid="18" name="MSIP_Label_aa7be39c-9e9f-446a-a199-286f73f56a3f_SetDate">
    <vt:lpwstr>2026-08-12T16:32:52Z</vt:lpwstr>
  </property>
  <property fmtid="{D5CDD505-2E9C-101B-9397-08002B2CF9AE}" pid="19" name="MSIP_Label_aa7be39c-9e9f-446a-a199-286f73f56a3f_Method">
    <vt:lpwstr>Standard</vt:lpwstr>
  </property>
  <property fmtid="{D5CDD505-2E9C-101B-9397-08002B2CF9AE}" pid="20" name="MSIP_Label_aa7be39c-9e9f-446a-a199-286f73f56a3f_Name">
    <vt:lpwstr>Confidential</vt:lpwstr>
  </property>
  <property fmtid="{D5CDD505-2E9C-101B-9397-08002B2CF9AE}" pid="21" name="MSIP_Label_aa7be39c-9e9f-446a-a199-286f73f56a3f_SiteId">
    <vt:lpwstr>85ad2a97-6942-4d5d-bc9c-35cd3905d69a</vt:lpwstr>
  </property>
  <property fmtid="{D5CDD505-2E9C-101B-9397-08002B2CF9AE}" pid="22" name="MSIP_Label_aa7be39c-9e9f-446a-a199-286f73f56a3f_ActionId">
    <vt:lpwstr>9aa52be7-e90f-4db3-9dfa-3134fb3d14a1</vt:lpwstr>
  </property>
  <property fmtid="{D5CDD505-2E9C-101B-9397-08002B2CF9AE}" pid="23" name="MSIP_Label_aa7be39c-9e9f-446a-a199-286f73f56a3f_ContentBits">
    <vt:lpwstr>0</vt:lpwstr>
  </property>
  <property fmtid="{D5CDD505-2E9C-101B-9397-08002B2CF9AE}" pid="24" name="MSIP_Label_aa7be39c-9e9f-446a-a199-286f73f56a3f_Tag">
    <vt:lpwstr>10, 3, 0, 2</vt:lpwstr>
  </property>
</Properties>
</file>