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charts/chart21.xml" ContentType="application/vnd.openxmlformats-officedocument.drawingml.chart+xml"/>
  <Override PartName="/xl/charts/style18.xml" ContentType="application/vnd.ms-office.chartstyle+xml"/>
  <Override PartName="/xl/charts/colors18.xml" ContentType="application/vnd.ms-office.chartcolorstyle+xml"/>
  <Override PartName="/xl/charts/chart22.xml" ContentType="application/vnd.openxmlformats-officedocument.drawingml.chart+xml"/>
  <Override PartName="/xl/charts/chart23.xml" ContentType="application/vnd.openxmlformats-officedocument.drawingml.chart+xml"/>
  <Override PartName="/xl/charts/style19.xml" ContentType="application/vnd.ms-office.chartstyle+xml"/>
  <Override PartName="/xl/charts/colors19.xml" ContentType="application/vnd.ms-office.chartcolorstyle+xml"/>
  <Override PartName="/xl/charts/chart24.xml" ContentType="application/vnd.openxmlformats-officedocument.drawingml.chart+xml"/>
  <Override PartName="/xl/charts/style20.xml" ContentType="application/vnd.ms-office.chartstyle+xml"/>
  <Override PartName="/xl/charts/colors20.xml" ContentType="application/vnd.ms-office.chartcolorstyle+xml"/>
  <Override PartName="/xl/charts/chart25.xml" ContentType="application/vnd.openxmlformats-officedocument.drawingml.chart+xml"/>
  <Override PartName="/xl/charts/style21.xml" ContentType="application/vnd.ms-office.chartstyle+xml"/>
  <Override PartName="/xl/charts/colors21.xml" ContentType="application/vnd.ms-office.chartcolorstyle+xml"/>
  <Override PartName="/xl/charts/chart26.xml" ContentType="application/vnd.openxmlformats-officedocument.drawingml.chart+xml"/>
  <Override PartName="/xl/charts/style22.xml" ContentType="application/vnd.ms-office.chartstyle+xml"/>
  <Override PartName="/xl/charts/colors22.xml" ContentType="application/vnd.ms-office.chartcolorstyle+xml"/>
  <Override PartName="/xl/charts/chart27.xml" ContentType="application/vnd.openxmlformats-officedocument.drawingml.chart+xml"/>
  <Override PartName="/xl/charts/style23.xml" ContentType="application/vnd.ms-office.chartstyle+xml"/>
  <Override PartName="/xl/charts/colors23.xml" ContentType="application/vnd.ms-office.chartcolorstyle+xml"/>
  <Override PartName="/xl/charts/chart28.xml" ContentType="application/vnd.openxmlformats-officedocument.drawingml.chart+xml"/>
  <Override PartName="/xl/charts/style24.xml" ContentType="application/vnd.ms-office.chartstyle+xml"/>
  <Override PartName="/xl/charts/colors24.xml" ContentType="application/vnd.ms-office.chartcolorstyle+xml"/>
  <Override PartName="/xl/charts/chart29.xml" ContentType="application/vnd.openxmlformats-officedocument.drawingml.chart+xml"/>
  <Override PartName="/xl/charts/style25.xml" ContentType="application/vnd.ms-office.chartstyle+xml"/>
  <Override PartName="/xl/charts/colors25.xml" ContentType="application/vnd.ms-office.chartcolorstyle+xml"/>
  <Override PartName="/xl/charts/chart30.xml" ContentType="application/vnd.openxmlformats-officedocument.drawingml.chart+xml"/>
  <Override PartName="/xl/charts/style26.xml" ContentType="application/vnd.ms-office.chartstyle+xml"/>
  <Override PartName="/xl/charts/colors26.xml" ContentType="application/vnd.ms-office.chartcolorstyle+xml"/>
  <Override PartName="/xl/charts/chart31.xml" ContentType="application/vnd.openxmlformats-officedocument.drawingml.chart+xml"/>
  <Override PartName="/xl/charts/style27.xml" ContentType="application/vnd.ms-office.chartstyle+xml"/>
  <Override PartName="/xl/charts/colors27.xml" ContentType="application/vnd.ms-office.chartcolorstyle+xml"/>
  <Override PartName="/xl/charts/chart32.xml" ContentType="application/vnd.openxmlformats-officedocument.drawingml.chart+xml"/>
  <Override PartName="/xl/charts/style28.xml" ContentType="application/vnd.ms-office.chartstyle+xml"/>
  <Override PartName="/xl/charts/colors28.xml" ContentType="application/vnd.ms-office.chartcolorstyle+xml"/>
  <Override PartName="/xl/charts/chart33.xml" ContentType="application/vnd.openxmlformats-officedocument.drawingml.chart+xml"/>
  <Override PartName="/xl/charts/style29.xml" ContentType="application/vnd.ms-office.chartstyle+xml"/>
  <Override PartName="/xl/charts/colors29.xml" ContentType="application/vnd.ms-office.chartcolorstyle+xml"/>
  <Override PartName="/xl/charts/chart34.xml" ContentType="application/vnd.openxmlformats-officedocument.drawingml.chart+xml"/>
  <Override PartName="/xl/charts/style30.xml" ContentType="application/vnd.ms-office.chartstyle+xml"/>
  <Override PartName="/xl/charts/colors30.xml" ContentType="application/vnd.ms-office.chartcolorstyle+xml"/>
  <Override PartName="/xl/charts/chart35.xml" ContentType="application/vnd.openxmlformats-officedocument.drawingml.chart+xml"/>
  <Override PartName="/xl/charts/style31.xml" ContentType="application/vnd.ms-office.chartstyle+xml"/>
  <Override PartName="/xl/charts/colors31.xml" ContentType="application/vnd.ms-office.chartcolorstyle+xml"/>
  <Override PartName="/xl/charts/chart36.xml" ContentType="application/vnd.openxmlformats-officedocument.drawingml.chart+xml"/>
  <Override PartName="/xl/charts/style32.xml" ContentType="application/vnd.ms-office.chartstyle+xml"/>
  <Override PartName="/xl/charts/colors32.xml" ContentType="application/vnd.ms-office.chartcolorstyle+xml"/>
  <Override PartName="/xl/charts/chart37.xml" ContentType="application/vnd.openxmlformats-officedocument.drawingml.chart+xml"/>
  <Override PartName="/xl/charts/style33.xml" ContentType="application/vnd.ms-office.chartstyle+xml"/>
  <Override PartName="/xl/charts/colors33.xml" ContentType="application/vnd.ms-office.chartcolorstyle+xml"/>
  <Override PartName="/xl/charts/chart38.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8.xml" ContentType="application/vnd.openxmlformats-officedocument.drawing+xml"/>
  <Override PartName="/xl/charts/chart39.xml" ContentType="application/vnd.openxmlformats-officedocument.drawingml.chart+xml"/>
  <Override PartName="/xl/charts/style35.xml" ContentType="application/vnd.ms-office.chartstyle+xml"/>
  <Override PartName="/xl/charts/colors35.xml" ContentType="application/vnd.ms-office.chartcolorstyle+xml"/>
  <Override PartName="/xl/charts/chart40.xml" ContentType="application/vnd.openxmlformats-officedocument.drawingml.chart+xml"/>
  <Override PartName="/xl/charts/style36.xml" ContentType="application/vnd.ms-office.chartstyle+xml"/>
  <Override PartName="/xl/charts/colors36.xml" ContentType="application/vnd.ms-office.chartcolorstyle+xml"/>
  <Override PartName="/xl/charts/chart41.xml" ContentType="application/vnd.openxmlformats-officedocument.drawingml.chart+xml"/>
  <Override PartName="/xl/charts/style37.xml" ContentType="application/vnd.ms-office.chartstyle+xml"/>
  <Override PartName="/xl/charts/colors3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484C2B14-2922-4FE0-8C0A-55E8A8C8F376}" xr6:coauthVersionLast="47" xr6:coauthVersionMax="47" xr10:uidLastSave="{00000000-0000-0000-0000-000000000000}"/>
  <bookViews>
    <workbookView xWindow="-120" yWindow="-16320" windowWidth="29040" windowHeight="15720" tabRatio="767" activeTab="1" xr2:uid="{EAC23EE3-0CA0-4FF8-990D-9B21A59FA3E0}"/>
  </bookViews>
  <sheets>
    <sheet name="Notes" sheetId="23" r:id="rId1"/>
    <sheet name="Prototype" sheetId="2" r:id="rId2"/>
    <sheet name="Zones" sheetId="13" r:id="rId3"/>
    <sheet name="Envelope" sheetId="1" r:id="rId4"/>
    <sheet name="HVAC System" sheetId="14" r:id="rId5"/>
    <sheet name="Ventilation" sheetId="18" r:id="rId6"/>
    <sheet name="Thermostat" sheetId="30" r:id="rId7"/>
    <sheet name="Water Heater" sheetId="32" r:id="rId8"/>
    <sheet name="Interior Lights" sheetId="25" r:id="rId9"/>
    <sheet name="Ext Lighting" sheetId="9" r:id="rId10"/>
    <sheet name="Equipment" sheetId="29" r:id="rId11"/>
    <sheet name="Schedules" sheetId="28" r:id="rId12"/>
    <sheet name="Energy Usage" sheetId="20" r:id="rId13"/>
    <sheet name="Weights" sheetId="21" r:id="rId14"/>
    <sheet name="PV" sheetId="27" state="hidden" r:id="rId15"/>
    <sheet name="EV Charger" sheetId="22" state="hidden" r:id="rId16"/>
    <sheet name="Data" sheetId="31" state="hidden" r:id="rId17"/>
  </sheets>
  <definedNames>
    <definedName name="_xlnm._FilterDatabase" localSheetId="7" hidden="1">'Water Heater'!$A$7:$AL$87</definedName>
    <definedName name="_xlnm._FilterDatabase" localSheetId="2" hidden="1">Zones!$A$2:$X$2</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 i="18" l="1"/>
  <c r="C61" i="13"/>
  <c r="S3" i="20"/>
  <c r="I3" i="1"/>
  <c r="J10" i="1"/>
  <c r="K10" i="1"/>
  <c r="L10" i="1"/>
  <c r="M10" i="1"/>
  <c r="N10" i="1"/>
  <c r="O10" i="1"/>
  <c r="P10" i="1"/>
  <c r="Q10" i="1"/>
  <c r="R10" i="1"/>
  <c r="S10" i="1"/>
  <c r="T10" i="1"/>
  <c r="U10" i="1"/>
  <c r="V10" i="1"/>
  <c r="W10" i="1"/>
  <c r="X10" i="1"/>
  <c r="I10" i="1"/>
  <c r="J9" i="1"/>
  <c r="K9" i="1"/>
  <c r="L9" i="1"/>
  <c r="M9" i="1"/>
  <c r="N9" i="1"/>
  <c r="O9" i="1"/>
  <c r="P9" i="1"/>
  <c r="Q9" i="1"/>
  <c r="R9" i="1"/>
  <c r="S9" i="1"/>
  <c r="T9" i="1"/>
  <c r="U9" i="1"/>
  <c r="V9" i="1"/>
  <c r="W9" i="1"/>
  <c r="X9" i="1"/>
  <c r="I9" i="1"/>
  <c r="J3" i="1"/>
  <c r="K3" i="1"/>
  <c r="L3" i="1"/>
  <c r="M3" i="1"/>
  <c r="N3" i="1"/>
  <c r="O3" i="1"/>
  <c r="P3" i="1"/>
  <c r="Q3" i="1"/>
  <c r="R3" i="1"/>
  <c r="S3" i="1"/>
  <c r="T3" i="1"/>
  <c r="U3" i="1"/>
  <c r="V3" i="1"/>
  <c r="W3" i="1"/>
  <c r="X3" i="1"/>
  <c r="AB9" i="21"/>
  <c r="F5" i="25"/>
  <c r="C7" i="25"/>
  <c r="C5" i="25"/>
  <c r="G172" i="28"/>
  <c r="H172" i="28"/>
  <c r="I172" i="28"/>
  <c r="J172" i="28"/>
  <c r="K172" i="28"/>
  <c r="L172" i="28"/>
  <c r="M172" i="28"/>
  <c r="N172" i="28"/>
  <c r="O172" i="28"/>
  <c r="P172" i="28"/>
  <c r="Q172" i="28"/>
  <c r="R172" i="28"/>
  <c r="S172" i="28"/>
  <c r="T172" i="28"/>
  <c r="U172" i="28"/>
  <c r="V172" i="28"/>
  <c r="W172" i="28"/>
  <c r="X172" i="28"/>
  <c r="Y172" i="28"/>
  <c r="Z172" i="28"/>
  <c r="AA172" i="28"/>
  <c r="AB172" i="28"/>
  <c r="AC172" i="28"/>
  <c r="G173" i="28"/>
  <c r="H173" i="28"/>
  <c r="I173" i="28"/>
  <c r="J173" i="28"/>
  <c r="K173" i="28"/>
  <c r="L173" i="28"/>
  <c r="M173" i="28"/>
  <c r="N173" i="28"/>
  <c r="O173" i="28"/>
  <c r="P173" i="28"/>
  <c r="Q173" i="28"/>
  <c r="R173" i="28"/>
  <c r="S173" i="28"/>
  <c r="T173" i="28"/>
  <c r="U173" i="28"/>
  <c r="V173" i="28"/>
  <c r="W173" i="28"/>
  <c r="X173" i="28"/>
  <c r="Y173" i="28"/>
  <c r="Z173" i="28"/>
  <c r="AA173" i="28"/>
  <c r="AB173" i="28"/>
  <c r="AC173" i="28"/>
  <c r="G174" i="28"/>
  <c r="H174" i="28"/>
  <c r="I174" i="28"/>
  <c r="J174" i="28"/>
  <c r="K174" i="28"/>
  <c r="L174" i="28"/>
  <c r="M174" i="28"/>
  <c r="N174" i="28"/>
  <c r="O174" i="28"/>
  <c r="P174" i="28"/>
  <c r="Q174" i="28"/>
  <c r="R174" i="28"/>
  <c r="S174" i="28"/>
  <c r="T174" i="28"/>
  <c r="U174" i="28"/>
  <c r="V174" i="28"/>
  <c r="W174" i="28"/>
  <c r="X174" i="28"/>
  <c r="Y174" i="28"/>
  <c r="Z174" i="28"/>
  <c r="AA174" i="28"/>
  <c r="AB174" i="28"/>
  <c r="AC174" i="28"/>
  <c r="G175" i="28"/>
  <c r="H175" i="28"/>
  <c r="I175" i="28"/>
  <c r="J175" i="28"/>
  <c r="K175" i="28"/>
  <c r="L175" i="28"/>
  <c r="M175" i="28"/>
  <c r="N175" i="28"/>
  <c r="O175" i="28"/>
  <c r="P175" i="28"/>
  <c r="Q175" i="28"/>
  <c r="R175" i="28"/>
  <c r="S175" i="28"/>
  <c r="T175" i="28"/>
  <c r="U175" i="28"/>
  <c r="V175" i="28"/>
  <c r="W175" i="28"/>
  <c r="X175" i="28"/>
  <c r="Y175" i="28"/>
  <c r="Z175" i="28"/>
  <c r="AA175" i="28"/>
  <c r="AB175" i="28"/>
  <c r="AC175" i="28"/>
  <c r="G176" i="28"/>
  <c r="H176" i="28"/>
  <c r="I176" i="28"/>
  <c r="J176" i="28"/>
  <c r="K176" i="28"/>
  <c r="L176" i="28"/>
  <c r="M176" i="28"/>
  <c r="N176" i="28"/>
  <c r="O176" i="28"/>
  <c r="P176" i="28"/>
  <c r="Q176" i="28"/>
  <c r="R176" i="28"/>
  <c r="S176" i="28"/>
  <c r="T176" i="28"/>
  <c r="U176" i="28"/>
  <c r="V176" i="28"/>
  <c r="W176" i="28"/>
  <c r="X176" i="28"/>
  <c r="Y176" i="28"/>
  <c r="Z176" i="28"/>
  <c r="AA176" i="28"/>
  <c r="AB176" i="28"/>
  <c r="AC176" i="28"/>
  <c r="G177" i="28"/>
  <c r="H177" i="28"/>
  <c r="I177" i="28"/>
  <c r="J177" i="28"/>
  <c r="K177" i="28"/>
  <c r="L177" i="28"/>
  <c r="M177" i="28"/>
  <c r="N177" i="28"/>
  <c r="O177" i="28"/>
  <c r="P177" i="28"/>
  <c r="Q177" i="28"/>
  <c r="R177" i="28"/>
  <c r="S177" i="28"/>
  <c r="T177" i="28"/>
  <c r="U177" i="28"/>
  <c r="V177" i="28"/>
  <c r="W177" i="28"/>
  <c r="X177" i="28"/>
  <c r="Y177" i="28"/>
  <c r="Z177" i="28"/>
  <c r="AA177" i="28"/>
  <c r="AB177" i="28"/>
  <c r="AC177" i="28"/>
  <c r="F177" i="28"/>
  <c r="F176" i="28"/>
  <c r="F175" i="28"/>
  <c r="F174" i="28"/>
  <c r="F173" i="28"/>
  <c r="F172" i="28"/>
  <c r="A6" i="18"/>
  <c r="B6" i="18"/>
  <c r="C6" i="18"/>
  <c r="G6" i="18"/>
  <c r="H6" i="18"/>
  <c r="J6" i="18"/>
  <c r="A11" i="32"/>
  <c r="A12" i="32"/>
  <c r="D11" i="32"/>
  <c r="C11" i="32"/>
  <c r="F11" i="32"/>
  <c r="G11" i="32" s="1"/>
  <c r="K6" i="13"/>
  <c r="B157" i="28"/>
  <c r="B160" i="28" s="1"/>
  <c r="B163" i="28" s="1"/>
  <c r="B166" i="28" s="1"/>
  <c r="B169" i="28" s="1"/>
  <c r="B172" i="28" s="1"/>
  <c r="B175" i="28" s="1"/>
  <c r="A28" i="28"/>
  <c r="A25" i="28"/>
  <c r="A19" i="28"/>
  <c r="A16" i="28"/>
  <c r="A13" i="28"/>
  <c r="A10" i="28"/>
  <c r="A7" i="28"/>
  <c r="G150" i="28"/>
  <c r="H150" i="28"/>
  <c r="I150" i="28"/>
  <c r="J150" i="28"/>
  <c r="K150" i="28"/>
  <c r="L150" i="28"/>
  <c r="M150" i="28"/>
  <c r="N150" i="28"/>
  <c r="O150" i="28"/>
  <c r="P150" i="28"/>
  <c r="Q150" i="28"/>
  <c r="R150" i="28"/>
  <c r="S150" i="28"/>
  <c r="T150" i="28"/>
  <c r="U150" i="28"/>
  <c r="V150" i="28"/>
  <c r="W150" i="28"/>
  <c r="X150" i="28"/>
  <c r="Y150" i="28"/>
  <c r="Z150" i="28"/>
  <c r="AA150" i="28"/>
  <c r="AB150" i="28"/>
  <c r="AC150" i="28"/>
  <c r="G151" i="28"/>
  <c r="H151" i="28"/>
  <c r="I151" i="28"/>
  <c r="J151" i="28"/>
  <c r="K151" i="28"/>
  <c r="L151" i="28"/>
  <c r="M151" i="28"/>
  <c r="N151" i="28"/>
  <c r="O151" i="28"/>
  <c r="P151" i="28"/>
  <c r="Q151" i="28"/>
  <c r="R151" i="28"/>
  <c r="S151" i="28"/>
  <c r="T151" i="28"/>
  <c r="U151" i="28"/>
  <c r="V151" i="28"/>
  <c r="W151" i="28"/>
  <c r="X151" i="28"/>
  <c r="Y151" i="28"/>
  <c r="Z151" i="28"/>
  <c r="AA151" i="28"/>
  <c r="AB151" i="28"/>
  <c r="AC151" i="28"/>
  <c r="G152" i="28"/>
  <c r="H152" i="28"/>
  <c r="I152" i="28"/>
  <c r="J152" i="28"/>
  <c r="K152" i="28"/>
  <c r="L152" i="28"/>
  <c r="M152" i="28"/>
  <c r="N152" i="28"/>
  <c r="O152" i="28"/>
  <c r="P152" i="28"/>
  <c r="Q152" i="28"/>
  <c r="R152" i="28"/>
  <c r="S152" i="28"/>
  <c r="T152" i="28"/>
  <c r="U152" i="28"/>
  <c r="V152" i="28"/>
  <c r="W152" i="28"/>
  <c r="X152" i="28"/>
  <c r="Y152" i="28"/>
  <c r="Z152" i="28"/>
  <c r="AA152" i="28"/>
  <c r="AB152" i="28"/>
  <c r="AC152" i="28"/>
  <c r="F152" i="28"/>
  <c r="F151" i="28"/>
  <c r="F150" i="28"/>
  <c r="G147" i="28"/>
  <c r="H147" i="28"/>
  <c r="I147" i="28"/>
  <c r="J147" i="28"/>
  <c r="K147" i="28"/>
  <c r="L147" i="28"/>
  <c r="M147" i="28"/>
  <c r="N147" i="28"/>
  <c r="O147" i="28"/>
  <c r="P147" i="28"/>
  <c r="Q147" i="28"/>
  <c r="R147" i="28"/>
  <c r="S147" i="28"/>
  <c r="T147" i="28"/>
  <c r="U147" i="28"/>
  <c r="V147" i="28"/>
  <c r="W147" i="28"/>
  <c r="X147" i="28"/>
  <c r="Y147" i="28"/>
  <c r="Z147" i="28"/>
  <c r="AA147" i="28"/>
  <c r="AB147" i="28"/>
  <c r="AC147" i="28"/>
  <c r="G148" i="28"/>
  <c r="H148" i="28"/>
  <c r="I148" i="28"/>
  <c r="J148" i="28"/>
  <c r="K148" i="28"/>
  <c r="L148" i="28"/>
  <c r="M148" i="28"/>
  <c r="N148" i="28"/>
  <c r="O148" i="28"/>
  <c r="P148" i="28"/>
  <c r="Q148" i="28"/>
  <c r="R148" i="28"/>
  <c r="S148" i="28"/>
  <c r="T148" i="28"/>
  <c r="U148" i="28"/>
  <c r="V148" i="28"/>
  <c r="W148" i="28"/>
  <c r="X148" i="28"/>
  <c r="Y148" i="28"/>
  <c r="Z148" i="28"/>
  <c r="AA148" i="28"/>
  <c r="AB148" i="28"/>
  <c r="AC148" i="28"/>
  <c r="G149" i="28"/>
  <c r="H149" i="28"/>
  <c r="I149" i="28"/>
  <c r="J149" i="28"/>
  <c r="K149" i="28"/>
  <c r="L149" i="28"/>
  <c r="M149" i="28"/>
  <c r="N149" i="28"/>
  <c r="O149" i="28"/>
  <c r="P149" i="28"/>
  <c r="Q149" i="28"/>
  <c r="R149" i="28"/>
  <c r="S149" i="28"/>
  <c r="T149" i="28"/>
  <c r="U149" i="28"/>
  <c r="V149" i="28"/>
  <c r="W149" i="28"/>
  <c r="X149" i="28"/>
  <c r="Y149" i="28"/>
  <c r="Z149" i="28"/>
  <c r="AA149" i="28"/>
  <c r="AB149" i="28"/>
  <c r="AC149" i="28"/>
  <c r="F148" i="28"/>
  <c r="F149" i="28"/>
  <c r="F147" i="28"/>
  <c r="D129" i="28"/>
  <c r="D132" i="28" s="1"/>
  <c r="D135" i="28" s="1"/>
  <c r="D138" i="28" s="1"/>
  <c r="D141" i="28" s="1"/>
  <c r="D144" i="28" s="1"/>
  <c r="D147" i="28" s="1"/>
  <c r="D150" i="28" s="1"/>
  <c r="B129" i="28"/>
  <c r="B132" i="28" s="1"/>
  <c r="B135" i="28" s="1"/>
  <c r="B138" i="28" s="1"/>
  <c r="B141" i="28" s="1"/>
  <c r="B144" i="28" s="1"/>
  <c r="B147" i="28" s="1"/>
  <c r="B150" i="28" s="1"/>
  <c r="H5" i="21"/>
  <c r="H6" i="21"/>
  <c r="H7" i="21"/>
  <c r="H8" i="21"/>
  <c r="H9" i="21"/>
  <c r="H10" i="21"/>
  <c r="H11" i="21"/>
  <c r="H12" i="21"/>
  <c r="H13" i="21"/>
  <c r="H14" i="21"/>
  <c r="H15" i="21"/>
  <c r="H16" i="21"/>
  <c r="H17" i="21"/>
  <c r="H18" i="21"/>
  <c r="H19" i="21"/>
  <c r="H20" i="21"/>
  <c r="H4" i="21"/>
  <c r="A3" i="18"/>
  <c r="A4" i="18"/>
  <c r="A5" i="18"/>
  <c r="A7" i="18"/>
  <c r="A8" i="18"/>
  <c r="A9" i="18"/>
  <c r="A10" i="18"/>
  <c r="A11" i="18"/>
  <c r="A12" i="18"/>
  <c r="A8" i="32"/>
  <c r="A9" i="32"/>
  <c r="A10" i="32"/>
  <c r="A13" i="32"/>
  <c r="A14" i="32"/>
  <c r="A15" i="32"/>
  <c r="A16" i="32"/>
  <c r="A17" i="32"/>
  <c r="A18" i="32"/>
  <c r="A19" i="32"/>
  <c r="A20" i="32"/>
  <c r="A21" i="32"/>
  <c r="A22" i="32"/>
  <c r="A23" i="32"/>
  <c r="A24" i="32"/>
  <c r="A25" i="32"/>
  <c r="A26" i="32"/>
  <c r="A27" i="32"/>
  <c r="A28" i="32"/>
  <c r="A29" i="32"/>
  <c r="A30" i="32"/>
  <c r="A31" i="32"/>
  <c r="A32" i="32"/>
  <c r="A33" i="32"/>
  <c r="A34" i="32"/>
  <c r="A35" i="32"/>
  <c r="A36" i="32"/>
  <c r="A37" i="32"/>
  <c r="A38" i="32"/>
  <c r="A39" i="32"/>
  <c r="A40" i="32"/>
  <c r="A41" i="32"/>
  <c r="A42" i="32"/>
  <c r="A43" i="32"/>
  <c r="A44" i="32"/>
  <c r="A45" i="32"/>
  <c r="A46" i="32"/>
  <c r="A48" i="32"/>
  <c r="A27" i="18"/>
  <c r="A28" i="18"/>
  <c r="A29" i="18"/>
  <c r="A30" i="18"/>
  <c r="A18" i="18"/>
  <c r="A19" i="18"/>
  <c r="A20" i="18"/>
  <c r="A21" i="18"/>
  <c r="A22" i="18"/>
  <c r="A23" i="18"/>
  <c r="A24" i="18"/>
  <c r="A25" i="18"/>
  <c r="A26" i="18"/>
  <c r="A13" i="18"/>
  <c r="A14" i="18"/>
  <c r="A15" i="18"/>
  <c r="I52" i="1"/>
  <c r="I19" i="1" a="1"/>
  <c r="I19" i="1" s="1"/>
  <c r="I13" i="1" a="1"/>
  <c r="I13" i="1" s="1"/>
  <c r="P32" i="13"/>
  <c r="P39" i="13"/>
  <c r="P38" i="13"/>
  <c r="P37" i="13"/>
  <c r="P36" i="13"/>
  <c r="P35" i="13"/>
  <c r="P34" i="13"/>
  <c r="P33" i="13"/>
  <c r="P31" i="13"/>
  <c r="P30" i="13"/>
  <c r="P29" i="13"/>
  <c r="C15" i="9"/>
  <c r="C62" i="13" l="1"/>
  <c r="C63" i="13" l="1"/>
  <c r="C55" i="32"/>
  <c r="A55" i="32"/>
  <c r="C54" i="32"/>
  <c r="A54" i="32"/>
  <c r="C53" i="32"/>
  <c r="A53" i="32"/>
  <c r="C52" i="32"/>
  <c r="A52" i="32"/>
  <c r="C51" i="32"/>
  <c r="A51" i="32"/>
  <c r="C50" i="32"/>
  <c r="A50" i="32"/>
  <c r="C49" i="32"/>
  <c r="A49" i="32"/>
  <c r="C47" i="32"/>
  <c r="A47" i="32"/>
  <c r="C20" i="32"/>
  <c r="C19" i="32"/>
  <c r="C18" i="32"/>
  <c r="C17" i="32"/>
  <c r="C16" i="32"/>
  <c r="C15" i="32"/>
  <c r="C10" i="32"/>
  <c r="C9" i="32"/>
  <c r="C8" i="32"/>
  <c r="I87" i="32"/>
  <c r="F48" i="32"/>
  <c r="G48" i="32" s="1"/>
  <c r="F46" i="32"/>
  <c r="G46" i="32" s="1"/>
  <c r="F45" i="32"/>
  <c r="G45" i="32" s="1"/>
  <c r="F44" i="32"/>
  <c r="G44" i="32" s="1"/>
  <c r="F43" i="32"/>
  <c r="G43" i="32" s="1"/>
  <c r="F42" i="32"/>
  <c r="G42" i="32" s="1"/>
  <c r="F41" i="32"/>
  <c r="G41" i="32" s="1"/>
  <c r="F40" i="32"/>
  <c r="G40" i="32" s="1"/>
  <c r="F39" i="32"/>
  <c r="G39" i="32" s="1"/>
  <c r="F38" i="32"/>
  <c r="G38" i="32" s="1"/>
  <c r="F37" i="32"/>
  <c r="G37" i="32" s="1"/>
  <c r="F36" i="32"/>
  <c r="G36" i="32" s="1"/>
  <c r="F35" i="32"/>
  <c r="G35" i="32" s="1"/>
  <c r="F34" i="32"/>
  <c r="G34" i="32" s="1"/>
  <c r="F33" i="32"/>
  <c r="G33" i="32" s="1"/>
  <c r="F32" i="32"/>
  <c r="G32" i="32" s="1"/>
  <c r="F31" i="32"/>
  <c r="G31" i="32" s="1"/>
  <c r="F30" i="32"/>
  <c r="G30" i="32" s="1"/>
  <c r="F29" i="32"/>
  <c r="G29" i="32" s="1"/>
  <c r="F28" i="32"/>
  <c r="G28" i="32" s="1"/>
  <c r="F27" i="32"/>
  <c r="G27" i="32" s="1"/>
  <c r="F26" i="32"/>
  <c r="G26" i="32" s="1"/>
  <c r="F25" i="32"/>
  <c r="G25" i="32" s="1"/>
  <c r="F24" i="32"/>
  <c r="G24" i="32" s="1"/>
  <c r="F23" i="32"/>
  <c r="G23" i="32" s="1"/>
  <c r="F22" i="32"/>
  <c r="G22" i="32" s="1"/>
  <c r="F21" i="32"/>
  <c r="G21" i="32" s="1"/>
  <c r="F14" i="32"/>
  <c r="G14" i="32" s="1"/>
  <c r="F13" i="32"/>
  <c r="G13" i="32" s="1"/>
  <c r="F12" i="32"/>
  <c r="G12" i="32" s="1"/>
  <c r="D39" i="18" l="1"/>
  <c r="D40" i="18"/>
  <c r="D17" i="18"/>
  <c r="D18" i="18"/>
  <c r="D19" i="18"/>
  <c r="D20" i="18"/>
  <c r="D21" i="18"/>
  <c r="D22" i="18"/>
  <c r="D23" i="18"/>
  <c r="D24" i="18"/>
  <c r="D25" i="18"/>
  <c r="D26" i="18"/>
  <c r="D27" i="18"/>
  <c r="D28" i="18"/>
  <c r="D29" i="18"/>
  <c r="D30" i="18"/>
  <c r="D31" i="18"/>
  <c r="D32" i="18"/>
  <c r="D33" i="18"/>
  <c r="D34" i="18"/>
  <c r="D35" i="18"/>
  <c r="D36" i="18"/>
  <c r="D37" i="18"/>
  <c r="D38" i="18"/>
  <c r="D16" i="18"/>
  <c r="E42" i="2"/>
  <c r="D42" i="2"/>
  <c r="C42" i="2"/>
  <c r="B42" i="2"/>
  <c r="E41" i="2"/>
  <c r="D41" i="2"/>
  <c r="C41" i="2"/>
  <c r="B41" i="2"/>
  <c r="E38" i="2"/>
  <c r="D38" i="2"/>
  <c r="C38" i="2"/>
  <c r="B38" i="2"/>
  <c r="E36" i="2"/>
  <c r="D36" i="2"/>
  <c r="C36" i="2"/>
  <c r="B36" i="2"/>
  <c r="E34" i="2"/>
  <c r="D34" i="2"/>
  <c r="C34" i="2"/>
  <c r="B34" i="2"/>
  <c r="AD107" i="28"/>
  <c r="C46" i="29" s="1"/>
  <c r="I19" i="29"/>
  <c r="H19" i="29"/>
  <c r="I18" i="29"/>
  <c r="H18" i="29"/>
  <c r="I16" i="18"/>
  <c r="E55" i="21"/>
  <c r="E57" i="21"/>
  <c r="G19" i="29" l="1"/>
  <c r="J19" i="29" s="1"/>
  <c r="G18" i="29"/>
  <c r="J18" i="29" s="1"/>
  <c r="U3" i="20"/>
  <c r="T3" i="20"/>
  <c r="V3" i="20"/>
  <c r="K18" i="20"/>
  <c r="J18" i="20"/>
  <c r="L18" i="20" s="1"/>
  <c r="K17" i="20"/>
  <c r="J17" i="20"/>
  <c r="K16" i="20"/>
  <c r="J16" i="20"/>
  <c r="L16" i="20" s="1"/>
  <c r="K15" i="20"/>
  <c r="J15" i="20"/>
  <c r="L15" i="20" s="1"/>
  <c r="K14" i="20"/>
  <c r="J14" i="20"/>
  <c r="K13" i="20"/>
  <c r="J13" i="20"/>
  <c r="L13" i="20" s="1"/>
  <c r="K12" i="20"/>
  <c r="J12" i="20"/>
  <c r="K11" i="20"/>
  <c r="J11" i="20"/>
  <c r="L11" i="20" s="1"/>
  <c r="K10" i="20"/>
  <c r="J10" i="20"/>
  <c r="L10" i="20" s="1"/>
  <c r="K9" i="20"/>
  <c r="J9" i="20"/>
  <c r="L9" i="20" s="1"/>
  <c r="K8" i="20"/>
  <c r="J8" i="20"/>
  <c r="K7" i="20"/>
  <c r="J7" i="20"/>
  <c r="L7" i="20" s="1"/>
  <c r="K6" i="20"/>
  <c r="J6" i="20"/>
  <c r="K5" i="20"/>
  <c r="J5" i="20"/>
  <c r="L5" i="20" s="1"/>
  <c r="K4" i="20"/>
  <c r="J4" i="20"/>
  <c r="K3" i="20"/>
  <c r="J3" i="20"/>
  <c r="L3" i="20" s="1"/>
  <c r="L12" i="20" l="1"/>
  <c r="L14" i="20"/>
  <c r="L6" i="20"/>
  <c r="L17" i="20"/>
  <c r="L4" i="20"/>
  <c r="L8" i="20"/>
  <c r="S4" i="20"/>
  <c r="S5" i="20"/>
  <c r="S6" i="20"/>
  <c r="S7" i="20"/>
  <c r="S8" i="20"/>
  <c r="S9" i="20"/>
  <c r="S10" i="20"/>
  <c r="S11" i="20"/>
  <c r="S12" i="20"/>
  <c r="S13" i="20"/>
  <c r="S14" i="20"/>
  <c r="S15" i="20"/>
  <c r="S16" i="20"/>
  <c r="S17" i="20"/>
  <c r="S18" i="20"/>
  <c r="T18" i="20" l="1"/>
  <c r="U18" i="20"/>
  <c r="T17" i="20"/>
  <c r="V17" i="20" s="1"/>
  <c r="U17" i="20"/>
  <c r="T16" i="20"/>
  <c r="U16" i="20"/>
  <c r="T15" i="20"/>
  <c r="V15" i="20" s="1"/>
  <c r="U15" i="20"/>
  <c r="T14" i="20"/>
  <c r="U14" i="20"/>
  <c r="U13" i="20"/>
  <c r="T13" i="20"/>
  <c r="T12" i="20"/>
  <c r="U12" i="20"/>
  <c r="T11" i="20"/>
  <c r="U11" i="20"/>
  <c r="T10" i="20"/>
  <c r="U10" i="20"/>
  <c r="U9" i="20"/>
  <c r="T9" i="20"/>
  <c r="V9" i="20" s="1"/>
  <c r="T8" i="20"/>
  <c r="U8" i="20"/>
  <c r="U7" i="20"/>
  <c r="T7" i="20"/>
  <c r="V7" i="20" s="1"/>
  <c r="T6" i="20"/>
  <c r="V6" i="20" s="1"/>
  <c r="U6" i="20"/>
  <c r="T5" i="20"/>
  <c r="U5" i="20"/>
  <c r="U4" i="20"/>
  <c r="T4" i="20"/>
  <c r="I39" i="1"/>
  <c r="V18" i="20" l="1"/>
  <c r="V8" i="20"/>
  <c r="V10" i="20"/>
  <c r="V11" i="20"/>
  <c r="V12" i="20"/>
  <c r="V13" i="20"/>
  <c r="V14" i="20"/>
  <c r="V4" i="20"/>
  <c r="V5" i="20"/>
  <c r="V16" i="20"/>
  <c r="A78" i="28"/>
  <c r="A75" i="28"/>
  <c r="A72" i="28"/>
  <c r="A69" i="28"/>
  <c r="A66" i="28"/>
  <c r="A63" i="28"/>
  <c r="A60" i="28"/>
  <c r="G100" i="28"/>
  <c r="H100" i="28"/>
  <c r="I100" i="28"/>
  <c r="J100" i="28"/>
  <c r="K100" i="28"/>
  <c r="L100" i="28"/>
  <c r="M100" i="28"/>
  <c r="N100" i="28"/>
  <c r="O100" i="28"/>
  <c r="P100" i="28"/>
  <c r="Q100" i="28"/>
  <c r="R100" i="28"/>
  <c r="S100" i="28"/>
  <c r="T100" i="28"/>
  <c r="U100" i="28"/>
  <c r="V100" i="28"/>
  <c r="W100" i="28"/>
  <c r="X100" i="28"/>
  <c r="Y100" i="28"/>
  <c r="Z100" i="28"/>
  <c r="AA100" i="28"/>
  <c r="AB100" i="28"/>
  <c r="AC100" i="28"/>
  <c r="G101" i="28"/>
  <c r="H101" i="28"/>
  <c r="I101" i="28"/>
  <c r="J101" i="28"/>
  <c r="K101" i="28"/>
  <c r="L101" i="28"/>
  <c r="M101" i="28"/>
  <c r="N101" i="28"/>
  <c r="O101" i="28"/>
  <c r="P101" i="28"/>
  <c r="Q101" i="28"/>
  <c r="R101" i="28"/>
  <c r="S101" i="28"/>
  <c r="T101" i="28"/>
  <c r="U101" i="28"/>
  <c r="V101" i="28"/>
  <c r="W101" i="28"/>
  <c r="X101" i="28"/>
  <c r="Y101" i="28"/>
  <c r="Z101" i="28"/>
  <c r="AA101" i="28"/>
  <c r="AB101" i="28"/>
  <c r="AC101" i="28"/>
  <c r="G102" i="28"/>
  <c r="H102" i="28"/>
  <c r="I102" i="28"/>
  <c r="J102" i="28"/>
  <c r="K102" i="28"/>
  <c r="L102" i="28"/>
  <c r="M102" i="28"/>
  <c r="N102" i="28"/>
  <c r="O102" i="28"/>
  <c r="P102" i="28"/>
  <c r="Q102" i="28"/>
  <c r="R102" i="28"/>
  <c r="S102" i="28"/>
  <c r="T102" i="28"/>
  <c r="U102" i="28"/>
  <c r="V102" i="28"/>
  <c r="W102" i="28"/>
  <c r="X102" i="28"/>
  <c r="Y102" i="28"/>
  <c r="Z102" i="28"/>
  <c r="AA102" i="28"/>
  <c r="AB102" i="28"/>
  <c r="AC102" i="28"/>
  <c r="G103" i="28"/>
  <c r="H103" i="28"/>
  <c r="I103" i="28"/>
  <c r="J103" i="28"/>
  <c r="K103" i="28"/>
  <c r="L103" i="28"/>
  <c r="M103" i="28"/>
  <c r="N103" i="28"/>
  <c r="O103" i="28"/>
  <c r="P103" i="28"/>
  <c r="Q103" i="28"/>
  <c r="R103" i="28"/>
  <c r="S103" i="28"/>
  <c r="T103" i="28"/>
  <c r="U103" i="28"/>
  <c r="V103" i="28"/>
  <c r="W103" i="28"/>
  <c r="X103" i="28"/>
  <c r="Y103" i="28"/>
  <c r="Z103" i="28"/>
  <c r="AA103" i="28"/>
  <c r="AB103" i="28"/>
  <c r="AC103" i="28"/>
  <c r="G104" i="28"/>
  <c r="H104" i="28"/>
  <c r="I104" i="28"/>
  <c r="J104" i="28"/>
  <c r="K104" i="28"/>
  <c r="L104" i="28"/>
  <c r="M104" i="28"/>
  <c r="N104" i="28"/>
  <c r="O104" i="28"/>
  <c r="P104" i="28"/>
  <c r="Q104" i="28"/>
  <c r="R104" i="28"/>
  <c r="S104" i="28"/>
  <c r="T104" i="28"/>
  <c r="U104" i="28"/>
  <c r="V104" i="28"/>
  <c r="W104" i="28"/>
  <c r="X104" i="28"/>
  <c r="Y104" i="28"/>
  <c r="Z104" i="28"/>
  <c r="AA104" i="28"/>
  <c r="AB104" i="28"/>
  <c r="AC104" i="28"/>
  <c r="G105" i="28"/>
  <c r="H105" i="28"/>
  <c r="I105" i="28"/>
  <c r="J105" i="28"/>
  <c r="K105" i="28"/>
  <c r="L105" i="28"/>
  <c r="M105" i="28"/>
  <c r="N105" i="28"/>
  <c r="O105" i="28"/>
  <c r="P105" i="28"/>
  <c r="Q105" i="28"/>
  <c r="R105" i="28"/>
  <c r="S105" i="28"/>
  <c r="T105" i="28"/>
  <c r="U105" i="28"/>
  <c r="V105" i="28"/>
  <c r="W105" i="28"/>
  <c r="X105" i="28"/>
  <c r="Y105" i="28"/>
  <c r="Z105" i="28"/>
  <c r="AA105" i="28"/>
  <c r="AB105" i="28"/>
  <c r="AC105" i="28"/>
  <c r="F105" i="28"/>
  <c r="F104" i="28"/>
  <c r="F103" i="28"/>
  <c r="F102" i="28"/>
  <c r="F101" i="28"/>
  <c r="F100" i="28"/>
  <c r="G50" i="28"/>
  <c r="H50" i="28"/>
  <c r="I50" i="28"/>
  <c r="J50" i="28"/>
  <c r="K50" i="28"/>
  <c r="L50" i="28"/>
  <c r="M50" i="28"/>
  <c r="N50" i="28"/>
  <c r="O50" i="28"/>
  <c r="P50" i="28"/>
  <c r="Q50" i="28"/>
  <c r="R50" i="28"/>
  <c r="S50" i="28"/>
  <c r="T50" i="28"/>
  <c r="U50" i="28"/>
  <c r="V50" i="28"/>
  <c r="W50" i="28"/>
  <c r="X50" i="28"/>
  <c r="Y50" i="28"/>
  <c r="Z50" i="28"/>
  <c r="AA50" i="28"/>
  <c r="AB50" i="28"/>
  <c r="AC50" i="28"/>
  <c r="G51" i="28"/>
  <c r="H51" i="28"/>
  <c r="I51" i="28"/>
  <c r="J51" i="28"/>
  <c r="K51" i="28"/>
  <c r="L51" i="28"/>
  <c r="M51" i="28"/>
  <c r="N51" i="28"/>
  <c r="O51" i="28"/>
  <c r="P51" i="28"/>
  <c r="Q51" i="28"/>
  <c r="R51" i="28"/>
  <c r="S51" i="28"/>
  <c r="T51" i="28"/>
  <c r="U51" i="28"/>
  <c r="V51" i="28"/>
  <c r="W51" i="28"/>
  <c r="X51" i="28"/>
  <c r="Y51" i="28"/>
  <c r="Z51" i="28"/>
  <c r="AA51" i="28"/>
  <c r="AB51" i="28"/>
  <c r="AC51" i="28"/>
  <c r="G52" i="28"/>
  <c r="H52" i="28"/>
  <c r="I52" i="28"/>
  <c r="J52" i="28"/>
  <c r="K52" i="28"/>
  <c r="L52" i="28"/>
  <c r="M52" i="28"/>
  <c r="N52" i="28"/>
  <c r="O52" i="28"/>
  <c r="P52" i="28"/>
  <c r="Q52" i="28"/>
  <c r="R52" i="28"/>
  <c r="S52" i="28"/>
  <c r="T52" i="28"/>
  <c r="U52" i="28"/>
  <c r="V52" i="28"/>
  <c r="W52" i="28"/>
  <c r="X52" i="28"/>
  <c r="Y52" i="28"/>
  <c r="Z52" i="28"/>
  <c r="AA52" i="28"/>
  <c r="AB52" i="28"/>
  <c r="AC52" i="28"/>
  <c r="G53" i="28"/>
  <c r="H53" i="28"/>
  <c r="I53" i="28"/>
  <c r="J53" i="28"/>
  <c r="K53" i="28"/>
  <c r="L53" i="28"/>
  <c r="M53" i="28"/>
  <c r="N53" i="28"/>
  <c r="O53" i="28"/>
  <c r="P53" i="28"/>
  <c r="Q53" i="28"/>
  <c r="R53" i="28"/>
  <c r="S53" i="28"/>
  <c r="T53" i="28"/>
  <c r="U53" i="28"/>
  <c r="V53" i="28"/>
  <c r="W53" i="28"/>
  <c r="X53" i="28"/>
  <c r="Y53" i="28"/>
  <c r="Z53" i="28"/>
  <c r="AA53" i="28"/>
  <c r="AB53" i="28"/>
  <c r="AC53" i="28"/>
  <c r="G54" i="28"/>
  <c r="H54" i="28"/>
  <c r="I54" i="28"/>
  <c r="J54" i="28"/>
  <c r="K54" i="28"/>
  <c r="L54" i="28"/>
  <c r="M54" i="28"/>
  <c r="N54" i="28"/>
  <c r="O54" i="28"/>
  <c r="P54" i="28"/>
  <c r="Q54" i="28"/>
  <c r="R54" i="28"/>
  <c r="S54" i="28"/>
  <c r="T54" i="28"/>
  <c r="U54" i="28"/>
  <c r="V54" i="28"/>
  <c r="W54" i="28"/>
  <c r="X54" i="28"/>
  <c r="Y54" i="28"/>
  <c r="Z54" i="28"/>
  <c r="AA54" i="28"/>
  <c r="AB54" i="28"/>
  <c r="AC54" i="28"/>
  <c r="G55" i="28"/>
  <c r="H55" i="28"/>
  <c r="I55" i="28"/>
  <c r="J55" i="28"/>
  <c r="K55" i="28"/>
  <c r="L55" i="28"/>
  <c r="M55" i="28"/>
  <c r="N55" i="28"/>
  <c r="O55" i="28"/>
  <c r="P55" i="28"/>
  <c r="Q55" i="28"/>
  <c r="R55" i="28"/>
  <c r="S55" i="28"/>
  <c r="T55" i="28"/>
  <c r="U55" i="28"/>
  <c r="V55" i="28"/>
  <c r="W55" i="28"/>
  <c r="X55" i="28"/>
  <c r="Y55" i="28"/>
  <c r="Z55" i="28"/>
  <c r="AA55" i="28"/>
  <c r="AB55" i="28"/>
  <c r="AC55" i="28"/>
  <c r="F55" i="28"/>
  <c r="F54" i="28"/>
  <c r="F53" i="28"/>
  <c r="AC75" i="28"/>
  <c r="AC76" i="28"/>
  <c r="AC77" i="28"/>
  <c r="AC78" i="28"/>
  <c r="AC79" i="28"/>
  <c r="AC80" i="28"/>
  <c r="G75" i="28"/>
  <c r="H75" i="28"/>
  <c r="I75" i="28"/>
  <c r="J75" i="28"/>
  <c r="K75" i="28"/>
  <c r="L75" i="28"/>
  <c r="M75" i="28"/>
  <c r="N75" i="28"/>
  <c r="O75" i="28"/>
  <c r="P75" i="28"/>
  <c r="Q75" i="28"/>
  <c r="R75" i="28"/>
  <c r="S75" i="28"/>
  <c r="T75" i="28"/>
  <c r="U75" i="28"/>
  <c r="V75" i="28"/>
  <c r="W75" i="28"/>
  <c r="X75" i="28"/>
  <c r="Y75" i="28"/>
  <c r="Z75" i="28"/>
  <c r="AA75" i="28"/>
  <c r="AB75" i="28"/>
  <c r="G76" i="28"/>
  <c r="H76" i="28"/>
  <c r="I76" i="28"/>
  <c r="J76" i="28"/>
  <c r="K76" i="28"/>
  <c r="L76" i="28"/>
  <c r="M76" i="28"/>
  <c r="N76" i="28"/>
  <c r="O76" i="28"/>
  <c r="P76" i="28"/>
  <c r="Q76" i="28"/>
  <c r="R76" i="28"/>
  <c r="S76" i="28"/>
  <c r="T76" i="28"/>
  <c r="U76" i="28"/>
  <c r="V76" i="28"/>
  <c r="W76" i="28"/>
  <c r="X76" i="28"/>
  <c r="Y76" i="28"/>
  <c r="Z76" i="28"/>
  <c r="AA76" i="28"/>
  <c r="AB76" i="28"/>
  <c r="G77" i="28"/>
  <c r="H77" i="28"/>
  <c r="I77" i="28"/>
  <c r="J77" i="28"/>
  <c r="K77" i="28"/>
  <c r="L77" i="28"/>
  <c r="M77" i="28"/>
  <c r="N77" i="28"/>
  <c r="O77" i="28"/>
  <c r="P77" i="28"/>
  <c r="Q77" i="28"/>
  <c r="R77" i="28"/>
  <c r="S77" i="28"/>
  <c r="T77" i="28"/>
  <c r="U77" i="28"/>
  <c r="V77" i="28"/>
  <c r="W77" i="28"/>
  <c r="X77" i="28"/>
  <c r="Y77" i="28"/>
  <c r="Z77" i="28"/>
  <c r="AA77" i="28"/>
  <c r="AB77" i="28"/>
  <c r="G78" i="28"/>
  <c r="H78" i="28"/>
  <c r="I78" i="28"/>
  <c r="J78" i="28"/>
  <c r="K78" i="28"/>
  <c r="L78" i="28"/>
  <c r="M78" i="28"/>
  <c r="N78" i="28"/>
  <c r="O78" i="28"/>
  <c r="P78" i="28"/>
  <c r="Q78" i="28"/>
  <c r="R78" i="28"/>
  <c r="S78" i="28"/>
  <c r="T78" i="28"/>
  <c r="U78" i="28"/>
  <c r="V78" i="28"/>
  <c r="W78" i="28"/>
  <c r="X78" i="28"/>
  <c r="Y78" i="28"/>
  <c r="Z78" i="28"/>
  <c r="AA78" i="28"/>
  <c r="AB78" i="28"/>
  <c r="G79" i="28"/>
  <c r="H79" i="28"/>
  <c r="I79" i="28"/>
  <c r="J79" i="28"/>
  <c r="K79" i="28"/>
  <c r="L79" i="28"/>
  <c r="M79" i="28"/>
  <c r="N79" i="28"/>
  <c r="O79" i="28"/>
  <c r="P79" i="28"/>
  <c r="Q79" i="28"/>
  <c r="R79" i="28"/>
  <c r="S79" i="28"/>
  <c r="T79" i="28"/>
  <c r="U79" i="28"/>
  <c r="V79" i="28"/>
  <c r="W79" i="28"/>
  <c r="X79" i="28"/>
  <c r="Y79" i="28"/>
  <c r="Z79" i="28"/>
  <c r="AA79" i="28"/>
  <c r="AB79" i="28"/>
  <c r="G80" i="28"/>
  <c r="H80" i="28"/>
  <c r="I80" i="28"/>
  <c r="J80" i="28"/>
  <c r="K80" i="28"/>
  <c r="L80" i="28"/>
  <c r="M80" i="28"/>
  <c r="N80" i="28"/>
  <c r="O80" i="28"/>
  <c r="P80" i="28"/>
  <c r="Q80" i="28"/>
  <c r="R80" i="28"/>
  <c r="S80" i="28"/>
  <c r="T80" i="28"/>
  <c r="U80" i="28"/>
  <c r="V80" i="28"/>
  <c r="W80" i="28"/>
  <c r="X80" i="28"/>
  <c r="Y80" i="28"/>
  <c r="Z80" i="28"/>
  <c r="AA80" i="28"/>
  <c r="AB80" i="28"/>
  <c r="F80" i="28"/>
  <c r="F79" i="28"/>
  <c r="F78" i="28"/>
  <c r="F77" i="28"/>
  <c r="F76" i="28"/>
  <c r="F75" i="28"/>
  <c r="J21" i="1" l="1"/>
  <c r="K21" i="1"/>
  <c r="L21" i="1"/>
  <c r="M21" i="1"/>
  <c r="N21" i="1"/>
  <c r="O21" i="1"/>
  <c r="P21" i="1"/>
  <c r="Q21" i="1"/>
  <c r="R21" i="1"/>
  <c r="S21" i="1"/>
  <c r="T21" i="1"/>
  <c r="U21" i="1"/>
  <c r="V21" i="1"/>
  <c r="W21" i="1"/>
  <c r="X21" i="1"/>
  <c r="J22" i="1"/>
  <c r="K22" i="1"/>
  <c r="L22" i="1"/>
  <c r="M22" i="1"/>
  <c r="N22" i="1"/>
  <c r="O22" i="1"/>
  <c r="P22" i="1"/>
  <c r="Q22" i="1"/>
  <c r="R22" i="1"/>
  <c r="S22" i="1"/>
  <c r="T22" i="1"/>
  <c r="U22" i="1"/>
  <c r="V22" i="1"/>
  <c r="W22" i="1"/>
  <c r="X22" i="1"/>
  <c r="I22" i="1"/>
  <c r="I21" i="1"/>
  <c r="I25" i="1" s="1" a="1"/>
  <c r="I25" i="1" s="1"/>
  <c r="I27" i="1"/>
  <c r="I17" i="18" l="1"/>
  <c r="F51" i="28" l="1"/>
  <c r="F52" i="28"/>
  <c r="F50" i="28"/>
  <c r="G28" i="28" l="1"/>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F29" i="28"/>
  <c r="F30" i="28"/>
  <c r="F28" i="28"/>
  <c r="F26" i="28"/>
  <c r="G26" i="28"/>
  <c r="H26" i="28"/>
  <c r="I26" i="28"/>
  <c r="J26" i="28"/>
  <c r="K26" i="28"/>
  <c r="L26" i="28"/>
  <c r="M26" i="28"/>
  <c r="N26" i="28"/>
  <c r="O26" i="28"/>
  <c r="P26" i="28"/>
  <c r="Q26" i="28"/>
  <c r="R26" i="28"/>
  <c r="S26" i="28"/>
  <c r="T26" i="28"/>
  <c r="U26" i="28"/>
  <c r="V26" i="28"/>
  <c r="W26" i="28"/>
  <c r="X26" i="28"/>
  <c r="Y26" i="28"/>
  <c r="Z26" i="28"/>
  <c r="AA26" i="28"/>
  <c r="AB26" i="28"/>
  <c r="AC26" i="28"/>
  <c r="F27" i="28"/>
  <c r="G27" i="28"/>
  <c r="H27" i="28"/>
  <c r="I27" i="28"/>
  <c r="J27" i="28"/>
  <c r="K27" i="28"/>
  <c r="L27" i="28"/>
  <c r="M27" i="28"/>
  <c r="N27" i="28"/>
  <c r="O27" i="28"/>
  <c r="P27" i="28"/>
  <c r="Q27" i="28"/>
  <c r="R27" i="28"/>
  <c r="S27" i="28"/>
  <c r="T27" i="28"/>
  <c r="U27" i="28"/>
  <c r="V27" i="28"/>
  <c r="W27" i="28"/>
  <c r="X27" i="28"/>
  <c r="Y27" i="28"/>
  <c r="Z27" i="28"/>
  <c r="AA27" i="28"/>
  <c r="AB27" i="28"/>
  <c r="AC27" i="28"/>
  <c r="G25" i="28"/>
  <c r="H25" i="28"/>
  <c r="I25" i="28"/>
  <c r="J25" i="28"/>
  <c r="K25" i="28"/>
  <c r="L25" i="28"/>
  <c r="M25" i="28"/>
  <c r="N25" i="28"/>
  <c r="O25" i="28"/>
  <c r="P25" i="28"/>
  <c r="Q25" i="28"/>
  <c r="R25" i="28"/>
  <c r="S25" i="28"/>
  <c r="T25" i="28"/>
  <c r="U25" i="28"/>
  <c r="V25" i="28"/>
  <c r="W25" i="28"/>
  <c r="X25" i="28"/>
  <c r="Y25" i="28"/>
  <c r="Z25" i="28"/>
  <c r="AA25" i="28"/>
  <c r="AB25" i="28"/>
  <c r="AC25" i="28"/>
  <c r="F25" i="28"/>
  <c r="I18" i="18" l="1"/>
  <c r="I19" i="18"/>
  <c r="I20" i="18"/>
  <c r="I21" i="18"/>
  <c r="A1" i="14" l="1"/>
  <c r="A1" i="27"/>
  <c r="A1" i="22"/>
  <c r="AC65" i="28"/>
  <c r="AB65" i="28"/>
  <c r="AA65" i="28"/>
  <c r="Z65" i="28"/>
  <c r="Y65" i="28"/>
  <c r="X65" i="28"/>
  <c r="W65" i="28"/>
  <c r="V65" i="28"/>
  <c r="U65" i="28"/>
  <c r="T65" i="28"/>
  <c r="S65" i="28"/>
  <c r="R65" i="28"/>
  <c r="Q65" i="28"/>
  <c r="P65" i="28"/>
  <c r="O65" i="28"/>
  <c r="N65" i="28"/>
  <c r="M65" i="28"/>
  <c r="L65" i="28"/>
  <c r="K65" i="28"/>
  <c r="J65" i="28"/>
  <c r="I65" i="28"/>
  <c r="H65" i="28"/>
  <c r="G65" i="28"/>
  <c r="F65" i="28"/>
  <c r="AC64" i="28"/>
  <c r="AB64" i="28"/>
  <c r="AA64" i="28"/>
  <c r="Z64" i="28"/>
  <c r="Y64" i="28"/>
  <c r="X64" i="28"/>
  <c r="W64" i="28"/>
  <c r="V64" i="28"/>
  <c r="U64" i="28"/>
  <c r="T64" i="28"/>
  <c r="S64" i="28"/>
  <c r="R64" i="28"/>
  <c r="Q64" i="28"/>
  <c r="P64" i="28"/>
  <c r="O64" i="28"/>
  <c r="N64" i="28"/>
  <c r="M64" i="28"/>
  <c r="L64" i="28"/>
  <c r="K64" i="28"/>
  <c r="J64" i="28"/>
  <c r="I64" i="28"/>
  <c r="H64" i="28"/>
  <c r="G64" i="28"/>
  <c r="F64" i="28"/>
  <c r="B22" i="9"/>
  <c r="C14" i="9" s="1"/>
  <c r="G14" i="9" l="1"/>
  <c r="G12" i="9"/>
  <c r="C12" i="9"/>
  <c r="G10" i="9"/>
  <c r="C33" i="18"/>
  <c r="H33" i="18" s="1"/>
  <c r="C34" i="18"/>
  <c r="H34" i="18" s="1"/>
  <c r="C35" i="18"/>
  <c r="H35" i="18" s="1"/>
  <c r="C36" i="18"/>
  <c r="H36" i="18" s="1"/>
  <c r="C37" i="18"/>
  <c r="H37" i="18" s="1"/>
  <c r="C38" i="18"/>
  <c r="H38" i="18" s="1"/>
  <c r="C39" i="18"/>
  <c r="H39" i="18" s="1"/>
  <c r="C40" i="18"/>
  <c r="H40" i="18" s="1"/>
  <c r="C41" i="18"/>
  <c r="I41" i="18" s="1"/>
  <c r="C42" i="18"/>
  <c r="H42" i="18" s="1"/>
  <c r="C43" i="18"/>
  <c r="H43" i="18" s="1"/>
  <c r="C44" i="18"/>
  <c r="H44" i="18" s="1"/>
  <c r="C45" i="18"/>
  <c r="H45" i="18" s="1"/>
  <c r="C46" i="18"/>
  <c r="H46" i="18" s="1"/>
  <c r="C47" i="18"/>
  <c r="H47" i="18" s="1"/>
  <c r="C48" i="18"/>
  <c r="H48" i="18" s="1"/>
  <c r="C49" i="18"/>
  <c r="H49" i="18" s="1"/>
  <c r="C50" i="18"/>
  <c r="H50" i="18" s="1"/>
  <c r="C17" i="18"/>
  <c r="C18" i="18"/>
  <c r="H18" i="18" s="1"/>
  <c r="C19" i="18"/>
  <c r="H19" i="18" s="1"/>
  <c r="C20" i="18"/>
  <c r="H20" i="18" s="1"/>
  <c r="C21" i="18"/>
  <c r="H21" i="18" s="1"/>
  <c r="C22" i="18"/>
  <c r="H22" i="18" s="1"/>
  <c r="C23" i="18"/>
  <c r="H23" i="18" s="1"/>
  <c r="C24" i="18"/>
  <c r="H24" i="18" s="1"/>
  <c r="C25" i="18"/>
  <c r="H25" i="18" s="1"/>
  <c r="C26" i="18"/>
  <c r="H26" i="18" s="1"/>
  <c r="C27" i="18"/>
  <c r="H27" i="18" s="1"/>
  <c r="C28" i="18"/>
  <c r="H28" i="18" s="1"/>
  <c r="C29" i="18"/>
  <c r="H29" i="18" s="1"/>
  <c r="C30" i="18"/>
  <c r="H30" i="18" s="1"/>
  <c r="C31" i="18"/>
  <c r="H31" i="18" s="1"/>
  <c r="C32" i="18"/>
  <c r="H32" i="18" s="1"/>
  <c r="C4" i="18"/>
  <c r="H4" i="18" s="1"/>
  <c r="C5" i="18"/>
  <c r="H5" i="18" s="1"/>
  <c r="C7" i="18"/>
  <c r="H7" i="18" s="1"/>
  <c r="C8" i="18"/>
  <c r="H8" i="18" s="1"/>
  <c r="C9" i="18"/>
  <c r="H9" i="18" s="1"/>
  <c r="C10" i="18"/>
  <c r="H10" i="18" s="1"/>
  <c r="C11" i="18"/>
  <c r="H11" i="18" s="1"/>
  <c r="C12" i="18"/>
  <c r="H12" i="18" s="1"/>
  <c r="C13" i="18"/>
  <c r="H13" i="18" s="1"/>
  <c r="C14" i="18"/>
  <c r="H14" i="18" s="1"/>
  <c r="C15" i="18"/>
  <c r="H15" i="18" s="1"/>
  <c r="C16" i="18"/>
  <c r="H16" i="18" s="1"/>
  <c r="A49" i="18"/>
  <c r="A50" i="18"/>
  <c r="A46" i="18"/>
  <c r="A47" i="18"/>
  <c r="A48" i="18"/>
  <c r="A16" i="18"/>
  <c r="A17" i="18"/>
  <c r="A31" i="18"/>
  <c r="A32" i="18"/>
  <c r="A33" i="18"/>
  <c r="A34" i="18"/>
  <c r="A35" i="18"/>
  <c r="A36" i="18"/>
  <c r="A37" i="18"/>
  <c r="A38" i="18"/>
  <c r="A39" i="18"/>
  <c r="A40" i="18"/>
  <c r="A41" i="18"/>
  <c r="A42" i="18"/>
  <c r="A43" i="18"/>
  <c r="A44" i="18"/>
  <c r="A45" i="18"/>
  <c r="C3" i="18"/>
  <c r="H3" i="18" s="1"/>
  <c r="H41" i="18" l="1"/>
  <c r="J39" i="1" l="1"/>
  <c r="K39" i="1"/>
  <c r="L39" i="1"/>
  <c r="M39" i="1"/>
  <c r="N39" i="1"/>
  <c r="O39" i="1"/>
  <c r="P39" i="1"/>
  <c r="Q39" i="1"/>
  <c r="R39" i="1"/>
  <c r="S39" i="1"/>
  <c r="T39" i="1"/>
  <c r="U39" i="1"/>
  <c r="V39" i="1"/>
  <c r="W39" i="1"/>
  <c r="X39" i="1"/>
  <c r="J40" i="1"/>
  <c r="K40" i="1"/>
  <c r="L40" i="1"/>
  <c r="M40" i="1"/>
  <c r="N40" i="1"/>
  <c r="O40" i="1"/>
  <c r="P40" i="1"/>
  <c r="Q40" i="1"/>
  <c r="R40" i="1"/>
  <c r="S40" i="1"/>
  <c r="T40" i="1"/>
  <c r="U40" i="1"/>
  <c r="V40" i="1"/>
  <c r="W40" i="1"/>
  <c r="X40" i="1"/>
  <c r="I40" i="1"/>
  <c r="X34" i="1"/>
  <c r="W34" i="1"/>
  <c r="V34" i="1"/>
  <c r="U34" i="1"/>
  <c r="T34" i="1"/>
  <c r="S34" i="1"/>
  <c r="R34" i="1"/>
  <c r="Q34" i="1"/>
  <c r="P34" i="1"/>
  <c r="O34" i="1"/>
  <c r="N34" i="1"/>
  <c r="M34" i="1"/>
  <c r="L34" i="1"/>
  <c r="K34" i="1"/>
  <c r="J34" i="1"/>
  <c r="I34" i="1"/>
  <c r="X33" i="1"/>
  <c r="W33" i="1"/>
  <c r="V33" i="1"/>
  <c r="U33" i="1"/>
  <c r="T33" i="1"/>
  <c r="S33" i="1"/>
  <c r="R33" i="1"/>
  <c r="Q33" i="1"/>
  <c r="P33" i="1"/>
  <c r="O33" i="1"/>
  <c r="N33" i="1"/>
  <c r="M33" i="1"/>
  <c r="L33" i="1"/>
  <c r="K33" i="1"/>
  <c r="J33" i="1"/>
  <c r="I33" i="1"/>
  <c r="I37" i="1" s="1" a="1"/>
  <c r="I37" i="1" s="1"/>
  <c r="I7" i="1" a="1"/>
  <c r="I7" i="1" s="1"/>
  <c r="I43" i="1" l="1" a="1"/>
  <c r="I43" i="1" s="1"/>
  <c r="X28" i="1"/>
  <c r="W28" i="1"/>
  <c r="V28" i="1"/>
  <c r="U28" i="1"/>
  <c r="T28" i="1"/>
  <c r="S28" i="1"/>
  <c r="R28" i="1"/>
  <c r="Q28" i="1"/>
  <c r="P28" i="1"/>
  <c r="O28" i="1"/>
  <c r="N28" i="1"/>
  <c r="M28" i="1"/>
  <c r="L28" i="1"/>
  <c r="K28" i="1"/>
  <c r="J28" i="1"/>
  <c r="I28" i="1"/>
  <c r="J27" i="1"/>
  <c r="K27" i="1"/>
  <c r="L27" i="1"/>
  <c r="M27" i="1"/>
  <c r="N27" i="1"/>
  <c r="O27" i="1"/>
  <c r="P27" i="1"/>
  <c r="Q27" i="1"/>
  <c r="R27" i="1"/>
  <c r="S27" i="1"/>
  <c r="T27" i="1"/>
  <c r="U27" i="1"/>
  <c r="V27" i="1"/>
  <c r="W27" i="1"/>
  <c r="X27" i="1"/>
  <c r="I31" i="1" l="1" a="1"/>
  <c r="I31" i="1" s="1"/>
  <c r="K8" i="13" l="1"/>
  <c r="K4" i="13"/>
  <c r="D9" i="32" s="1"/>
  <c r="F9" i="32" s="1"/>
  <c r="G9" i="32" s="1"/>
  <c r="K5" i="13"/>
  <c r="D10" i="32" s="1"/>
  <c r="F10" i="32" s="1"/>
  <c r="G10" i="32" s="1"/>
  <c r="K7" i="13"/>
  <c r="K9" i="13"/>
  <c r="K10" i="13"/>
  <c r="D15" i="32" s="1"/>
  <c r="F15" i="32" s="1"/>
  <c r="G15" i="32" s="1"/>
  <c r="K11" i="13"/>
  <c r="D16" i="32" s="1"/>
  <c r="F16" i="32" s="1"/>
  <c r="G16" i="32" s="1"/>
  <c r="K12" i="13"/>
  <c r="D17" i="32" s="1"/>
  <c r="F17" i="32" s="1"/>
  <c r="G17" i="32" s="1"/>
  <c r="K13" i="13"/>
  <c r="D18" i="32" s="1"/>
  <c r="F18" i="32" s="1"/>
  <c r="G18" i="32" s="1"/>
  <c r="K14" i="13"/>
  <c r="D19" i="32" s="1"/>
  <c r="F19" i="32" s="1"/>
  <c r="G19" i="32" s="1"/>
  <c r="K15" i="13"/>
  <c r="D20" i="32" s="1"/>
  <c r="F20" i="32" s="1"/>
  <c r="G20" i="32" s="1"/>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D47" i="32" s="1"/>
  <c r="F47" i="32" s="1"/>
  <c r="G47" i="32" s="1"/>
  <c r="K43" i="13"/>
  <c r="K44" i="13"/>
  <c r="D49" i="32" s="1"/>
  <c r="F49" i="32" s="1"/>
  <c r="G49" i="32" s="1"/>
  <c r="K45" i="13"/>
  <c r="D50" i="32" s="1"/>
  <c r="F50" i="32" s="1"/>
  <c r="G50" i="32" s="1"/>
  <c r="K46" i="13"/>
  <c r="D51" i="32" s="1"/>
  <c r="F51" i="32" s="1"/>
  <c r="G51" i="32" s="1"/>
  <c r="K47" i="13"/>
  <c r="D52" i="32" s="1"/>
  <c r="F52" i="32" s="1"/>
  <c r="G52" i="32" s="1"/>
  <c r="K48" i="13"/>
  <c r="D53" i="32" s="1"/>
  <c r="F53" i="32" s="1"/>
  <c r="G53" i="32" s="1"/>
  <c r="K49" i="13"/>
  <c r="D54" i="32" s="1"/>
  <c r="F54" i="32" s="1"/>
  <c r="G54" i="32" s="1"/>
  <c r="K50" i="13"/>
  <c r="D55" i="32" s="1"/>
  <c r="F55" i="32" s="1"/>
  <c r="G55" i="32" s="1"/>
  <c r="K3" i="13"/>
  <c r="D8" i="32" s="1"/>
  <c r="F8" i="32" s="1"/>
  <c r="H51" i="13"/>
  <c r="F56" i="32" l="1"/>
  <c r="B59" i="32" s="1"/>
  <c r="C64" i="13"/>
  <c r="Q30" i="13"/>
  <c r="Q35" i="13"/>
  <c r="Q38" i="13"/>
  <c r="Q29" i="13"/>
  <c r="Q31" i="13"/>
  <c r="Q33" i="13"/>
  <c r="Q36" i="13"/>
  <c r="Q39" i="13"/>
  <c r="Q32" i="13"/>
  <c r="Q34" i="13"/>
  <c r="Q37" i="13"/>
  <c r="G8" i="32"/>
  <c r="B39" i="18"/>
  <c r="B16" i="18"/>
  <c r="G16" i="18" s="1"/>
  <c r="J16" i="18" s="1"/>
  <c r="B47" i="18"/>
  <c r="G47" i="18" s="1"/>
  <c r="J47" i="18" s="1"/>
  <c r="B25" i="18"/>
  <c r="B46" i="18"/>
  <c r="G46" i="18" s="1"/>
  <c r="J46" i="18" s="1"/>
  <c r="B24" i="18"/>
  <c r="I24" i="18" s="1"/>
  <c r="B45" i="18"/>
  <c r="G45" i="18" s="1"/>
  <c r="J45" i="18" s="1"/>
  <c r="B23" i="18"/>
  <c r="B44" i="18"/>
  <c r="G44" i="18" s="1"/>
  <c r="J44" i="18" s="1"/>
  <c r="B22" i="18"/>
  <c r="I22" i="18" s="1"/>
  <c r="B43" i="18"/>
  <c r="G43" i="18" s="1"/>
  <c r="J43" i="18" s="1"/>
  <c r="B21" i="18"/>
  <c r="G21" i="18" s="1"/>
  <c r="J21" i="18" s="1"/>
  <c r="B42" i="18"/>
  <c r="G42" i="18" s="1"/>
  <c r="J42" i="18" s="1"/>
  <c r="B20" i="18"/>
  <c r="G20" i="18" s="1"/>
  <c r="J20" i="18" s="1"/>
  <c r="B41" i="18"/>
  <c r="B19" i="18"/>
  <c r="G19" i="18" s="1"/>
  <c r="J19" i="18" s="1"/>
  <c r="B40" i="18"/>
  <c r="B18" i="18"/>
  <c r="G18" i="18" s="1"/>
  <c r="J18" i="18" s="1"/>
  <c r="B17" i="18"/>
  <c r="G17" i="18" s="1"/>
  <c r="J17" i="18" s="1"/>
  <c r="B38" i="18"/>
  <c r="B37" i="18"/>
  <c r="I37" i="18" s="1"/>
  <c r="B15" i="18"/>
  <c r="G15" i="18" s="1"/>
  <c r="J15" i="18" s="1"/>
  <c r="B36" i="18"/>
  <c r="B14" i="18"/>
  <c r="G14" i="18" s="1"/>
  <c r="J14" i="18" s="1"/>
  <c r="B35" i="18"/>
  <c r="B13" i="18"/>
  <c r="G13" i="18" s="1"/>
  <c r="J13" i="18" s="1"/>
  <c r="B34" i="18"/>
  <c r="B12" i="18"/>
  <c r="G12" i="18" s="1"/>
  <c r="J12" i="18" s="1"/>
  <c r="B33" i="18"/>
  <c r="B11" i="18"/>
  <c r="G11" i="18" s="1"/>
  <c r="J11" i="18" s="1"/>
  <c r="B32" i="18"/>
  <c r="B10" i="18"/>
  <c r="G10" i="18" s="1"/>
  <c r="J10" i="18" s="1"/>
  <c r="B31" i="18"/>
  <c r="B9" i="18"/>
  <c r="G9" i="18" s="1"/>
  <c r="J9" i="18" s="1"/>
  <c r="G19" i="13"/>
  <c r="G26" i="13"/>
  <c r="G21" i="13"/>
  <c r="G50" i="13"/>
  <c r="G49" i="13"/>
  <c r="G48" i="13"/>
  <c r="G24" i="13"/>
  <c r="G47" i="13"/>
  <c r="G3" i="13"/>
  <c r="G42" i="13"/>
  <c r="G46" i="13"/>
  <c r="G4" i="13"/>
  <c r="G41" i="13"/>
  <c r="G45" i="13"/>
  <c r="G5" i="13"/>
  <c r="G40" i="13"/>
  <c r="G43" i="13"/>
  <c r="G7" i="13"/>
  <c r="G8" i="13"/>
  <c r="G36" i="13"/>
  <c r="G10" i="13"/>
  <c r="G34" i="13"/>
  <c r="G12" i="13"/>
  <c r="G32" i="13"/>
  <c r="G14" i="13"/>
  <c r="G16" i="13"/>
  <c r="G29" i="13"/>
  <c r="G17" i="13"/>
  <c r="G28" i="13"/>
  <c r="G20" i="13"/>
  <c r="G25" i="13"/>
  <c r="G23" i="13"/>
  <c r="G44" i="13"/>
  <c r="G39" i="13"/>
  <c r="G38" i="13"/>
  <c r="G37" i="13"/>
  <c r="G9" i="13"/>
  <c r="G35" i="13"/>
  <c r="G11" i="13"/>
  <c r="G33" i="13"/>
  <c r="G13" i="13"/>
  <c r="G31" i="13"/>
  <c r="B23" i="9"/>
  <c r="G18" i="13"/>
  <c r="G22" i="13"/>
  <c r="G30" i="13"/>
  <c r="G27" i="13"/>
  <c r="G15" i="13"/>
  <c r="B30" i="18"/>
  <c r="B7" i="18"/>
  <c r="G7" i="18" s="1"/>
  <c r="J7" i="18" s="1"/>
  <c r="K51" i="13"/>
  <c r="B3" i="18"/>
  <c r="G3" i="18" s="1"/>
  <c r="J3" i="18" s="1"/>
  <c r="B29" i="18"/>
  <c r="B50" i="18"/>
  <c r="I50" i="18" s="1"/>
  <c r="B28" i="18"/>
  <c r="B5" i="18"/>
  <c r="G5" i="18" s="1"/>
  <c r="J5" i="18" s="1"/>
  <c r="B49" i="18"/>
  <c r="G49" i="18" s="1"/>
  <c r="J49" i="18" s="1"/>
  <c r="B27" i="18"/>
  <c r="B4" i="18"/>
  <c r="G4" i="18" s="1"/>
  <c r="J4" i="18" s="1"/>
  <c r="B48" i="18"/>
  <c r="G48" i="18" s="1"/>
  <c r="J48" i="18" s="1"/>
  <c r="B26" i="18"/>
  <c r="B8" i="18"/>
  <c r="G8" i="18" s="1"/>
  <c r="J8" i="18" s="1"/>
  <c r="AB4" i="21"/>
  <c r="AB5" i="21"/>
  <c r="AB6" i="21"/>
  <c r="AB7" i="21"/>
  <c r="F82" i="32" l="1"/>
  <c r="C74" i="32"/>
  <c r="D74" i="32" s="1"/>
  <c r="E74" i="32" s="1"/>
  <c r="C75" i="32"/>
  <c r="D75" i="32" s="1"/>
  <c r="E75" i="32" s="1"/>
  <c r="C76" i="32"/>
  <c r="D76" i="32" s="1"/>
  <c r="E76" i="32" s="1"/>
  <c r="C77" i="32"/>
  <c r="D77" i="32" s="1"/>
  <c r="E77" i="32" s="1"/>
  <c r="C78" i="32"/>
  <c r="D78" i="32" s="1"/>
  <c r="E78" i="32" s="1"/>
  <c r="F76" i="32"/>
  <c r="C68" i="32"/>
  <c r="D68" i="32" s="1"/>
  <c r="E68" i="32" s="1"/>
  <c r="F77" i="32"/>
  <c r="C69" i="32"/>
  <c r="D69" i="32" s="1"/>
  <c r="E69" i="32" s="1"/>
  <c r="F78" i="32"/>
  <c r="C70" i="32"/>
  <c r="D70" i="32" s="1"/>
  <c r="E70" i="32" s="1"/>
  <c r="F79" i="32"/>
  <c r="C71" i="32"/>
  <c r="D71" i="32" s="1"/>
  <c r="E71" i="32" s="1"/>
  <c r="F80" i="32"/>
  <c r="C72" i="32"/>
  <c r="D72" i="32" s="1"/>
  <c r="E72" i="32" s="1"/>
  <c r="F81" i="32"/>
  <c r="C73" i="32"/>
  <c r="D73" i="32" s="1"/>
  <c r="E73" i="32" s="1"/>
  <c r="C79" i="32"/>
  <c r="D79" i="32" s="1"/>
  <c r="E79" i="32" s="1"/>
  <c r="C80" i="32"/>
  <c r="D80" i="32" s="1"/>
  <c r="E80" i="32" s="1"/>
  <c r="F68" i="32"/>
  <c r="C82" i="32"/>
  <c r="D82" i="32" s="1"/>
  <c r="E82" i="32" s="1"/>
  <c r="F70" i="32"/>
  <c r="F71" i="32"/>
  <c r="F67" i="32"/>
  <c r="F72" i="32"/>
  <c r="C67" i="32"/>
  <c r="D67" i="32" s="1"/>
  <c r="E67" i="32" s="1"/>
  <c r="F74" i="32"/>
  <c r="C81" i="32"/>
  <c r="D81" i="32" s="1"/>
  <c r="E81" i="32" s="1"/>
  <c r="F69" i="32"/>
  <c r="F73" i="32"/>
  <c r="F75" i="32"/>
  <c r="G37" i="18"/>
  <c r="J37" i="18" s="1"/>
  <c r="G50" i="18"/>
  <c r="G38" i="18"/>
  <c r="I38" i="18"/>
  <c r="G40" i="18"/>
  <c r="I40" i="18"/>
  <c r="G28" i="18"/>
  <c r="I28" i="18"/>
  <c r="G34" i="18"/>
  <c r="I34" i="18"/>
  <c r="G29" i="18"/>
  <c r="I29" i="18"/>
  <c r="G33" i="18"/>
  <c r="I33" i="18"/>
  <c r="G24" i="18"/>
  <c r="J24" i="18" s="1"/>
  <c r="G30" i="18"/>
  <c r="I30" i="18"/>
  <c r="G22" i="18"/>
  <c r="J22" i="18" s="1"/>
  <c r="G23" i="18"/>
  <c r="I23" i="18"/>
  <c r="G25" i="18"/>
  <c r="I25" i="18"/>
  <c r="G35" i="18"/>
  <c r="I35" i="18"/>
  <c r="G31" i="18"/>
  <c r="I31" i="18"/>
  <c r="G32" i="18"/>
  <c r="I32" i="18"/>
  <c r="G26" i="18"/>
  <c r="I26" i="18"/>
  <c r="G27" i="18"/>
  <c r="I27" i="18"/>
  <c r="G39" i="18"/>
  <c r="I39" i="18"/>
  <c r="G36" i="18"/>
  <c r="I36" i="18"/>
  <c r="G41" i="18"/>
  <c r="J41" i="18" s="1"/>
  <c r="G15" i="9"/>
  <c r="C13" i="9"/>
  <c r="G13" i="9" s="1"/>
  <c r="G17" i="9" s="1"/>
  <c r="B3" i="9" s="1"/>
  <c r="C11" i="9"/>
  <c r="G11" i="9" s="1"/>
  <c r="F93" i="29"/>
  <c r="F87" i="29"/>
  <c r="F88" i="29"/>
  <c r="F89" i="29"/>
  <c r="F90" i="29"/>
  <c r="F91" i="29"/>
  <c r="F92" i="29"/>
  <c r="F94" i="29"/>
  <c r="F95" i="29"/>
  <c r="F86" i="29"/>
  <c r="B145" i="29"/>
  <c r="G71" i="32" l="1"/>
  <c r="I71" i="32" s="1"/>
  <c r="G72" i="32"/>
  <c r="I72" i="32" s="1"/>
  <c r="G67" i="32"/>
  <c r="I67" i="32" s="1"/>
  <c r="G77" i="32"/>
  <c r="I77" i="32" s="1"/>
  <c r="J23" i="18"/>
  <c r="G79" i="32"/>
  <c r="I79" i="32" s="1"/>
  <c r="G80" i="32"/>
  <c r="I80" i="32" s="1"/>
  <c r="G73" i="32"/>
  <c r="I73" i="32" s="1"/>
  <c r="J33" i="18"/>
  <c r="G69" i="32"/>
  <c r="I69" i="32" s="1"/>
  <c r="J36" i="18"/>
  <c r="G76" i="32"/>
  <c r="I76" i="32" s="1"/>
  <c r="G78" i="32"/>
  <c r="I78" i="32" s="1"/>
  <c r="G82" i="32"/>
  <c r="I82" i="32" s="1"/>
  <c r="J32" i="18"/>
  <c r="J40" i="18"/>
  <c r="J25" i="18"/>
  <c r="G68" i="32"/>
  <c r="I68" i="32" s="1"/>
  <c r="J27" i="18"/>
  <c r="J28" i="18"/>
  <c r="J31" i="18"/>
  <c r="G81" i="32"/>
  <c r="I81" i="32" s="1"/>
  <c r="J34" i="18"/>
  <c r="J38" i="18"/>
  <c r="J39" i="18"/>
  <c r="J29" i="18"/>
  <c r="J26" i="18"/>
  <c r="G70" i="32"/>
  <c r="I70" i="32" s="1"/>
  <c r="J35" i="18"/>
  <c r="J30" i="18"/>
  <c r="G75" i="32"/>
  <c r="I75" i="32" s="1"/>
  <c r="G74" i="32"/>
  <c r="I74" i="32" s="1"/>
  <c r="J50" i="18"/>
  <c r="G16" i="9"/>
  <c r="A3" i="9" s="1"/>
  <c r="C3" i="9" s="1"/>
  <c r="F96" i="29"/>
  <c r="G18" i="9" l="1"/>
  <c r="C145" i="29"/>
  <c r="K145" i="29"/>
  <c r="L145" i="29"/>
  <c r="M145" i="29"/>
  <c r="F145" i="29"/>
  <c r="G145" i="29"/>
  <c r="I145" i="29"/>
  <c r="D145" i="29"/>
  <c r="A122" i="29"/>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C102" i="29" l="1"/>
  <c r="E102" i="29"/>
  <c r="L102" i="29" s="1"/>
  <c r="M146" i="29"/>
  <c r="D102" i="29"/>
  <c r="K102" i="29" s="1"/>
  <c r="G51" i="13" l="1"/>
  <c r="G6"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<sst xmlns="http://schemas.openxmlformats.org/spreadsheetml/2006/main" count="2203" uniqueCount="985">
  <si>
    <t>Data Sources</t>
  </si>
  <si>
    <t>Dataset</t>
  </si>
  <si>
    <t>Dodge 2023</t>
  </si>
  <si>
    <r>
      <t>Commercial End-Use Survey</t>
    </r>
    <r>
      <rPr>
        <sz val="10"/>
        <rFont val="Arial"/>
        <family val="2"/>
      </rPr>
      <t xml:space="preserve"> (CEUS) 2022</t>
    </r>
  </si>
  <si>
    <t>https://www.energy.ca.gov/publications/2023/2022-california-commercial-end-use-survey-ceus-final-report</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</si>
  <si>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</si>
  <si>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</si>
  <si>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</si>
  <si>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</si>
  <si>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</si>
  <si>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t xml:space="preserve">Pacific Northwest National Laboratory </t>
    </r>
    <r>
      <rPr>
        <sz val="10"/>
        <color rgb="FF000000"/>
        <rFont val="Arial"/>
        <family val="2"/>
      </rPr>
      <t>(PNNL) Large Hotel prototype (ASHRAE 90.1-2022)</t>
    </r>
  </si>
  <si>
    <t>https://www.energycodes.gov/prototype-building-models#Commercial</t>
  </si>
  <si>
    <t xml:space="preserve"> </t>
  </si>
  <si>
    <r>
      <t>Database for Energy Efficient Resources</t>
    </r>
    <r>
      <rPr>
        <sz val="10"/>
        <color rgb="FF000000"/>
        <rFont val="Arial"/>
        <family val="2"/>
      </rPr>
      <t xml:space="preserve"> (DEER)  Hotel prototype (June 2024)</t>
    </r>
  </si>
  <si>
    <t>https://github.com/sound-data/DEER-Prototypes-EnergyPlus</t>
  </si>
  <si>
    <r>
      <t>California Energy Commission</t>
    </r>
    <r>
      <rPr>
        <sz val="10"/>
        <color rgb="FF000000"/>
        <rFont val="Arial"/>
        <family val="2"/>
      </rPr>
      <t xml:space="preserve"> (CEC) Small Hotel prototype</t>
    </r>
    <r>
      <rPr>
        <sz val="10"/>
        <rFont val="Arial"/>
        <family val="2"/>
      </rPr>
      <t xml:space="preserve"> (CBECC 2022.3.1)</t>
    </r>
  </si>
  <si>
    <t>https://bees.noresco.com/software2022.html</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</si>
  <si>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</si>
  <si>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</si>
  <si>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</si>
  <si>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</si>
  <si>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</si>
  <si>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</si>
  <si>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</si>
  <si>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t xml:space="preserve">Code of Federal Regulations </t>
    </r>
    <r>
      <rPr>
        <sz val="10"/>
        <color rgb="FF000000"/>
        <rFont val="Arial"/>
        <family val="2"/>
      </rPr>
      <t>(CFR) Title 10 (2009)</t>
    </r>
  </si>
  <si>
    <t>https://www.govinfo.gov/content/pkg/FR-2009-03-23/pdf/FR-2009-03-23.pdf</t>
  </si>
  <si>
    <t>CFR Title 10 ( 2013)</t>
  </si>
  <si>
    <t>https://www.govinfo.gov/content/pkg/CFR-2013-title10-vol3/pdf/CFR-2013-title10-vol3-part431.pdf</t>
  </si>
  <si>
    <t>CFR Title 10 ( 2024)</t>
  </si>
  <si>
    <t>https://www.govinfo.gov/content/pkg/CFR-2024-title10-vol3/pdf/CFR-2024-title10-vol3-part431-subpartF.pdf</t>
  </si>
  <si>
    <t>Others</t>
  </si>
  <si>
    <r>
      <t>Alternative Calculation Method</t>
    </r>
    <r>
      <rPr>
        <sz val="10"/>
        <color rgb="FF000000"/>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</si>
  <si>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</si>
  <si>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</si>
  <si>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</si>
  <si>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t xml:space="preserve">Nonres ACM 2022, </t>
    </r>
    <r>
      <rPr>
        <sz val="10"/>
        <color rgb="FF000000"/>
        <rFont val="Arial"/>
        <family val="2"/>
      </rPr>
      <t>Appendix 5.4A and Appendix 5.4B</t>
    </r>
  </si>
  <si>
    <r>
      <t xml:space="preserve">2022 Reduced infiltration </t>
    </r>
    <r>
      <rPr>
        <sz val="10"/>
        <color rgb="FF000000"/>
        <rFont val="Arial"/>
        <family val="2"/>
      </rPr>
      <t xml:space="preserve">Codes and Standards Enhancement </t>
    </r>
    <r>
      <rPr>
        <sz val="10"/>
        <color rgb="FF000000"/>
        <rFont val="Arial"/>
        <family val="2"/>
      </rPr>
      <t xml:space="preserve">(CASE) report </t>
    </r>
  </si>
  <si>
    <t>https://title24stakeholders.com/wp-content/uploads/2020/10/2022-T24-Final-CASE-Report_Reduce-Infiltration.pdf</t>
  </si>
  <si>
    <t>Honeywell, INNCOM e7 Thermostat User Guide, 2017</t>
  </si>
  <si>
    <t>https://prod-edam.honeywell.com/content/dam/honeywell-edam/hbt/en-us/documents/manuals-and-guides/installation-guides/inncom/hbt-bms-INNCOM-e7-USER-GUIDE.pdf?download=false</t>
  </si>
  <si>
    <t>2019 Outdoor Lighting CASE Report</t>
  </si>
  <si>
    <t>https://title24stakeholders.com/wp-content/uploads/2016/10/T24-2019-CASE-Study-Results-Report-Outdoor-Sources_Final_with-Attachments.pdf</t>
  </si>
  <si>
    <t>2025 State of the Industry Report</t>
  </si>
  <si>
    <t>https://www.ahla.com/sites/default/files/25_SOTI.pdf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</si>
  <si>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</si>
  <si>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</si>
  <si>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</si>
  <si>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</si>
  <si>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</si>
  <si>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</si>
  <si>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</si>
  <si>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</si>
  <si>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</si>
  <si>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</si>
  <si>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</si>
  <si>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</si>
  <si>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</si>
  <si>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</si>
  <si>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</si>
  <si>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Notes</t>
  </si>
  <si>
    <t>HotelSmall</t>
  </si>
  <si>
    <t>The HotelSmall prototype was developed to represent California small hotels with floor areas below 60,000 ft², regardless of the number of stories. 
According to Dodge (2023), the average small hotel in California is described as a 3‑story building with a total floor area of about 26,000 ft². In comparison, the CEC and PNNL small hotel prototype is characterized as a 4‑story building with a total floor area of 43,200 ft² and a 10,800‑ft² footprint. Because the CEC and PNNL prototype is considered well established and has defined zoning, it is selected as the basis for the model and modified by removing one floor. With this modification, the geometry aligns more closely with findings from the California building stock assessment.</t>
  </si>
  <si>
    <t>"NUMPRO=1" refers to Dodge records with only one building per record, while "All extended" includes all the records.</t>
  </si>
  <si>
    <t xml:space="preserve">Source:Dodge Construction Data, 2023 ( NEW Hotels below 60,000 sf built after 1967) (STC refers to building types in Dodge terminology). </t>
  </si>
  <si>
    <t>EIA, 2018 CBECS</t>
  </si>
  <si>
    <t>Approximately 42% of lodging buildings were between 1,001 ft² and 10,000 ft². On average, lodging buildings were among the largest commercial building types (33,700 ft² per building). More than one-half (56%) of lodging buildings were on a campus or complex. The majority of lodging buildings were not tall—only 2% of lodging buildings had 10 or more floors. Buildings that had one or two floors accounted for 71% of all lodging buildings.</t>
  </si>
  <si>
    <t>Characteristic</t>
  </si>
  <si>
    <t>Value</t>
  </si>
  <si>
    <t>Building Type</t>
  </si>
  <si>
    <t>Small Hotel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</si>
  <si>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</si>
  <si>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</si>
  <si>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</si>
  <si>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</si>
  <si>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</si>
  <si>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</si>
  <si>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</si>
  <si>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</si>
  <si>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t xml:space="preserve">Same as CEC and PNNL, except CalBEM is three stories whereas CEC and PNNL have four stories. </t>
    </r>
    <r>
      <rPr>
        <sz val="10"/>
        <color rgb="FF000000"/>
        <rFont val="Arial"/>
        <family val="2"/>
      </rPr>
      <t xml:space="preserve">Number of stories, are supported by Dodge 2023 data </t>
    </r>
  </si>
  <si>
    <t>Total Floor Area (ft²)</t>
  </si>
  <si>
    <t>32,400 (180 ft x 60 ft)</t>
  </si>
  <si>
    <t>Footprint same as CEC and PNNL, but total floor area was adjusted based on Dodge 2023 data</t>
  </si>
  <si>
    <t>Aspect Ratio</t>
  </si>
  <si>
    <t>Assumption: same as CEC and PNNL</t>
  </si>
  <si>
    <t>Number of Floors</t>
  </si>
  <si>
    <r>
      <t>Based on Dodge 2023 data (</t>
    </r>
    <r>
      <rPr>
        <sz val="10"/>
        <color rgb="FF000000"/>
        <rFont val="Arial"/>
        <family val="2"/>
      </rPr>
      <t>Average</t>
    </r>
    <r>
      <rPr>
        <sz val="10"/>
        <color theme="1"/>
        <rFont val="Arial"/>
        <family val="2"/>
      </rPr>
      <t xml:space="preserve"> number of stories)</t>
    </r>
  </si>
  <si>
    <t>Number of Guestrooms</t>
  </si>
  <si>
    <t>Roof type</t>
  </si>
  <si>
    <t>Flat Wood-Framed Roof for Guest rooms of Hotel/Motel</t>
  </si>
  <si>
    <t>Based on typical small hotel structure</t>
  </si>
  <si>
    <t>WWR</t>
  </si>
  <si>
    <r>
      <t xml:space="preserve">South: 15.2%, East: 3.1%, North: 11.4%, West: 4.0%
Average Total: 10.9%
</t>
    </r>
    <r>
      <rPr>
        <sz val="10"/>
        <color rgb="FF000000"/>
        <rFont val="Arial"/>
        <family val="2"/>
      </rPr>
      <t>Size of the guest room windows: 3.7 ft × 4.7 ft</t>
    </r>
  </si>
  <si>
    <t>Shading Geometry</t>
  </si>
  <si>
    <t xml:space="preserve">No Shades </t>
  </si>
  <si>
    <t>Floor to floor height (ft)</t>
  </si>
  <si>
    <t>Ground floor: 11 ft 
Upper floors:  9 ft</t>
  </si>
  <si>
    <r>
      <rPr>
        <sz val="10"/>
        <color rgb="FF000000"/>
        <rFont val="Arial"/>
        <family val="2"/>
      </rPr>
      <t xml:space="preserve">Typical small hotel's height, </t>
    </r>
    <r>
      <rPr>
        <sz val="10"/>
        <color theme="1"/>
        <rFont val="Arial"/>
        <family val="2"/>
      </rPr>
      <t>also same as CEC and PNNL</t>
    </r>
  </si>
  <si>
    <t>Floor to ceiling height (ft)</t>
  </si>
  <si>
    <t>Same as above</t>
  </si>
  <si>
    <t>Glazing sill height (ft)</t>
  </si>
  <si>
    <t>3 ft in ground floor, 2 ft. in upper floors</t>
  </si>
  <si>
    <t>Prototype Comparison</t>
  </si>
  <si>
    <t>Program</t>
  </si>
  <si>
    <t>CalBEM (HotelSmall)</t>
  </si>
  <si>
    <t>CEC (HotelSmall)</t>
  </si>
  <si>
    <t>DEER (Motel)</t>
  </si>
  <si>
    <t>PNNL (HotelSmall)</t>
  </si>
  <si>
    <t>Geometry</t>
  </si>
  <si>
    <t>Envelope</t>
  </si>
  <si>
    <t>Floor Area (ft2)</t>
  </si>
  <si>
    <t>Roof Area (ft2)</t>
  </si>
  <si>
    <t>Gross Exterior Wall Area (ft2)</t>
  </si>
  <si>
    <t>Window Area (ft2)</t>
  </si>
  <si>
    <t>Skylight Area (ft2)</t>
  </si>
  <si>
    <t>Window-to-Wall Ratio (%)</t>
  </si>
  <si>
    <t>Loads</t>
  </si>
  <si>
    <t>Occupants</t>
  </si>
  <si>
    <t>Occupancy Density (people/1000 ft2)</t>
  </si>
  <si>
    <t>Interior Lighting Power (W)</t>
  </si>
  <si>
    <t>Interior LPD (W/ft2)</t>
  </si>
  <si>
    <t>Equipment Power (W)</t>
  </si>
  <si>
    <t>Equipment Density (W/ft2)</t>
  </si>
  <si>
    <t>Ventilation</t>
  </si>
  <si>
    <t>Design OA Sum (cfm)</t>
  </si>
  <si>
    <t>Design OA Density (cfm/ft2)</t>
  </si>
  <si>
    <t>Design OA per Person (cfm/person)</t>
  </si>
  <si>
    <t>HVAC and Water Heater</t>
  </si>
  <si>
    <t>HVAC System Type</t>
  </si>
  <si>
    <t>System: PTHP + central VAV air loops
Distribution: 1 air loop; VAV reheat terminal; DX cooling; hot-water heating
Plant: 2 natural-gas hot-water boilers</t>
  </si>
  <si>
    <t>System: PTAC + central VAV air loops
Distribution: 4 air loops; VAV reheat terminal; DX cooling; hot-water heating
Plant: 2 natural-gas hot-water boilers</t>
  </si>
  <si>
    <t>System: unitary/package systems + central VAV air loops
Distribution: 6 air loops; VAV no-reheat and VAV reheat terminals; DX cooling; hot-water heating and natural-gas heating
Plant: 2 natural-gas hot-water boilers</t>
  </si>
  <si>
    <t>System: PTAC + unitary/package systems + central air loops
Distribution: 6 air loops; constant-volume no-reheat terminal; DX cooling; natural-gas heating</t>
  </si>
  <si>
    <t>Water Heater</t>
  </si>
  <si>
    <t>1 water heater: 1 natural-gas
1 service water loop</t>
  </si>
  <si>
    <t>2 water heaters: 1 electric, 1 natural-gas
2 service water loops</t>
  </si>
  <si>
    <t>2 water heaters: 2 natural-gas
2 service water loops</t>
  </si>
  <si>
    <t>Proposed Layout - HotelSmall</t>
  </si>
  <si>
    <t>N</t>
  </si>
  <si>
    <t>Suggestion (not the current zoning):</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</si>
  <si>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</si>
  <si>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</si>
  <si>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</si>
  <si>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Zone</t>
  </si>
  <si>
    <t>Schedule Category</t>
  </si>
  <si>
    <t>Conditioned [Y/N]</t>
  </si>
  <si>
    <t>Area Fraction</t>
  </si>
  <si>
    <t>Area (ft²)</t>
  </si>
  <si>
    <t>Volume
 [ft³]</t>
  </si>
  <si>
    <t>Multipliers</t>
  </si>
  <si>
    <t>People</t>
  </si>
  <si>
    <t xml:space="preserve">People 
(Persons/1,000 ft²)
[T24, 2025,Table 120.1-A] </t>
  </si>
  <si>
    <t>Corridor_FloorG</t>
  </si>
  <si>
    <t>Corridor Area</t>
  </si>
  <si>
    <t>BaseAirSys5</t>
  </si>
  <si>
    <t>ResidentialCommon</t>
  </si>
  <si>
    <t>Yes</t>
  </si>
  <si>
    <t>Corridor_FloorM</t>
  </si>
  <si>
    <t>BaseAirSys5-2</t>
  </si>
  <si>
    <t>Corridor_FloorT</t>
  </si>
  <si>
    <t>BaseAirSys5-3</t>
  </si>
  <si>
    <t>Lounge_FloorG</t>
  </si>
  <si>
    <t>Lounge, Breakroom, or Waiting Area</t>
  </si>
  <si>
    <t>Gym_FloorG</t>
  </si>
  <si>
    <t>Exercise/Fitness Center and Gymnasium Areas</t>
  </si>
  <si>
    <t>Assembly</t>
  </si>
  <si>
    <t>Front_Lounge_FloorG</t>
  </si>
  <si>
    <t>NonRes ACM 2005, Appendix 5.4A assigns 2.5 occupants to kitchenette spaces, but because this room serves as a combined break/kitchenette area—and break rooms assume 33 occupants—we applied a midpoint value. The lounge overlaps functionally with the break area, so its occupant count (33) was reduced to 15 to keep overall loads balanced.</t>
  </si>
  <si>
    <t>Front_Office_FloorG</t>
  </si>
  <si>
    <t>Office Area (&gt;250 square feet)</t>
  </si>
  <si>
    <t>Office</t>
  </si>
  <si>
    <t>Front_Stair_FloorG</t>
  </si>
  <si>
    <t>Stairwell</t>
  </si>
  <si>
    <t>AncillaryResidentialCommon</t>
  </si>
  <si>
    <t>Ground floor (FloorG)</t>
  </si>
  <si>
    <t>Front_Stair_FloorM</t>
  </si>
  <si>
    <t>Front_Stair_FloorT</t>
  </si>
  <si>
    <t>Front_Storage_FloorG</t>
  </si>
  <si>
    <t>Storage (General)</t>
  </si>
  <si>
    <t>Front_Storage_FloorM</t>
  </si>
  <si>
    <t>Front_Storage_FloorT</t>
  </si>
  <si>
    <t>GuestRoom_1_FloorG</t>
  </si>
  <si>
    <t>Hotel/Motel Guest Room</t>
  </si>
  <si>
    <t>BaseZnSys1</t>
  </si>
  <si>
    <t>ResidentialLiving</t>
  </si>
  <si>
    <t>GuestRoom_2_FloorG</t>
  </si>
  <si>
    <t>BaseZnSys1-2</t>
  </si>
  <si>
    <t>GuestRoom_3_FloorG</t>
  </si>
  <si>
    <t>BaseZnSys1-3</t>
  </si>
  <si>
    <t>GuestRoom_4_FloorG</t>
  </si>
  <si>
    <t>BaseZnSys1-4</t>
  </si>
  <si>
    <t>GuestRoom_5_FloorG</t>
  </si>
  <si>
    <t>BaseZnSys1-5</t>
  </si>
  <si>
    <t>GuestRoom_1_FloorM</t>
  </si>
  <si>
    <t>BaseZnSys1-6</t>
  </si>
  <si>
    <t>GuestRoom_2_5_FloorM</t>
  </si>
  <si>
    <t>BaseZnSys1-7</t>
  </si>
  <si>
    <t>GuestRoom_6_8_FloorM</t>
  </si>
  <si>
    <t>BaseZnSys1-8</t>
  </si>
  <si>
    <t>GuestRoom_9_12_FloorM</t>
  </si>
  <si>
    <t>BaseZnSys1-9</t>
  </si>
  <si>
    <t>GuestRoom_13_FloorM</t>
  </si>
  <si>
    <t>BaseZnSys1-10</t>
  </si>
  <si>
    <t>Middle floor and top floor (FloorM, FloorT)</t>
  </si>
  <si>
    <t>GuestRoom_14_FloorM</t>
  </si>
  <si>
    <t>BaseZnSys1-11</t>
  </si>
  <si>
    <t>GuestRoom_15_18_FloorM</t>
  </si>
  <si>
    <t>BaseZnSys1-12</t>
  </si>
  <si>
    <t>GuestRoom_19_FloorM</t>
  </si>
  <si>
    <t>BaseZnSys1-13</t>
  </si>
  <si>
    <t>Space</t>
  </si>
  <si>
    <r>
      <t>Floor area (ft</t>
    </r>
    <r>
      <rPr>
        <vertAlign val="superscript"/>
        <sz val="10"/>
        <color theme="1"/>
        <rFont val="Arial"/>
        <family val="2"/>
      </rPr>
      <t>2</t>
    </r>
    <r>
      <rPr>
        <b/>
        <sz val="10"/>
        <color theme="1"/>
        <rFont val="Arial"/>
        <family val="2"/>
      </rPr>
      <t>)</t>
    </r>
  </si>
  <si>
    <t>Fraction</t>
  </si>
  <si>
    <t>GuestRoom_20_23_FloorM</t>
  </si>
  <si>
    <t>BaseZnSys1-14</t>
  </si>
  <si>
    <t>Guest Room</t>
  </si>
  <si>
    <t>GuestRoom_24_FloorM</t>
  </si>
  <si>
    <t>BaseZnSys1-15</t>
  </si>
  <si>
    <t>Lounge</t>
  </si>
  <si>
    <t>GuestRoom_1_FloorT</t>
  </si>
  <si>
    <t>BaseZnSys1-16</t>
  </si>
  <si>
    <t>Corridor</t>
  </si>
  <si>
    <t>GuestRoom_2_5_FloorT</t>
  </si>
  <si>
    <t>BaseZnSys1-17</t>
  </si>
  <si>
    <t>GuestRoom_6_8_FloorT</t>
  </si>
  <si>
    <t>BaseZnSys1-18</t>
  </si>
  <si>
    <t>Exercise/Gym</t>
  </si>
  <si>
    <t>GuestRoom_9_12_FloorT</t>
  </si>
  <si>
    <t>BaseZnSys1-19</t>
  </si>
  <si>
    <t>Conference</t>
  </si>
  <si>
    <t>GuestRoom_13_FloorT</t>
  </si>
  <si>
    <t>BaseZnSys1-20</t>
  </si>
  <si>
    <t>Mechanical</t>
  </si>
  <si>
    <t>GuestRoom_14_FloorT</t>
  </si>
  <si>
    <t>BaseZnSys1-21</t>
  </si>
  <si>
    <t>Laundry</t>
  </si>
  <si>
    <t>GuestRoom_15_18_FloorT</t>
  </si>
  <si>
    <t>BaseZnSys1-22</t>
  </si>
  <si>
    <t>Storage</t>
  </si>
  <si>
    <t>GuestRoom_19_FloorT</t>
  </si>
  <si>
    <t>BaseZnSys1-23</t>
  </si>
  <si>
    <t>Restroom</t>
  </si>
  <si>
    <t>GuestRoom_20_23_FloorT</t>
  </si>
  <si>
    <t>BaseZnSys1-24</t>
  </si>
  <si>
    <t>Stairs</t>
  </si>
  <si>
    <t>GuestRoom_24_FloorT</t>
  </si>
  <si>
    <t>BaseZnSys1-25</t>
  </si>
  <si>
    <t>Laundry_FloorG</t>
  </si>
  <si>
    <t xml:space="preserve">Laundry Area </t>
  </si>
  <si>
    <t>Mech_FloorG</t>
  </si>
  <si>
    <t>Electrical, Mechanical, Telephone Rooms</t>
  </si>
  <si>
    <t>AncillaryAssembly</t>
  </si>
  <si>
    <t>Conference_FloorG</t>
  </si>
  <si>
    <t>Convention, Conference, Multipurpose and Meeting Area</t>
  </si>
  <si>
    <t>Rear_Stair_FloorG</t>
  </si>
  <si>
    <t>Rear_Stair_FloorT</t>
  </si>
  <si>
    <t>Rear_Stair_FloorM</t>
  </si>
  <si>
    <t>Rear_Storage_FloorG</t>
  </si>
  <si>
    <t>Rear_Storage_FloorM</t>
  </si>
  <si>
    <t>Rear_Storage_FloorT</t>
  </si>
  <si>
    <t>Restroom_FloorG</t>
  </si>
  <si>
    <t>Restrooms</t>
  </si>
  <si>
    <t>Indirectly conditioned</t>
  </si>
  <si>
    <t>Total (1 Building)</t>
  </si>
  <si>
    <r>
      <rPr>
        <sz val="10"/>
        <color rgb="FF000000"/>
        <rFont val="Arial"/>
        <family val="2"/>
      </rPr>
      <t>Total (</t>
    </r>
    <r>
      <rPr>
        <sz val="10"/>
        <color rgb="FF000000"/>
        <rFont val="Arial"/>
        <family val="2"/>
      </rPr>
      <t xml:space="preserve">49 </t>
    </r>
    <r>
      <rPr>
        <sz val="10"/>
        <color rgb="FF000000"/>
        <rFont val="Arial"/>
        <family val="2"/>
      </rPr>
      <t>spaces/Thermal zones)</t>
    </r>
  </si>
  <si>
    <t>Total (11 Space types)</t>
  </si>
  <si>
    <t>Total (28 HVAC Zones)</t>
  </si>
  <si>
    <t>Total (4 Schedule Categories)</t>
  </si>
  <si>
    <t xml:space="preserve"> Total (47 Conditioned zones)</t>
  </si>
  <si>
    <r>
      <t>Ref:</t>
    </r>
    <r>
      <rPr>
        <sz val="10"/>
        <color theme="1"/>
        <rFont val="Arial"/>
        <family val="2"/>
      </rPr>
      <t xml:space="preserve"> Geometry and zones: PNNL 2022 small hotel prototype</t>
    </r>
  </si>
  <si>
    <t>Occupancy Rate</t>
  </si>
  <si>
    <t>% of occupied guest rooms</t>
  </si>
  <si>
    <t>Source</t>
  </si>
  <si>
    <t xml:space="preserve">California Lodging Forecast (April 2025) </t>
  </si>
  <si>
    <t>2025 State of the industry report</t>
  </si>
  <si>
    <t>Number of Guest room- adjusted for aggregated room representation</t>
  </si>
  <si>
    <t xml:space="preserve">Guest room (ft²) </t>
  </si>
  <si>
    <t>Average size of guest rooms - adjusted for aggregated room representation (ft)</t>
  </si>
  <si>
    <t>Guest room  %</t>
  </si>
  <si>
    <t>Background Data [To be deleted prior to publication]</t>
  </si>
  <si>
    <t>Envelope - HotelSmall</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</si>
  <si>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</si>
  <si>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</si>
  <si>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</si>
  <si>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</si>
  <si>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</si>
  <si>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</si>
  <si>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</si>
  <si>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</si>
  <si>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</si>
  <si>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</si>
  <si>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</si>
  <si>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</si>
  <si>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</si>
  <si>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</si>
  <si>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</si>
  <si>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</si>
  <si>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</si>
  <si>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</si>
  <si>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</si>
  <si>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</si>
  <si>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</si>
  <si>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</si>
  <si>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External Wall_Guest Room</t>
  </si>
  <si>
    <t>ExtWall_MetalFramed_GuestRooms</t>
  </si>
  <si>
    <r>
      <rPr>
        <sz val="10"/>
        <color rgb="FF000000"/>
        <rFont val="Arial"/>
        <family val="2"/>
      </rPr>
      <t xml:space="preserve">Metal framed wall:
</t>
    </r>
    <r>
      <rPr>
        <sz val="10"/>
        <color rgb="FF000000"/>
        <rFont val="Arial"/>
        <family val="2"/>
      </rPr>
      <t>Stucco + Metal-frame (2x4 16 in. OC) + insulation + Gypsum board</t>
    </r>
  </si>
  <si>
    <t>U-factor IP</t>
  </si>
  <si>
    <t>Pre 1978</t>
  </si>
  <si>
    <t>N/A</t>
  </si>
  <si>
    <t>Using:  1)  ASHRAE 90.1, 2022 Table A3.4.3.1, 3.5",  R-1.5 U value of 0.202, and 2) an 18.7% cumulative wall renovation rate through 2028, based on the average annual rate from CBECS 2003 and 2012 projected over 48 years.</t>
  </si>
  <si>
    <t>1978-1997</t>
  </si>
  <si>
    <t>T24, 1986, Table 2-53BB for a wall density of 26-40 lb/ft² &amp; Degree day&lt;3500</t>
  </si>
  <si>
    <t>1998-2007</t>
  </si>
  <si>
    <t>Table 1-I-Guest rooms of Hotel/Motel</t>
  </si>
  <si>
    <t>2008-2018</t>
  </si>
  <si>
    <t>Table 140.3-C-Guest rooms of Hotel/Motel</t>
  </si>
  <si>
    <t>Existing</t>
  </si>
  <si>
    <t>Weighted average of all 4 vintages</t>
  </si>
  <si>
    <t>2019+</t>
  </si>
  <si>
    <t>External Wall_Nonres</t>
  </si>
  <si>
    <t>ExtWall_MetalFramed_NonRes</t>
  </si>
  <si>
    <r>
      <rPr>
        <sz val="10"/>
        <color rgb="FF000000"/>
        <rFont val="Arial"/>
        <family val="2"/>
      </rPr>
      <t xml:space="preserve">Metal framed wall :
</t>
    </r>
    <r>
      <rPr>
        <sz val="10"/>
        <color rgb="FF000000"/>
        <rFont val="Arial"/>
        <family val="2"/>
      </rPr>
      <t>Stucco + Metal frame (2x4 16 in. OC) + insulation + Gypsum board</t>
    </r>
  </si>
  <si>
    <t>Using: 1)  DOE pre-1980 U value of 0.227, and 2) an 18.7% cumulative wall renovation rate through 2028, based on the average annual rate from CBECS 2003 and 2012 projected over 48 years.</t>
  </si>
  <si>
    <r>
      <rPr>
        <sz val="10"/>
        <color rgb="FF000000"/>
        <rFont val="Arial"/>
        <family val="2"/>
      </rPr>
      <t>Copied from low-rise office alternative requirements (Table 2-53V): Package A with heat capacity between</t>
    </r>
    <r>
      <rPr>
        <sz val="10"/>
        <color rgb="FF000000"/>
        <rFont val="Arial"/>
        <family val="2"/>
      </rPr>
      <t xml:space="preserve"> 0-3.99</t>
    </r>
    <r>
      <rPr>
        <sz val="10"/>
        <color rgb="FF000000"/>
        <rFont val="Arial"/>
        <family val="2"/>
      </rPr>
      <t xml:space="preserve"> (Btu/F-ft²)</t>
    </r>
  </si>
  <si>
    <t>Table 1-H-NonRes Bldgs</t>
  </si>
  <si>
    <t>Table 140.3-B-NonRes Bldgs</t>
  </si>
  <si>
    <t>Roof_Guest Room</t>
  </si>
  <si>
    <t>FlatRoof_WoodFramedAndOther_GuestRooms</t>
  </si>
  <si>
    <r>
      <rPr>
        <sz val="10"/>
        <color rgb="FF000000"/>
        <rFont val="Arial"/>
        <family val="2"/>
      </rPr>
      <t xml:space="preserve">Metal deck roof:
</t>
    </r>
    <r>
      <rPr>
        <sz val="10"/>
        <color rgb="FF000000"/>
        <rFont val="Arial"/>
        <family val="2"/>
      </rPr>
      <t xml:space="preserve">Roof membrane or shingles + roof insulation + </t>
    </r>
    <r>
      <rPr>
        <sz val="10"/>
        <color rgb="FF000000"/>
        <rFont val="Arial"/>
        <family val="2"/>
      </rPr>
      <t>metal decking/sheathing + framing</t>
    </r>
  </si>
  <si>
    <t>Considering 30 years for roof/ insulation replacement.</t>
  </si>
  <si>
    <t>Windows_ Guest Room</t>
  </si>
  <si>
    <t>FixedWindow_GuestRoom</t>
  </si>
  <si>
    <t xml:space="preserve">Single pane </t>
  </si>
  <si>
    <t>ASHRAE Handbook of Fundamentals (Table 4-Ch15) for single pane &amp; T24, 2013  for double pane(33%-67%)*</t>
  </si>
  <si>
    <t>Double pane</t>
  </si>
  <si>
    <t>SHGC</t>
  </si>
  <si>
    <t>ASHRAE Handbook of Fundamentals (Table 10-Ch15) for single pane &amp; T24, 2013  for double pane(33%-67%)*</t>
  </si>
  <si>
    <t>Table 1-I-Guest rooms of Hotel/Motel  (WWR:10-20% / SHGC Non-north)</t>
  </si>
  <si>
    <t>Windows_ Nonres</t>
  </si>
  <si>
    <t>FixedWindow_NonRes</t>
  </si>
  <si>
    <t>Table 1-H-NonRes Bldgs  (WWR:10-20% / SHGC Non-north)</t>
  </si>
  <si>
    <t>Infiltration</t>
  </si>
  <si>
    <t>Zones</t>
  </si>
  <si>
    <t>I_75 (cfm/ft²)
6-sdied Infiltration rate @ 75 pa</t>
  </si>
  <si>
    <t xml:space="preserve"> I-design (cfm/ft²)
(4-sided Infiltration rate at normal pressure) 
(Design flow rate approach and Flow/Exterior Wall Area calculation method) </t>
  </si>
  <si>
    <t>2022 CASE report (Table 38)</t>
  </si>
  <si>
    <t>1*</t>
  </si>
  <si>
    <t>2022 CASE report (Table 38) &amp;
T24, 2008-2016 (Table 140.3-C)</t>
  </si>
  <si>
    <t>Same as Pre 2008 because of their higher weights</t>
  </si>
  <si>
    <t>0.6**</t>
  </si>
  <si>
    <t>2022 CASE report (Table 38) &amp;  T24,140.3(a)9Cii &amp; T24, 2025 (Table 140.3-C)</t>
  </si>
  <si>
    <t>* An air barrier was not required for guest rooms under T24, until the 2019 edition. However, to reflect typical construction practices, we assumed that all exterior walls are equipped with an air barrier where it was required for nonresidential walls.</t>
  </si>
  <si>
    <t>*** T24  requires 0.4 cfm/ft² for tested condition but section 140.3(a)9Cii also says that if the air leakage requirements are not met, a visual inspection and diagnostic evaluation shall be completed , all observed leaks shall be sealed where such sealing can be made without destruction of existing building components, and buildings where the tested leakage rate exceeded 0.6 cfm/ft² of building shell area at 75 Pa have been retested to confirm leakage is below 0.6 cfm/ft² of building shell at 75 Pa.
Although T24,2025 does not require guest rooms in Climate Zone 7 to have an air barrier, we assumed that all CZs are equipped with one. According to Dodge 2023 CAS data CZ 7 accounts for ~ 6% of hotel floor area in CA. Therefore, we have decided to ignore the exemption for CZ7 and treated all CZs as having an air barrier for consistency and ease of simulation.</t>
  </si>
  <si>
    <t>ACM 2025, 5.4.2: For Standard Design, I-design shall be 0.2352 cfm/ft². .Hotel/Motel Buildings in climate zone 7 and for relocatable public school buildings I-design shall be 0.3696 cfm/ft²</t>
  </si>
  <si>
    <t>Pre-1978 exterior wall U value calculation:</t>
  </si>
  <si>
    <t xml:space="preserve">External Wall </t>
  </si>
  <si>
    <t>Metal framed wall:
Stucco + Metal-frame (2x4 16 in. OC) + insulation + Gypsum board</t>
  </si>
  <si>
    <t>U-value IP</t>
  </si>
  <si>
    <t>ASHRAE 90.1 Table A3.3.3.1, 16" on center, R-0</t>
  </si>
  <si>
    <t>T24 2008 (U value) : Metal frame Res</t>
  </si>
  <si>
    <t>ASHRAE 90.1, 2022 Table A3.4.3.1, 3.5", R-1.5</t>
  </si>
  <si>
    <t xml:space="preserve">Renovation rate since 1980  (yearly renovation rate was calculated from CBECS 2003 and 2012 and then projected over 48 years) </t>
  </si>
  <si>
    <t>Metal framed wall:
Metal frame + insulation + Gypsum board</t>
  </si>
  <si>
    <t>T24 2008 (U value): Metal frame Nonres</t>
  </si>
  <si>
    <t>DOE pre 1980 Hotel prototype LA (U value)</t>
  </si>
  <si>
    <t xml:space="preserve">Heating </t>
  </si>
  <si>
    <t>Cooling</t>
  </si>
  <si>
    <t>Air Distribution</t>
  </si>
  <si>
    <t>Note</t>
  </si>
  <si>
    <t xml:space="preserve">Existing </t>
  </si>
  <si>
    <t>Guest Rooms</t>
  </si>
  <si>
    <t>Electric resistance</t>
  </si>
  <si>
    <t>PTAC</t>
  </si>
  <si>
    <t>CEUS 2022 + engineering judgement</t>
  </si>
  <si>
    <t>All other conditioned zones</t>
  </si>
  <si>
    <t>New Construction</t>
  </si>
  <si>
    <t>PTHP</t>
  </si>
  <si>
    <t>Engineering Judgement</t>
  </si>
  <si>
    <t>The guestroom system was originally System 1 (RAC) based on Title 24 Tables 2 and 3. However, after several discussions and consultations with experts and engineers, we realized that for new buildings, each room should instead use a PTHP system. We updated the HVAC accordingly.</t>
  </si>
  <si>
    <t>Gas Boiler</t>
  </si>
  <si>
    <t xml:space="preserve"> PVAV</t>
  </si>
  <si>
    <t>VAV + Hydronic Reheat</t>
  </si>
  <si>
    <t xml:space="preserve">T24 2025 ACM 2025, Table 2 and 3 </t>
  </si>
  <si>
    <t>Packaged VAV-System5</t>
  </si>
  <si>
    <r>
      <rPr>
        <b/>
        <sz val="12"/>
        <color rgb="FFFFFFFF"/>
        <rFont val="Arial"/>
        <family val="2"/>
      </rPr>
      <t xml:space="preserve">   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</si>
  <si>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</si>
  <si>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DX Cooling-Guest Rooms</t>
  </si>
  <si>
    <t>DX Cooling-All Other Conditioned Zones</t>
  </si>
  <si>
    <t>Gas Boiler- Guest rooms and All Other Conditioned Zones</t>
  </si>
  <si>
    <t xml:space="preserve">Sources </t>
  </si>
  <si>
    <t>EER=9 (&lt;65,000 Btu/h)</t>
  </si>
  <si>
    <t>-</t>
  </si>
  <si>
    <t xml:space="preserve">CFR Energy 2008 (for DX Cooling) </t>
  </si>
  <si>
    <t>CFR Energy 2010:Title 10- Table 9 (for DX Cooling)</t>
  </si>
  <si>
    <t>EER=10 (≥ 240,000 Btu/h and &lt; 760,000 Btu/h) and EER=9 (&lt;65,000 Btu/h)</t>
  </si>
  <si>
    <t xml:space="preserve">Thermal Efficiency (Et) of 84% </t>
  </si>
  <si>
    <t>CFR Energy 2025, Table 12 (for DX Coils)
T24, 2022 ,Table 110.2-J (for Boiler thermal efficiency)</t>
  </si>
  <si>
    <t xml:space="preserve"> Deduct 0.2 from the required EERs and IEERs for units with a heating section other than electric resistance heat. </t>
  </si>
  <si>
    <t>Fan power</t>
  </si>
  <si>
    <t>Approach</t>
  </si>
  <si>
    <t>System</t>
  </si>
  <si>
    <t>Total Static Pressure (TSP)</t>
  </si>
  <si>
    <t>Fan Efficiency
[ACM 2025]</t>
  </si>
  <si>
    <t>Motor Efficiency</t>
  </si>
  <si>
    <t xml:space="preserve"> Fan Power Index  
(W/cfm)</t>
  </si>
  <si>
    <t>Data Source</t>
  </si>
  <si>
    <t>PNNL 90.1-2011, TSP</t>
  </si>
  <si>
    <t>PTAC, PTHP</t>
  </si>
  <si>
    <t>ASHRAE 90.1, 2004, Table 10.8 *</t>
  </si>
  <si>
    <t>Fan power formula: PNNL 20405, 2010, section 5.2.2.5
TSP and fan efficiency: PNNL 20405, 2010, Table 5.11, 90.1-04ac values
Motor efficiency: ASHRAE 90.1, 2004, Table 10.8</t>
  </si>
  <si>
    <t>Brake horsepower (bhp) = (Supply cfm × TSP in w.c.) / (6356 × fan efficiency)</t>
  </si>
  <si>
    <t>Fan power (w/cfm) = (bhp ×  746) / ( supply cfm × motor efficiency )</t>
  </si>
  <si>
    <t>ACM 2025</t>
  </si>
  <si>
    <t>Guest room PTHP</t>
  </si>
  <si>
    <t>TSP = fan power × motor efficiency × fan efficiency × 6356 / 746</t>
  </si>
  <si>
    <t>2025 ACM Table 12 **</t>
  </si>
  <si>
    <t>Guest room PTHP fan power index 0.45 W/cfm</t>
  </si>
  <si>
    <t>System 5 PVAV, &lt;=5,000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</si>
  <si>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</si>
  <si>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motor nameplate horsepower.
     Brake horsepower  (bhp) = (Supply cfm from sizing run × fan power in W/cfm) / 746.</t>
  </si>
  <si>
    <t>CEUS 2022</t>
  </si>
  <si>
    <t>Gas</t>
  </si>
  <si>
    <t>Lodging</t>
  </si>
  <si>
    <t>Outdoor Airflow Rate - HotelSmall</t>
  </si>
  <si>
    <t>Space Name</t>
  </si>
  <si>
    <t>Number of People</t>
  </si>
  <si>
    <t>Floor Area (ft²)</t>
  </si>
  <si>
    <t>cfm/person
(T24, 2025, Equation 120.1-F and Table 120.1-A)
(ASHRAE 62.1, 2022, Table 6-1) for guest rooms</t>
  </si>
  <si>
    <t>cfm/ft² 
(T24, 2025, Equation 120.1-F and Table 120.1-A)
(ASHRAE 62.1, 2022, Table 6-1) for guest rooms</t>
  </si>
  <si>
    <t>Required Exhaust Rate
 (T24,  2025, Table 120.1-B – Minimum Exhaust Rates)</t>
  </si>
  <si>
    <t>Total cfm 
Driven by People</t>
  </si>
  <si>
    <t>Total cfm 
Driven by Area</t>
  </si>
  <si>
    <t>Total cfm 
Driven by Exhaust</t>
  </si>
  <si>
    <t>Total cfm</t>
  </si>
  <si>
    <t xml:space="preserve">20/50 cfm/unit per shower head </t>
  </si>
  <si>
    <t>1 cfm/ft2 for Soiled laundry storage rooms</t>
  </si>
  <si>
    <t>Only 20% of the laundry space is assumed as "Solied laundry storage room"</t>
  </si>
  <si>
    <t>50/70 cfm/unit</t>
  </si>
  <si>
    <t>The CEC model has separate exhaust fans for each guest room with no minimum outdoor air requirement. However, PNNL and DEER specify an outdoor air requirement for each zone, which is the approach we follow here.</t>
  </si>
  <si>
    <t>Thermostat Setpoints - HotelSmall</t>
  </si>
  <si>
    <t>Setpoint</t>
  </si>
  <si>
    <t>Assembly and Office Heating Setpoint (F)</t>
  </si>
  <si>
    <t>T24 2022 - Appendix 5.4B, [Assembly]</t>
  </si>
  <si>
    <t>Assembly and Office Heating Setback (F)</t>
  </si>
  <si>
    <t>Assembly and Office Cooling Setpoint (F)</t>
  </si>
  <si>
    <t>Assembly and Office Cooling Setback (F)</t>
  </si>
  <si>
    <t>ResidentialCommon Heating Setpoint (F)</t>
  </si>
  <si>
    <t>T24 2022 - Appendix 5.4B, [ResidentialCommon]</t>
  </si>
  <si>
    <t>ResidentialCommon Heating Setback (F)</t>
  </si>
  <si>
    <t>ResidentialCommon Cooling Setpoint (F)</t>
  </si>
  <si>
    <r>
      <t>ResidentialCommon</t>
    </r>
    <r>
      <rPr>
        <b/>
        <sz val="10"/>
        <color theme="1"/>
        <rFont val="Arial"/>
        <family val="2"/>
      </rPr>
      <t xml:space="preserve"> </t>
    </r>
    <r>
      <rPr>
        <sz val="10"/>
        <color theme="1"/>
        <rFont val="Arial"/>
        <family val="2"/>
      </rPr>
      <t>Cooling Setback (F)</t>
    </r>
  </si>
  <si>
    <t>ResidentialLiving Heating Setpoint (F)</t>
  </si>
  <si>
    <t>ResidentialLiving Heating Setback (F)</t>
  </si>
  <si>
    <t>ResidentialLiving Cooling Setpoint (F)</t>
  </si>
  <si>
    <t>Honeywell-INNCOM e7 Thermostat User Guide</t>
  </si>
  <si>
    <t>ResidentialLiving Cooling Setback (F)</t>
  </si>
  <si>
    <t>&amp; Engineering Judgment</t>
  </si>
  <si>
    <t>Ancillary Heating Setpoint (F)</t>
  </si>
  <si>
    <t>Based on engineering judgment  (semi‑conditioned space)</t>
  </si>
  <si>
    <t>Ancillary  Heating Setback (F)</t>
  </si>
  <si>
    <t>Ancillary Cooling Setpoint (F)</t>
  </si>
  <si>
    <t>Ancillary Cooling Setback (F)</t>
  </si>
  <si>
    <t>PNNL had 70F for both cooling and heating setpoint without setback.</t>
  </si>
  <si>
    <t xml:space="preserve">72F is the default setting for one of the most prominent thermostats (Inncom) in California hotels. </t>
  </si>
  <si>
    <t>It has a limit by which a hotel guest can override the default setting.  For instance:  if the default cooling setpoint is 72, the coolest that a user can set the cooling setpoint is 72-5 = 67F.</t>
  </si>
  <si>
    <t>Ref: https://prod-edam.honeywell.com/content/dam/honeywell-edam/hbt/en-us/documents/manuals-and-guides/installation-guides/inncom/hbt-bms-INNCOM-e7-USER-GUIDE.pdf</t>
  </si>
  <si>
    <t>Weekday</t>
  </si>
  <si>
    <t>Saturday</t>
  </si>
  <si>
    <t>Sunday</t>
  </si>
  <si>
    <t>Water Heater - HotelSmall</t>
  </si>
  <si>
    <t>WH Type</t>
  </si>
  <si>
    <t>Efficiency</t>
  </si>
  <si>
    <t>Number of WH</t>
  </si>
  <si>
    <t>Tank Volume (gal)</t>
  </si>
  <si>
    <t>Tank Loss</t>
  </si>
  <si>
    <t xml:space="preserve">Existing  </t>
  </si>
  <si>
    <t>See table below for CZ-specific values: Climate Zone Water Heater Sizing and Loss Coefficients, Storage Volume column (col G)</t>
  </si>
  <si>
    <t xml:space="preserve">See table below: Climate Zone Water Heater Sizing and Loss Coefficients, Standby Loss column (col H) </t>
  </si>
  <si>
    <t>See table below for sources: Climate Zone Water Heater Sizing and Loss Coefficients</t>
  </si>
  <si>
    <t>See table below: Climate Zone Water Heater Sizing and Loss Coefficients, Standby Loss column (col H)</t>
  </si>
  <si>
    <t>Peak Hot Water Consumption</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</si>
  <si>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</si>
  <si>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</si>
  <si>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</si>
  <si>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</si>
  <si>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</si>
  <si>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</si>
  <si>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</si>
  <si>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</si>
  <si>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</si>
  <si>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</si>
  <si>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</si>
  <si>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</si>
  <si>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</si>
  <si>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</si>
  <si>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</si>
  <si>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</si>
  <si>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</si>
  <si>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</si>
  <si>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</si>
  <si>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</si>
  <si>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</si>
  <si>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</si>
  <si>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</si>
  <si>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</si>
  <si>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</si>
  <si>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</si>
  <si>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</si>
  <si>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</si>
  <si>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</si>
  <si>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</si>
  <si>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</si>
  <si>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</si>
  <si>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</si>
  <si>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</si>
  <si>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</si>
  <si>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</si>
  <si>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</si>
  <si>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</si>
  <si>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</si>
  <si>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</si>
  <si>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</si>
  <si>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</si>
  <si>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</si>
  <si>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</si>
  <si>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</si>
  <si>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</si>
  <si>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</si>
  <si>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</si>
  <si>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</si>
  <si>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</si>
  <si>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</si>
  <si>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Interior Lighting - HotelSmall</t>
  </si>
  <si>
    <t>Space Type</t>
  </si>
  <si>
    <t xml:space="preserve">New Construction </t>
  </si>
  <si>
    <t>LPD (W/ft²)</t>
  </si>
  <si>
    <t>Additional LPD for Portable Lighting (W/ft²)</t>
  </si>
  <si>
    <t xml:space="preserve">LPD (W/ft²) </t>
  </si>
  <si>
    <t xml:space="preserve">T24, 2025, Table 140.6-C
PNNL ASHRAE 90.1 2022 for Guest Room, same as ASHRAE 90.1 2025 
(Area category method) </t>
  </si>
  <si>
    <t>T24, 2019*, Table 140.6-C
 (Area category method)
Guest rooms: ASHRAE 90.1 2016, Table 9.6.1 (It's been assumed that guest rooms have a longer lighting replacement cycle compared to other space types)</t>
  </si>
  <si>
    <t>Comply with 130.1(c)8: Hotel/motel guest rooms shall be controlled with one of the following controls such that, no longer than 20 minutes after the guest room has been vacated, lighting power is switched off: 
i. Captive card key controls; or 
ii. Occupant sensing controls; or 
iii. Other automatic controls.</t>
  </si>
  <si>
    <t>Exterior Lighting - HotelSmall</t>
  </si>
  <si>
    <t>Motion Controlled Luminaires (W)</t>
  </si>
  <si>
    <t>Non-motion Controlled Luminaires (W)</t>
  </si>
  <si>
    <t>Total (W)</t>
  </si>
  <si>
    <t>T24, 2025</t>
  </si>
  <si>
    <t>Exterior Lighting</t>
  </si>
  <si>
    <t>Items (Assume LZ2)</t>
  </si>
  <si>
    <t>Assumptions
[2019 Outdoor Lighting CASE Report &amp; PNNL 90.1-2010 TSD]</t>
  </si>
  <si>
    <t>Unit</t>
  </si>
  <si>
    <t>Lighting Power Allowance 
[T24, 2025, Table 140.7-A &amp; 140.7-B]</t>
  </si>
  <si>
    <t>Exterior Lighting Power (W)</t>
  </si>
  <si>
    <t>IWA (Initial Wage Allowance)</t>
  </si>
  <si>
    <t>(W)</t>
  </si>
  <si>
    <t>Parking area</t>
  </si>
  <si>
    <r>
      <t xml:space="preserve">400 ft² for every parking space  </t>
    </r>
    <r>
      <rPr>
        <sz val="10"/>
        <color rgb="FF000000"/>
        <rFont val="Arial"/>
        <family val="2"/>
      </rPr>
      <t>[2019 Lighting CASE report, Appendix H]</t>
    </r>
    <r>
      <rPr>
        <sz val="10"/>
        <color rgb="FF000000"/>
        <rFont val="Arial"/>
        <family val="2"/>
      </rPr>
      <t xml:space="preserve"> 
1 parking space per 360 ft² of gross building area </t>
    </r>
    <r>
      <rPr>
        <sz val="10"/>
        <color rgb="FF000000"/>
        <rFont val="Arial"/>
        <family val="2"/>
      </rPr>
      <t>[2019 Lighting CASE report,Table 38]</t>
    </r>
  </si>
  <si>
    <t>(ft²)</t>
  </si>
  <si>
    <t>(W/ft²)</t>
  </si>
  <si>
    <t>Building Entrance</t>
  </si>
  <si>
    <t>2 building entrance (1 per 10,000 ft² footprint)</t>
  </si>
  <si>
    <t>(count)</t>
  </si>
  <si>
    <t>(W/ea)</t>
  </si>
  <si>
    <t>Hardscape Ornamental Light</t>
  </si>
  <si>
    <r>
      <t xml:space="preserve">0.1 ft² per 1 ft² of gross building area </t>
    </r>
    <r>
      <rPr>
        <sz val="10"/>
        <color rgb="FF000000"/>
        <rFont val="Arial"/>
        <family val="2"/>
      </rPr>
      <t>[2019 Lighting CASE report,Table 36]</t>
    </r>
  </si>
  <si>
    <t>Building façade</t>
  </si>
  <si>
    <t>0.1 W per 1 ft² of facade area 
Façade Area = Perimeter × 0.5 × 29 ft (30 ft is the max height that is lit) * 
The 0.5 factor assumes that only half of the perimeter walls are lit.
-Formula is developed based on the 2019 Outdoor Lighting CASE report</t>
  </si>
  <si>
    <t>Non-sales canopy</t>
  </si>
  <si>
    <t>Size of the canopy is 40 ft* 12 ft according to the geometry</t>
  </si>
  <si>
    <t>\</t>
  </si>
  <si>
    <t>Non-motion-controlled Luminaires</t>
  </si>
  <si>
    <t>*Developed based on 2019 Outdoor Lighting CASE Report</t>
  </si>
  <si>
    <t>Perimeter (ft)</t>
  </si>
  <si>
    <t>Total floor area (ft²)</t>
  </si>
  <si>
    <t>Floors</t>
  </si>
  <si>
    <t>Equipment - HotelSmall</t>
  </si>
  <si>
    <t>Plug load Power Density (W/ft²)</t>
  </si>
  <si>
    <t>Gas Power Density (Btu/hr-ft²)</t>
  </si>
  <si>
    <t>Refrigeration Power Density (W/ft²)</t>
  </si>
  <si>
    <t>T24 2022 - Appendix 5.4A</t>
  </si>
  <si>
    <t>Plug load and schedules project with CEC, 2025</t>
  </si>
  <si>
    <t xml:space="preserve"> Appendix 5.4A: Gas equipment=0.75 Btu/hr-ft² (CEC model (small Hotel) has the Gas equipment for 3.6 Btu/hr-ft²)</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</si>
  <si>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</si>
  <si>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</si>
  <si>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</si>
  <si>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</si>
  <si>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</si>
  <si>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</si>
  <si>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</si>
  <si>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</si>
  <si>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</si>
  <si>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</si>
  <si>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</si>
  <si>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</si>
  <si>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</si>
  <si>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</si>
  <si>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</si>
  <si>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</si>
  <si>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Small Hotel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</si>
  <si>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</si>
  <si>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</si>
  <si>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</si>
  <si>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</si>
  <si>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</si>
  <si>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</si>
  <si>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</si>
  <si>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</si>
  <si>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</si>
  <si>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</si>
  <si>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</si>
  <si>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</si>
  <si>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</si>
  <si>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</si>
  <si>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</si>
  <si>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</si>
  <si>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</si>
  <si>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</si>
  <si>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</si>
  <si>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</si>
  <si>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</si>
  <si>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</si>
  <si>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</si>
  <si>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</si>
  <si>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</si>
  <si>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</si>
  <si>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</si>
  <si>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</si>
  <si>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</si>
  <si>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</si>
  <si>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</si>
  <si>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</si>
  <si>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</si>
  <si>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</si>
  <si>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</si>
  <si>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</si>
  <si>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</si>
  <si>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</si>
  <si>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</si>
  <si>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</si>
  <si>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</si>
  <si>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</si>
  <si>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</si>
  <si>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</si>
  <si>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</si>
  <si>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</si>
  <si>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</si>
  <si>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</si>
  <si>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</si>
  <si>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</si>
  <si>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</si>
  <si>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</si>
  <si>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</si>
  <si>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</si>
  <si>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</si>
  <si>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</si>
  <si>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</si>
  <si>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</si>
  <si>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</si>
  <si>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</si>
  <si>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</si>
  <si>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</si>
  <si>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</si>
  <si>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</si>
  <si>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</si>
  <si>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</si>
  <si>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</si>
  <si>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</si>
  <si>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</si>
  <si>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</si>
  <si>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</si>
  <si>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</si>
  <si>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</si>
  <si>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</si>
  <si>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</si>
  <si>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</si>
  <si>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</si>
  <si>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</si>
  <si>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</si>
  <si>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</si>
  <si>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</si>
  <si>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</si>
  <si>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</si>
  <si>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Equipment (Plug load)</t>
  </si>
  <si>
    <t>floor area (ft²)</t>
  </si>
  <si>
    <t>Plug load Intensity (W/ft²)</t>
  </si>
  <si>
    <t>Total equipment load (W)</t>
  </si>
  <si>
    <t>Open_Office_N</t>
  </si>
  <si>
    <t>Closed_Office_W</t>
  </si>
  <si>
    <t>Closed_Office_E</t>
  </si>
  <si>
    <t>Lobby + Lounge</t>
  </si>
  <si>
    <t>Mechanical/Electrical</t>
  </si>
  <si>
    <t>Break/Copy Room</t>
  </si>
  <si>
    <t>Equipment (Plug Load )- Prototypes comparison</t>
  </si>
  <si>
    <t>CEC OffSml</t>
  </si>
  <si>
    <t xml:space="preserve">DEER  OFS </t>
  </si>
  <si>
    <t xml:space="preserve">PNNL </t>
  </si>
  <si>
    <t>ComStock</t>
  </si>
  <si>
    <t>W/m2</t>
  </si>
  <si>
    <t xml:space="preserve"> PNNL considers higher load for electric equipment</t>
  </si>
  <si>
    <t xml:space="preserve">Yearly Load multiplier </t>
  </si>
  <si>
    <t>PNNL 2022</t>
  </si>
  <si>
    <t>DEER 2024</t>
  </si>
  <si>
    <t>CEC-Weekday</t>
  </si>
  <si>
    <t>CEC-Saturday</t>
  </si>
  <si>
    <t>CEC-Sunday</t>
  </si>
  <si>
    <t>PNNL-Weekday</t>
  </si>
  <si>
    <t>PNNL-Saturday</t>
  </si>
  <si>
    <t>PNNL-Sunday</t>
  </si>
  <si>
    <t>DEER-Weekday</t>
  </si>
  <si>
    <t>DEER-Saturday</t>
  </si>
  <si>
    <t>DEER-OtherDays</t>
  </si>
  <si>
    <t>DEER 2024 (Old model rebuilt in E+)</t>
  </si>
  <si>
    <t>Schedule:Compact,</t>
  </si>
  <si>
    <t>EL1</t>
  </si>
  <si>
    <t>Interval,</t>
  </si>
  <si>
    <t>12/31,</t>
  </si>
  <si>
    <t>SummerDesignDay,</t>
  </si>
  <si>
    <t>24:00,1.0,</t>
  </si>
  <si>
    <t>WinterDesignDay,</t>
  </si>
  <si>
    <t>24:00,0.0,</t>
  </si>
  <si>
    <t>Weekdays,</t>
  </si>
  <si>
    <t>05:00,0.05,</t>
  </si>
  <si>
    <t>07:00,0.10,</t>
  </si>
  <si>
    <t>08:00,0.30,</t>
  </si>
  <si>
    <t>17:00,0.90,</t>
  </si>
  <si>
    <t>18:00,0.50,</t>
  </si>
  <si>
    <t>20:00,0.30,</t>
  </si>
  <si>
    <t>22:00,0.20,</t>
  </si>
  <si>
    <t>23:00,0.10,</t>
  </si>
  <si>
    <t>24:00,0.05,</t>
  </si>
  <si>
    <t>Saturday,</t>
  </si>
  <si>
    <t>06:00,0.05,</t>
  </si>
  <si>
    <t>08:00,0.10,</t>
  </si>
  <si>
    <t>12:00,0.30,</t>
  </si>
  <si>
    <t>17:00,0.15,</t>
  </si>
  <si>
    <t>AllOtherDays,</t>
  </si>
  <si>
    <t>24:00,0.05;</t>
  </si>
  <si>
    <t xml:space="preserve">    BLDG_EQUIP_SCH,          !- Name</t>
  </si>
  <si>
    <t xml:space="preserve">    Fraction,                !- Schedule Type Limits Name</t>
  </si>
  <si>
    <t xml:space="preserve">    Through: 12/31,          !- Field 1</t>
  </si>
  <si>
    <t xml:space="preserve">    For: WeekDays,           !- Field 2</t>
  </si>
  <si>
    <t xml:space="preserve">    Until: 6:00,0.4094775565,!- Field 3</t>
  </si>
  <si>
    <t xml:space="preserve">    Until: 8:00,0.4797526335,!- Field 5</t>
  </si>
  <si>
    <t xml:space="preserve">    Until: 12:00,0.959505267,!- Field 7</t>
  </si>
  <si>
    <t xml:space="preserve">    Until: 13:00,0.90193495098, !- Field 9</t>
  </si>
  <si>
    <t xml:space="preserve">    Until: 17:00,0.959505267,!- Field 11</t>
  </si>
  <si>
    <t xml:space="preserve">    Until: 18:00,0.4797526335, !- Field 13</t>
  </si>
  <si>
    <t xml:space="preserve">    Until: 23:00,0.1919010534, !- Field 15</t>
  </si>
  <si>
    <t xml:space="preserve">    Until: 24:00,0.1637910226, !- Field 17</t>
  </si>
  <si>
    <t xml:space="preserve">    For: Weekends,           !- Field 19</t>
  </si>
  <si>
    <t xml:space="preserve">    Until: 24:00,0.1637910226, !- Field 20</t>
  </si>
  <si>
    <t xml:space="preserve">    For: Holiday,            !- Field 22</t>
  </si>
  <si>
    <t xml:space="preserve">    Until: 24:00,0.1637910226, !- Field 23</t>
  </si>
  <si>
    <t xml:space="preserve">    For: WinterDesignDay,    !- Field 25</t>
  </si>
  <si>
    <t xml:space="preserve">    Until: 24:00,0.0,        !- Field 26</t>
  </si>
  <si>
    <t xml:space="preserve">    For: SummerDesignDay,    !- Field 28</t>
  </si>
  <si>
    <t xml:space="preserve">    Until: 24:00,1.0,        !- Field 29</t>
  </si>
  <si>
    <t xml:space="preserve">    For: CustomDay1,         !- Field 31</t>
  </si>
  <si>
    <t xml:space="preserve">    Until: 24:00,0.0,        !- Field 32</t>
  </si>
  <si>
    <t xml:space="preserve">    For: CustomDay2,         !- Field 34</t>
  </si>
  <si>
    <t xml:space="preserve">    Until: 24:00,0.0;        !- Field 35</t>
  </si>
  <si>
    <t>CBECC 2023</t>
  </si>
  <si>
    <t>Schedule:Day:Interval,</t>
  </si>
  <si>
    <t>OfficeReceptacleWD,</t>
  </si>
  <si>
    <t>OfficeReceptacleSat,</t>
  </si>
  <si>
    <t>OfficeReceptacleSun,</t>
  </si>
  <si>
    <t>Fraction,</t>
  </si>
  <si>
    <t>No,</t>
  </si>
  <si>
    <t>01:00,</t>
  </si>
  <si>
    <t>0.05,</t>
  </si>
  <si>
    <t>02:00,</t>
  </si>
  <si>
    <t>03:00,</t>
  </si>
  <si>
    <t>04:00,</t>
  </si>
  <si>
    <t>05:00,</t>
  </si>
  <si>
    <t>06:00,</t>
  </si>
  <si>
    <t>0.1,</t>
  </si>
  <si>
    <t>07:00,</t>
  </si>
  <si>
    <t>08:00,</t>
  </si>
  <si>
    <t>0.3,</t>
  </si>
  <si>
    <t>09:00,</t>
  </si>
  <si>
    <t>0.9,</t>
  </si>
  <si>
    <t>10:00,</t>
  </si>
  <si>
    <t>11:00,</t>
  </si>
  <si>
    <t>12:00,</t>
  </si>
  <si>
    <t>13:00,</t>
  </si>
  <si>
    <t>0.15,</t>
  </si>
  <si>
    <t>14:00,</t>
  </si>
  <si>
    <t>15:00,</t>
  </si>
  <si>
    <t>16:00,</t>
  </si>
  <si>
    <t>17:00,</t>
  </si>
  <si>
    <t>18:00,</t>
  </si>
  <si>
    <t>0.5,</t>
  </si>
  <si>
    <t>19:00,</t>
  </si>
  <si>
    <t>20:00,</t>
  </si>
  <si>
    <t>21:00,</t>
  </si>
  <si>
    <t>0.2,</t>
  </si>
  <si>
    <t>22:00,</t>
  </si>
  <si>
    <t>23:00,</t>
  </si>
  <si>
    <t>24:00,</t>
  </si>
  <si>
    <t>0.05;</t>
  </si>
  <si>
    <t>Schedules - HotelSmall</t>
  </si>
  <si>
    <t>Zone</t>
  </si>
  <si>
    <t>Schedule</t>
  </si>
  <si>
    <t>Day</t>
  </si>
  <si>
    <t>Hour</t>
  </si>
  <si>
    <t>Gym,Storage,Laundry,Conferences</t>
  </si>
  <si>
    <t>Occupancy</t>
  </si>
  <si>
    <t>Lights</t>
  </si>
  <si>
    <t>ElecEquipment</t>
  </si>
  <si>
    <t>HVACAvail</t>
  </si>
  <si>
    <t>ServiceHotWater</t>
  </si>
  <si>
    <t>GasEquipment</t>
  </si>
  <si>
    <t>HtgSetpt</t>
  </si>
  <si>
    <t>Honeywell-INNCOM e7 Thermostat User Guide 
&amp; Engineering Judgement</t>
  </si>
  <si>
    <t>ClgSetpt</t>
  </si>
  <si>
    <t>Corridors, Stairwells, Lounges, Restrooms</t>
  </si>
  <si>
    <t>Corridors, Stairwells, Lounges,Restrooms</t>
  </si>
  <si>
    <t>Guest rooms</t>
  </si>
  <si>
    <t>T24 2022 - Appendix 5.4B, [ResidentialLiving]</t>
  </si>
  <si>
    <t xml:space="preserve">ElecEquipment </t>
  </si>
  <si>
    <t>Other</t>
  </si>
  <si>
    <t>T24 2022 - Appendix 5.4B, [Office]</t>
  </si>
  <si>
    <t>T24 2022 - Appendix 5.4B, [ResintialCommon] same as [ResidentialLiving]</t>
  </si>
  <si>
    <t>ExtLightingNonMotionCtrl</t>
  </si>
  <si>
    <t>PNNL Small Hotel Prototype (2022)</t>
  </si>
  <si>
    <t>ExtLightingMotionCtrl</t>
  </si>
  <si>
    <t>PNNL Small Hotel Prototype (2022) Modified to 0 for 11 pm to 5 am during weekday and 12 am to 5 am during weekend</t>
  </si>
  <si>
    <t xml:space="preserve">All zones except GuestRoom, Conference, and Office </t>
  </si>
  <si>
    <t>CommonAreaPeopleActivityLevel</t>
  </si>
  <si>
    <t>CEC Small Hotel Prototype</t>
  </si>
  <si>
    <t>GuestRoom</t>
  </si>
  <si>
    <t>GuestRoomPeopleActivityLevel</t>
  </si>
  <si>
    <t>Conference  and Office</t>
  </si>
  <si>
    <t>FunctionalAreaPeopleActivityLevel</t>
  </si>
  <si>
    <t xml:space="preserve">Mechanical Room, </t>
  </si>
  <si>
    <t>Stairwells</t>
  </si>
  <si>
    <t>CalBEM Energy Consumption - HotelSmall</t>
  </si>
  <si>
    <t>Energy Consumption - Lodging</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</si>
  <si>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</si>
  <si>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</si>
  <si>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</si>
  <si>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</si>
  <si>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</si>
  <si>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</si>
  <si>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</si>
  <si>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</si>
  <si>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</si>
  <si>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</si>
  <si>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</si>
  <si>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</si>
  <si>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(kWh/ft²)</t>
  </si>
  <si>
    <t>CEUS 2023 Gas EUI (kWh/ft²)</t>
  </si>
  <si>
    <t>CEUS 2023 Total EUI (kBtu/ft²)</t>
  </si>
  <si>
    <t xml:space="preserve">CEUS 2022 Acceptable EUI Range </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</si>
  <si>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</si>
  <si>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</si>
  <si>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Lodging buildings</t>
  </si>
  <si>
    <t>Office, Small</t>
  </si>
  <si>
    <t>Statewide</t>
  </si>
  <si>
    <t>% of floor area per CZ and vintage bin - Hotel</t>
  </si>
  <si>
    <t>Vintage Bin</t>
  </si>
  <si>
    <t>Pre-1978</t>
  </si>
  <si>
    <t>Not available</t>
  </si>
  <si>
    <t>Hotel</t>
  </si>
  <si>
    <t>Ref: CEUS 2022 dataset: Lodging group</t>
  </si>
  <si>
    <t>Floor area</t>
  </si>
  <si>
    <t>STC 7:305,405  
Area/Project&gt;&lt;25
Constructed after 1967 before 1978</t>
  </si>
  <si>
    <t xml:space="preserve">STC 7:305,405  
Area/Project&gt;&lt;25
Constructed after 1967 </t>
  </si>
  <si>
    <t>Total Floor are for small office(&lt;30 k ft²)</t>
  </si>
  <si>
    <t>Total Floor area for small office (&lt;30 k ft²) Pre-1978</t>
  </si>
  <si>
    <t>Small office (1967-1977)/All Pre 1878</t>
  </si>
  <si>
    <t>TBD</t>
  </si>
  <si>
    <t>CEUS 2022 (Base on Survey 2018)</t>
  </si>
  <si>
    <t>The data presented in this worksheet represents the projected number of EV charger ports, or the number of cars that can be charged at the same time, for the year 2022 (last year of CEUC)</t>
  </si>
  <si>
    <t>Has EV Chargers</t>
  </si>
  <si>
    <t>Level 1,  120 volt Charger     (No. ports/SqFT)</t>
  </si>
  <si>
    <t>Level 2,  240 volt Charger    (No. ports/SqFT)</t>
  </si>
  <si>
    <t>Level 3,  DC fast     (No. ports/SqFT)</t>
  </si>
  <si>
    <t>Charger Type Unknown  (No. ports/SqFT)</t>
  </si>
  <si>
    <t>All Chargers Totals   (No. ports/SqFT)</t>
  </si>
  <si>
    <t>Calculation Method</t>
  </si>
  <si>
    <t>Statewide/  Utility/ FCZ</t>
  </si>
  <si>
    <t xml:space="preserve">No </t>
  </si>
  <si>
    <t>Public Only</t>
  </si>
  <si>
    <t>Public &amp; Employee</t>
  </si>
  <si>
    <t>Public &amp; Fleet</t>
  </si>
  <si>
    <t>Employee Only</t>
  </si>
  <si>
    <t>Employee &amp; Fleet</t>
  </si>
  <si>
    <t>Fleet Only</t>
  </si>
  <si>
    <t>All 3 Types</t>
  </si>
  <si>
    <t>Unknown</t>
  </si>
  <si>
    <t>Level 1 Total</t>
  </si>
  <si>
    <t>Level 2 Total</t>
  </si>
  <si>
    <t>Level 3 Total</t>
  </si>
  <si>
    <t>Unkonwn Total</t>
  </si>
  <si>
    <t>Floorspace-Based</t>
  </si>
  <si>
    <t>FCZ01 Tot</t>
  </si>
  <si>
    <t>FCZ02 Tot</t>
  </si>
  <si>
    <t>FCZ03 Tot</t>
  </si>
  <si>
    <t>FCZ04 Tot</t>
  </si>
  <si>
    <t>FCZ05 Tot</t>
  </si>
  <si>
    <t>FCZ06 Tot</t>
  </si>
  <si>
    <t>FCZ07 Tot</t>
  </si>
  <si>
    <t>FCZ08 Tot</t>
  </si>
  <si>
    <t>FCZ09 Tot</t>
  </si>
  <si>
    <t>FCZ10 Tot</t>
  </si>
  <si>
    <t>FCZ11 Tot</t>
  </si>
  <si>
    <t>FCZ12c Tot</t>
  </si>
  <si>
    <t>FCZ12i Tot</t>
  </si>
  <si>
    <t>FCZ13 Tot</t>
  </si>
  <si>
    <t>FCZ16 Tot</t>
  </si>
  <si>
    <t>FCZ17 Tot</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</si>
  <si>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</si>
  <si>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</si>
  <si>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</si>
  <si>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</si>
  <si>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</si>
  <si>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</si>
  <si>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</si>
  <si>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</si>
  <si>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</si>
  <si>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</si>
  <si>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</si>
  <si>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</si>
  <si>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</si>
  <si>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</si>
  <si>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</si>
  <si>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</si>
  <si>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</si>
  <si>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</si>
  <si>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</si>
  <si>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</si>
  <si>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</si>
  <si>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</si>
  <si>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</si>
  <si>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</si>
  <si>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</si>
  <si>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</si>
  <si>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</si>
  <si>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</si>
  <si>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</si>
  <si>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</si>
  <si>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</si>
  <si>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</si>
  <si>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</si>
  <si>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</si>
  <si>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</si>
  <si>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</si>
  <si>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Library (Reading Area)</t>
  </si>
  <si>
    <t>Library (Stacks Area)</t>
  </si>
  <si>
    <t>Lobby, Main Entry</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</si>
  <si>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</si>
  <si>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</si>
  <si>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</si>
  <si>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</si>
  <si>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</si>
  <si>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</si>
  <si>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</si>
  <si>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</si>
  <si>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</si>
  <si>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</si>
  <si>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</si>
  <si>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</si>
  <si>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</si>
  <si>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</si>
  <si>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</si>
  <si>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</si>
  <si>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</si>
  <si>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</si>
  <si>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</si>
  <si>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</si>
  <si>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</si>
  <si>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</si>
  <si>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</si>
  <si>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</si>
  <si>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</si>
  <si>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</si>
  <si>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</si>
  <si>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All other</t>
  </si>
  <si>
    <t>Attic</t>
  </si>
  <si>
    <t>Reception Area</t>
  </si>
  <si>
    <t>Plenum</t>
  </si>
  <si>
    <t>IT Room (EPD 12)</t>
  </si>
  <si>
    <t>Computer Room (EPD 20)</t>
  </si>
  <si>
    <t>Server Room (EPD 45)</t>
  </si>
  <si>
    <t xml:space="preserve">Several guestrooms are bundled together. For those, it's assumed for each person, there is one shower, that's why the exhaust rate is multiplied by people.
Ventilation for guest rooms is calculated using the ASHRAE 62.1, as T24's occupancy-only baseline does not capture realistic ventilation design. The total outdoor airflow is calculated as:
Ventilation = (Occupancy per 1,000 ft² × cfm/person) + (Floor area in ft² × cfm/ft²)
To maintain simulation consistency across tabs and for ease of automation, we retained the T24 occupant rate of 3 occupants per 1,000 sq ft rather than adopting ASHRAE's higher rate of 10 occupants per 1,000 sq ft. To compensate for this, we scaled ASHRAE’s  per-person airflow requirement (5 cfm/person) by a factor of 10/3. 
Although the occupant-based portion of the ventilation load remains almost equivalent across both codes, incorporating ASHRAE’s area-based ventilation component represents the key difference in overall outdoor air rates.
Ventilation air for this occupancy category shall be permitted to be reduced to zero when the space is in occupied-standby mode
</t>
  </si>
  <si>
    <t>NORESCO, Updated 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</si>
</sst>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
    <numFmt numFmtId="166" formatCode="#,##0.0"/>
    <numFmt numFmtId="167" formatCode="0.000"/>
    <numFmt numFmtId="168" formatCode="_(* #,##0.0_);_(* \(#,##0.0\);_(* &quot;-&quot;??_);_(@_)"/>
    <numFmt numFmtId="169" formatCode="_(* #,##0_);_(* \(#,##0\);_(* &quot;-&quot;??_);_(@_)"/>
    <numFmt numFmtId="170" formatCode="_(* #,##0.000_);_(* \(#,##0.000\);_(* &quot;-&quot;??_);_(@_)"/>
    <numFmt numFmtId="171" formatCode="#,##0;\-0;[Color15]0"/>
    <numFmt numFmtId="172" formatCode="0.0000"/>
  </numFmts>
  <fonts count="58"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b/>
      <sz val="10"/>
      <color theme="0"/>
      <name val="Arial"/>
      <family val="2"/>
    </font>
    <font>
      <sz val="11"/>
      <color rgb="FF0070C0"/>
      <name val="Arial"/>
      <family val="2"/>
    </font>
    <font>
      <b/>
      <sz val="10"/>
      <name val="Arial"/>
      <family val="2"/>
    </font>
    <font>
      <b/>
      <sz val="10"/>
      <color indexed="8"/>
      <name val="Arial"/>
      <family val="2"/>
    </font>
    <font>
      <sz val="10"/>
      <color theme="1" tint="0.499984740745262"/>
      <name val="Arial"/>
      <family val="2"/>
    </font>
    <font>
      <sz val="10"/>
      <color theme="0" tint="-0.249977111117893"/>
      <name val="Arial"/>
      <family val="2"/>
    </font>
    <font>
      <sz val="10"/>
      <color rgb="FF000000"/>
      <name val="Arial"/>
      <family val="2"/>
    </font>
    <font>
      <sz val="9"/>
      <color theme="1"/>
      <name val="Arial"/>
      <family val="2"/>
    </font>
    <font>
      <sz val="10"/>
      <color rgb="FF000000"/>
      <name val="Arial"/>
      <family val="2"/>
    </font>
    <font>
      <sz val="10"/>
      <color theme="0"/>
      <name val="Arial"/>
      <family val="2"/>
    </font>
    <font>
      <b/>
      <sz val="10"/>
      <color rgb="FF000000"/>
      <name val="Arial"/>
      <family val="2"/>
    </font>
    <font>
      <b/>
      <sz val="9"/>
      <color theme="0"/>
      <name val="Arial"/>
      <family val="2"/>
    </font>
    <font>
      <sz val="11"/>
      <color theme="1"/>
      <name val="Arial"/>
      <family val="2"/>
    </font>
    <font>
      <sz val="10"/>
      <color theme="1"/>
      <name val="Arial"/>
      <family val="2"/>
    </font>
    <font>
      <b/>
      <sz val="10"/>
      <color rgb="FF0070C0"/>
      <name val="Arial"/>
      <family val="2"/>
    </font>
    <font>
      <sz val="11"/>
      <color rgb="FF000000"/>
      <name val="Arial"/>
      <family val="2"/>
    </font>
    <font>
      <b/>
      <sz val="12"/>
      <color rgb="FFFFFFFF"/>
      <name val="Arial"/>
      <family val="2"/>
    </font>
    <font>
      <b/>
      <sz val="11"/>
      <color theme="1"/>
      <name val="Arial"/>
      <family val="2"/>
    </font>
    <font>
      <sz val="11"/>
      <name val="Calibri"/>
      <family val="2"/>
      <scheme val="minor"/>
    </font>
    <font>
      <sz val="9"/>
      <color rgb="FF000000"/>
      <name val="Arial"/>
      <family val="2"/>
    </font>
    <font>
      <sz val="10"/>
      <color rgb="FF0070C0"/>
      <name val="Arial"/>
      <family val="2"/>
    </font>
    <font>
      <sz val="9"/>
      <color rgb="FF0070C0"/>
      <name val="Arial"/>
      <family val="2"/>
    </font>
    <font>
      <sz val="10"/>
      <color rgb="FF000000"/>
      <name val="Arial"/>
      <family val="2"/>
    </font>
    <font>
      <b/>
      <sz val="11"/>
      <name val="Calibri"/>
      <family val="2"/>
    </font>
    <font>
      <sz val="11"/>
      <color rgb="FF000000"/>
      <name val="Calibri"/>
      <family val="2"/>
    </font>
    <font>
      <b/>
      <sz val="12"/>
      <color rgb="FFFFFFFF"/>
      <name val="Calibri"/>
      <family val="2"/>
    </font>
    <font>
      <b/>
      <sz val="9"/>
      <color theme="1"/>
      <name val="Arial"/>
      <family val="2"/>
    </font>
    <font>
      <b/>
      <sz val="14"/>
      <color rgb="FFFFFFFF"/>
      <name val="Calibri"/>
      <family val="2"/>
    </font>
    <font>
      <sz val="11"/>
      <color theme="1"/>
      <name val="Calibri"/>
      <family val="2"/>
    </font>
    <font>
      <u/>
      <sz val="10"/>
      <color theme="10"/>
      <name val="Calibri"/>
      <family val="2"/>
      <scheme val="minor"/>
    </font>
    <font>
      <b/>
      <sz val="10"/>
      <color rgb="FF000000"/>
      <name val="Arial"/>
      <family val="2"/>
    </font>
    <font>
      <b/>
      <sz val="11"/>
      <color rgb="FF000000"/>
      <name val="Calibri"/>
      <family val="2"/>
    </font>
    <font>
      <sz val="11"/>
      <color rgb="FF000000"/>
      <name val="Calibri"/>
      <family val="2"/>
      <scheme val="minor"/>
    </font>
    <font>
      <sz val="10"/>
      <color rgb="FFFFFFFF"/>
      <name val="Arial"/>
      <family val="2"/>
    </font>
    <font>
      <u/>
      <sz val="11"/>
      <color rgb="FF000000"/>
      <name val="Calibri"/>
      <family val="2"/>
      <scheme val="minor"/>
    </font>
    <font>
      <vertAlign val="superscript"/>
      <sz val="10"/>
      <color theme="1"/>
      <name val="Arial"/>
      <family val="2"/>
    </font>
    <font>
      <b/>
      <sz val="14"/>
      <color theme="1"/>
      <name val="Calibri"/>
      <family val="2"/>
      <scheme val="minor"/>
    </font>
    <font>
      <b/>
      <sz val="8"/>
      <color theme="1"/>
      <name val="Segoe UI"/>
      <family val="2"/>
    </font>
    <font>
      <b/>
      <sz val="11"/>
      <color rgb="FF000000"/>
      <name val="Arial"/>
      <family val="2"/>
    </font>
    <font>
      <sz val="9"/>
      <color rgb="FF000000"/>
      <name val="Arial"/>
      <family val="2"/>
    </font>
    <font>
      <b/>
      <sz val="10"/>
      <color rgb="FFFFFFFF"/>
      <name val="Arial"/>
      <family val="2"/>
    </font>
    <font>
      <b/>
      <sz val="11"/>
      <color rgb="FFFFFFFF"/>
      <name val="Calibri"/>
      <family val="2"/>
    </font>
  </fonts>
  <fills count="31">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1" tint="0.249977111117893"/>
        <bgColor indexed="64"/>
      </patternFill>
    </fill>
    <fill>
      <patternFill patternType="solid">
        <fgColor theme="4" tint="-0.499984740745262"/>
        <bgColor indexed="64"/>
      </patternFill>
    </fill>
    <fill>
      <patternFill patternType="solid">
        <fgColor theme="0" tint="-0.34998626667073579"/>
        <bgColor indexed="64"/>
      </patternFill>
    </fill>
    <fill>
      <patternFill patternType="solid">
        <fgColor rgb="FF203764"/>
        <bgColor rgb="FF000000"/>
      </patternFill>
    </fill>
    <fill>
      <patternFill patternType="solid">
        <fgColor rgb="FFD9E1F2"/>
        <bgColor rgb="FF000000"/>
      </patternFill>
    </fill>
    <fill>
      <patternFill patternType="solid">
        <fgColor rgb="FF92D050"/>
        <bgColor rgb="FF000000"/>
      </patternFill>
    </fill>
    <fill>
      <patternFill patternType="solid">
        <fgColor rgb="FFB4A7D6"/>
        <bgColor rgb="FF000000"/>
      </patternFill>
    </fill>
    <fill>
      <patternFill patternType="solid">
        <fgColor rgb="FFCFE2F3"/>
        <bgColor rgb="FF000000"/>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FFBEF"/>
        <bgColor rgb="FF000000"/>
      </patternFill>
    </fill>
    <fill>
      <patternFill patternType="solid">
        <fgColor theme="0"/>
        <bgColor rgb="FF000000"/>
      </patternFill>
    </fill>
    <fill>
      <patternFill patternType="solid">
        <fgColor rgb="FFC2BCBC"/>
        <bgColor indexed="64"/>
      </patternFill>
    </fill>
    <fill>
      <patternFill patternType="solid">
        <fgColor rgb="FFA6A6A6"/>
        <bgColor indexed="64"/>
      </patternFill>
    </fill>
    <fill>
      <patternFill patternType="solid">
        <fgColor rgb="FF878787"/>
        <bgColor indexed="64"/>
      </patternFill>
    </fill>
    <fill>
      <patternFill patternType="solid">
        <fgColor rgb="FFF2F2F2"/>
        <bgColor indexed="64"/>
      </patternFill>
    </fill>
    <fill>
      <patternFill patternType="solid">
        <fgColor rgb="FFFFFFFF"/>
        <bgColor rgb="FF000000"/>
      </patternFill>
    </fill>
  </fills>
  <borders count="249">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bottom/>
      <diagonal/>
    </border>
    <border>
      <left style="thin">
        <color theme="0" tint="-0.499984740745262"/>
      </left>
      <right/>
      <top style="thin">
        <color theme="0" tint="-0.499984740745262"/>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thin">
        <color auto="1"/>
      </left>
      <right style="medium">
        <color indexed="64"/>
      </right>
      <top/>
      <bottom/>
      <diagonal/>
    </border>
    <border>
      <left style="thin">
        <color theme="0" tint="-0.499984740745262"/>
      </left>
      <right style="thin">
        <color theme="0" tint="-0.499984740745262"/>
      </right>
      <top style="thin">
        <color indexed="64"/>
      </top>
      <bottom/>
      <diagonal/>
    </border>
    <border>
      <left style="medium">
        <color indexed="64"/>
      </left>
      <right style="thin">
        <color indexed="64"/>
      </right>
      <top style="thin">
        <color indexed="64"/>
      </top>
      <bottom/>
      <diagonal/>
    </border>
    <border>
      <left style="thin">
        <color theme="0" tint="-0.499984740745262"/>
      </left>
      <right style="thin">
        <color rgb="FF808080"/>
      </right>
      <top style="thin">
        <color theme="0" tint="-0.499984740745262"/>
      </top>
      <bottom/>
      <diagonal/>
    </border>
    <border>
      <left style="thin">
        <color rgb="FF808080"/>
      </left>
      <right style="thin">
        <color rgb="FF808080"/>
      </right>
      <top style="thin">
        <color rgb="FF808080"/>
      </top>
      <bottom/>
      <diagonal/>
    </border>
    <border>
      <left style="thin">
        <color rgb="FF808080"/>
      </left>
      <right style="thin">
        <color rgb="FF808080"/>
      </right>
      <top style="thin">
        <color theme="0" tint="-0.499984740745262"/>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style="thin">
        <color rgb="FF808080"/>
      </left>
      <right style="thin">
        <color rgb="FF808080"/>
      </right>
      <top style="thin">
        <color rgb="FF808080"/>
      </top>
      <bottom style="thin">
        <color rgb="FF80808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medium">
        <color indexed="64"/>
      </right>
      <top style="medium">
        <color indexed="64"/>
      </top>
      <bottom/>
      <diagonal/>
    </border>
    <border>
      <left/>
      <right style="thin">
        <color rgb="FF808080"/>
      </right>
      <top style="thin">
        <color indexed="64"/>
      </top>
      <bottom/>
      <diagonal/>
    </border>
    <border>
      <left/>
      <right style="thin">
        <color rgb="FF808080"/>
      </right>
      <top/>
      <bottom/>
      <diagonal/>
    </border>
    <border>
      <left style="thin">
        <color rgb="FF808080"/>
      </left>
      <right style="thin">
        <color rgb="FF808080"/>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theme="0" tint="-0.499984740745262"/>
      </left>
      <right/>
      <top style="thin">
        <color theme="0" tint="-0.499984740745262"/>
      </top>
      <bottom style="thin">
        <color rgb="FF000000"/>
      </bottom>
      <diagonal/>
    </border>
    <border>
      <left/>
      <right/>
      <top style="thin">
        <color theme="0" tint="-0.499984740745262"/>
      </top>
      <bottom style="thin">
        <color rgb="FF000000"/>
      </bottom>
      <diagonal/>
    </border>
    <border>
      <left/>
      <right style="thin">
        <color theme="0" tint="-0.499984740745262"/>
      </right>
      <top style="thin">
        <color theme="0" tint="-0.499984740745262"/>
      </top>
      <bottom style="thin">
        <color rgb="FF000000"/>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34998626667073579"/>
      </right>
      <top/>
      <bottom/>
      <diagonal/>
    </border>
    <border>
      <left/>
      <right/>
      <top/>
      <bottom style="thin">
        <color theme="1" tint="0.34998626667073579"/>
      </bottom>
      <diagonal/>
    </border>
    <border>
      <left/>
      <right style="thin">
        <color theme="1" tint="0.34998626667073579"/>
      </right>
      <top style="thin">
        <color theme="1" tint="0.34998626667073579"/>
      </top>
      <bottom/>
      <diagonal/>
    </border>
    <border>
      <left/>
      <right style="thin">
        <color theme="1" tint="0.34998626667073579"/>
      </right>
      <top/>
      <bottom/>
      <diagonal/>
    </border>
    <border>
      <left style="thin">
        <color theme="1" tint="0.34998626667073579"/>
      </left>
      <right/>
      <top/>
      <bottom/>
      <diagonal/>
    </border>
    <border>
      <left style="thin">
        <color theme="1" tint="0.34998626667073579"/>
      </left>
      <right/>
      <top style="thin">
        <color theme="1" tint="0.34998626667073579"/>
      </top>
      <bottom style="thin">
        <color theme="1" tint="0.34998626667073579"/>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diagonal/>
    </border>
    <border>
      <left style="thin">
        <color theme="1" tint="0.34998626667073579"/>
      </left>
      <right style="medium">
        <color theme="1" tint="0.34998626667073579"/>
      </right>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indexed="64"/>
      </left>
      <right style="medium">
        <color indexed="64"/>
      </right>
      <top/>
      <bottom style="medium">
        <color indexed="64"/>
      </bottom>
      <diagonal/>
    </border>
    <border>
      <left style="thin">
        <color theme="1" tint="0.34998626667073579"/>
      </left>
      <right/>
      <top/>
      <bottom style="thin">
        <color theme="1" tint="0.34998626667073579"/>
      </bottom>
      <diagonal/>
    </border>
    <border>
      <left style="thin">
        <color theme="1" tint="0.34998626667073579"/>
      </left>
      <right style="thin">
        <color theme="1" tint="0.34998626667073579"/>
      </right>
      <top style="medium">
        <color theme="1" tint="0.34998626667073579"/>
      </top>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indexed="64"/>
      </left>
      <right style="medium">
        <color indexed="64"/>
      </right>
      <top style="thin">
        <color indexed="64"/>
      </top>
      <bottom style="medium">
        <color indexed="64"/>
      </bottom>
      <diagonal/>
    </border>
    <border>
      <left style="thin">
        <color theme="1" tint="0.34998626667073579"/>
      </left>
      <right style="thin">
        <color theme="1" tint="0.34998626667073579"/>
      </right>
      <top/>
      <bottom style="medium">
        <color theme="1" tint="0.34998626667073579"/>
      </bottom>
      <diagonal/>
    </border>
    <border>
      <left/>
      <right/>
      <top/>
      <bottom style="medium">
        <color theme="1" tint="0.34998626667073579"/>
      </bottom>
      <diagonal/>
    </border>
    <border>
      <left/>
      <right style="thin">
        <color theme="1" tint="0.34998626667073579"/>
      </right>
      <top/>
      <bottom style="medium">
        <color theme="1" tint="0.34998626667073579"/>
      </bottom>
      <diagonal/>
    </border>
    <border>
      <left/>
      <right/>
      <top style="thin">
        <color indexed="64"/>
      </top>
      <bottom style="medium">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medium">
        <color indexed="64"/>
      </bottom>
      <diagonal/>
    </border>
    <border>
      <left/>
      <right/>
      <top style="thin">
        <color theme="1" tint="0.34998626667073579"/>
      </top>
      <bottom style="thin">
        <color theme="1" tint="0.34998626667073579"/>
      </bottom>
      <diagonal/>
    </border>
    <border>
      <left/>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34998626667073579"/>
      </left>
      <right style="medium">
        <color indexed="64"/>
      </right>
      <top/>
      <bottom style="thin">
        <color theme="1" tint="0.34998626667073579"/>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top style="thin">
        <color theme="1" tint="0.34998626667073579"/>
      </top>
      <bottom style="medium">
        <color indexed="64"/>
      </bottom>
      <diagonal/>
    </border>
    <border>
      <left style="thin">
        <color theme="1" tint="0.34998626667073579"/>
      </left>
      <right style="thin">
        <color theme="1" tint="0.34998626667073579"/>
      </right>
      <top style="medium">
        <color indexed="64"/>
      </top>
      <bottom/>
      <diagonal/>
    </border>
    <border>
      <left style="medium">
        <color indexed="64"/>
      </left>
      <right style="thin">
        <color theme="1" tint="0.34998626667073579"/>
      </right>
      <top style="thin">
        <color theme="1" tint="0.34998626667073579"/>
      </top>
      <bottom style="medium">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style="thin">
        <color theme="1" tint="0.34998626667073579"/>
      </bottom>
      <diagonal/>
    </border>
    <border>
      <left style="medium">
        <color indexed="64"/>
      </left>
      <right style="thin">
        <color theme="1" tint="0.34998626667073579"/>
      </right>
      <top style="thin">
        <color theme="1" tint="0.34998626667073579"/>
      </top>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theme="1" tint="0.34998626667073579"/>
      </bottom>
      <diagonal/>
    </border>
    <border>
      <left style="medium">
        <color indexed="64"/>
      </left>
      <right style="thin">
        <color indexed="64"/>
      </right>
      <top style="medium">
        <color indexed="64"/>
      </top>
      <bottom style="thin">
        <color theme="1" tint="0.34998626667073579"/>
      </bottom>
      <diagonal/>
    </border>
    <border>
      <left style="thin">
        <color indexed="64"/>
      </left>
      <right style="thin">
        <color indexed="64"/>
      </right>
      <top style="medium">
        <color indexed="64"/>
      </top>
      <bottom style="thin">
        <color theme="1" tint="0.34998626667073579"/>
      </bottom>
      <diagonal/>
    </border>
    <border>
      <left style="thin">
        <color indexed="64"/>
      </left>
      <right style="medium">
        <color indexed="64"/>
      </right>
      <top style="medium">
        <color indexed="64"/>
      </top>
      <bottom style="thin">
        <color theme="1" tint="0.34998626667073579"/>
      </bottom>
      <diagonal/>
    </border>
    <border>
      <left style="medium">
        <color indexed="64"/>
      </left>
      <right style="thin">
        <color indexed="64"/>
      </right>
      <top style="thin">
        <color theme="1" tint="0.34998626667073579"/>
      </top>
      <bottom style="thin">
        <color theme="1" tint="0.34998626667073579"/>
      </bottom>
      <diagonal/>
    </border>
    <border>
      <left style="thin">
        <color indexed="64"/>
      </left>
      <right style="thin">
        <color indexed="64"/>
      </right>
      <top style="thin">
        <color theme="1" tint="0.34998626667073579"/>
      </top>
      <bottom style="thin">
        <color theme="1" tint="0.34998626667073579"/>
      </bottom>
      <diagonal/>
    </border>
    <border>
      <left style="thin">
        <color indexed="64"/>
      </left>
      <right style="medium">
        <color indexed="64"/>
      </right>
      <top style="thin">
        <color theme="1" tint="0.34998626667073579"/>
      </top>
      <bottom style="thin">
        <color theme="1" tint="0.34998626667073579"/>
      </bottom>
      <diagonal/>
    </border>
    <border>
      <left style="medium">
        <color indexed="64"/>
      </left>
      <right style="thin">
        <color indexed="64"/>
      </right>
      <top style="thin">
        <color theme="1" tint="0.34998626667073579"/>
      </top>
      <bottom/>
      <diagonal/>
    </border>
    <border>
      <left style="thin">
        <color indexed="64"/>
      </left>
      <right style="thin">
        <color indexed="64"/>
      </right>
      <top style="thin">
        <color theme="1" tint="0.34998626667073579"/>
      </top>
      <bottom style="medium">
        <color theme="1" tint="0.34998626667073579"/>
      </bottom>
      <diagonal/>
    </border>
    <border>
      <left style="thin">
        <color indexed="64"/>
      </left>
      <right style="thin">
        <color indexed="64"/>
      </right>
      <top style="thin">
        <color theme="1" tint="0.34998626667073579"/>
      </top>
      <bottom/>
      <diagonal/>
    </border>
    <border>
      <left style="thin">
        <color indexed="64"/>
      </left>
      <right style="medium">
        <color indexed="64"/>
      </right>
      <top style="thin">
        <color theme="1" tint="0.34998626667073579"/>
      </top>
      <bottom/>
      <diagonal/>
    </border>
    <border>
      <left style="medium">
        <color indexed="64"/>
      </left>
      <right style="thin">
        <color indexed="64"/>
      </right>
      <top style="medium">
        <color theme="1" tint="0.34998626667073579"/>
      </top>
      <bottom style="thin">
        <color theme="1" tint="0.34998626667073579"/>
      </bottom>
      <diagonal/>
    </border>
    <border>
      <left style="thin">
        <color indexed="64"/>
      </left>
      <right style="thin">
        <color indexed="64"/>
      </right>
      <top style="medium">
        <color theme="1" tint="0.34998626667073579"/>
      </top>
      <bottom style="thin">
        <color theme="1" tint="0.34998626667073579"/>
      </bottom>
      <diagonal/>
    </border>
    <border>
      <left style="thin">
        <color indexed="64"/>
      </left>
      <right style="medium">
        <color indexed="64"/>
      </right>
      <top style="medium">
        <color theme="1" tint="0.34998626667073579"/>
      </top>
      <bottom style="thin">
        <color theme="1" tint="0.34998626667073579"/>
      </bottom>
      <diagonal/>
    </border>
    <border>
      <left style="thin">
        <color indexed="64"/>
      </left>
      <right style="medium">
        <color indexed="64"/>
      </right>
      <top style="thin">
        <color theme="1" tint="0.34998626667073579"/>
      </top>
      <bottom style="medium">
        <color theme="1" tint="0.34998626667073579"/>
      </bottom>
      <diagonal/>
    </border>
    <border>
      <left style="thin">
        <color indexed="64"/>
      </left>
      <right style="thin">
        <color indexed="64"/>
      </right>
      <top/>
      <bottom style="thin">
        <color theme="1" tint="0.34998626667073579"/>
      </bottom>
      <diagonal/>
    </border>
    <border>
      <left style="medium">
        <color indexed="64"/>
      </left>
      <right style="thin">
        <color indexed="64"/>
      </right>
      <top style="thin">
        <color theme="1" tint="0.34998626667073579"/>
      </top>
      <bottom style="medium">
        <color indexed="64"/>
      </bottom>
      <diagonal/>
    </border>
    <border>
      <left style="thin">
        <color indexed="64"/>
      </left>
      <right style="thin">
        <color indexed="64"/>
      </right>
      <top style="thin">
        <color theme="1" tint="0.34998626667073579"/>
      </top>
      <bottom style="medium">
        <color indexed="64"/>
      </bottom>
      <diagonal/>
    </border>
    <border>
      <left style="thin">
        <color indexed="64"/>
      </left>
      <right style="medium">
        <color indexed="64"/>
      </right>
      <top style="thin">
        <color theme="1" tint="0.34998626667073579"/>
      </top>
      <bottom style="medium">
        <color indexed="64"/>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thin">
        <color theme="1" tint="0.34998626667073579"/>
      </right>
      <top style="thin">
        <color indexed="64"/>
      </top>
      <bottom/>
      <diagonal/>
    </border>
    <border>
      <left style="thin">
        <color theme="1" tint="0.34998626667073579"/>
      </left>
      <right style="thin">
        <color theme="1" tint="0.34998626667073579"/>
      </right>
      <top style="thin">
        <color indexed="64"/>
      </top>
      <bottom style="medium">
        <color indexed="64"/>
      </bottom>
      <diagonal/>
    </border>
    <border>
      <left style="medium">
        <color indexed="64"/>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indexed="64"/>
      </top>
      <bottom style="thin">
        <color indexed="64"/>
      </bottom>
      <diagonal/>
    </border>
    <border>
      <left style="medium">
        <color indexed="64"/>
      </left>
      <right style="thin">
        <color theme="1" tint="0.34998626667073579"/>
      </right>
      <top style="thin">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medium">
        <color indexed="64"/>
      </left>
      <right style="thin">
        <color theme="1" tint="0.34998626667073579"/>
      </right>
      <top style="thin">
        <color indexed="64"/>
      </top>
      <bottom/>
      <diagonal/>
    </border>
    <border>
      <left style="thin">
        <color theme="1" tint="0.34998626667073579"/>
      </left>
      <right style="medium">
        <color indexed="64"/>
      </right>
      <top style="thin">
        <color indexed="64"/>
      </top>
      <bottom/>
      <diagonal/>
    </border>
    <border>
      <left style="medium">
        <color indexed="64"/>
      </left>
      <right style="thin">
        <color theme="1" tint="0.34998626667073579"/>
      </right>
      <top style="thin">
        <color indexed="64"/>
      </top>
      <bottom style="medium">
        <color indexed="64"/>
      </bottom>
      <diagonal/>
    </border>
    <border>
      <left style="thin">
        <color theme="1" tint="0.34998626667073579"/>
      </left>
      <right style="medium">
        <color indexed="64"/>
      </right>
      <top style="thin">
        <color indexed="64"/>
      </top>
      <bottom style="medium">
        <color indexed="64"/>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theme="1" tint="0.34998626667073579"/>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medium">
        <color indexed="64"/>
      </top>
      <bottom style="thin">
        <color theme="1" tint="0.34998626667073579"/>
      </bottom>
      <diagonal/>
    </border>
    <border>
      <left/>
      <right style="thin">
        <color theme="1" tint="0.34998626667073579"/>
      </right>
      <top style="thin">
        <color theme="1" tint="0.34998626667073579"/>
      </top>
      <bottom style="medium">
        <color indexed="64"/>
      </bottom>
      <diagonal/>
    </border>
    <border>
      <left style="thin">
        <color indexed="64"/>
      </left>
      <right style="medium">
        <color indexed="64"/>
      </right>
      <top style="thin">
        <color indexed="64"/>
      </top>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thin">
        <color theme="1" tint="0.34998626667073579"/>
      </left>
      <right style="thin">
        <color theme="1" tint="0.34998626667073579"/>
      </right>
      <top/>
      <bottom style="thin">
        <color indexed="64"/>
      </bottom>
      <diagonal/>
    </border>
    <border>
      <left style="thin">
        <color theme="1" tint="0.34998626667073579"/>
      </left>
      <right style="medium">
        <color indexed="64"/>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right/>
      <top style="medium">
        <color indexed="64"/>
      </top>
      <bottom style="thin">
        <color theme="1" tint="0.34998626667073579"/>
      </bottom>
      <diagonal/>
    </border>
    <border>
      <left style="thin">
        <color rgb="FF808080"/>
      </left>
      <right style="thin">
        <color rgb="FF808080"/>
      </right>
      <top style="thin">
        <color rgb="FF000000"/>
      </top>
      <bottom style="thin">
        <color rgb="FF80808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medium">
        <color rgb="FF000000"/>
      </right>
      <top style="thin">
        <color indexed="64"/>
      </top>
      <bottom style="thin">
        <color indexed="64"/>
      </bottom>
      <diagonal/>
    </border>
    <border>
      <left style="thin">
        <color rgb="FF595959"/>
      </left>
      <right style="thin">
        <color rgb="FF595959"/>
      </right>
      <top style="thin">
        <color rgb="FF595959"/>
      </top>
      <bottom/>
      <diagonal/>
    </border>
    <border>
      <left style="thin">
        <color rgb="FF595959"/>
      </left>
      <right style="thin">
        <color rgb="FF595959"/>
      </right>
      <top/>
      <bottom/>
      <diagonal/>
    </border>
    <border>
      <left style="thin">
        <color rgb="FF595959"/>
      </left>
      <right style="thin">
        <color rgb="FF595959"/>
      </right>
      <top/>
      <bottom style="thin">
        <color rgb="FF595959"/>
      </bottom>
      <diagonal/>
    </border>
    <border>
      <left style="thin">
        <color theme="1" tint="0.34998626667073579"/>
      </left>
      <right style="thin">
        <color rgb="FF000000"/>
      </right>
      <top style="thin">
        <color theme="1" tint="0.34998626667073579"/>
      </top>
      <bottom/>
      <diagonal/>
    </border>
    <border>
      <left style="thin">
        <color theme="1" tint="0.34998626667073579"/>
      </left>
      <right style="thin">
        <color rgb="FF000000"/>
      </right>
      <top/>
      <bottom/>
      <diagonal/>
    </border>
    <border>
      <left style="thin">
        <color theme="1" tint="0.34998626667073579"/>
      </left>
      <right style="thin">
        <color rgb="FF000000"/>
      </right>
      <top/>
      <bottom style="thin">
        <color theme="1" tint="0.34998626667073579"/>
      </bottom>
      <diagonal/>
    </border>
    <border>
      <left style="thin">
        <color rgb="FF595959"/>
      </left>
      <right style="thin">
        <color rgb="FF595959"/>
      </right>
      <top style="thin">
        <color rgb="FF595959"/>
      </top>
      <bottom style="thin">
        <color rgb="FF595959"/>
      </bottom>
      <diagonal/>
    </border>
    <border>
      <left/>
      <right style="thin">
        <color rgb="FF595959"/>
      </right>
      <top style="thin">
        <color rgb="FF595959"/>
      </top>
      <bottom style="thin">
        <color rgb="FF595959"/>
      </bottom>
      <diagonal/>
    </border>
    <border>
      <left/>
      <right/>
      <top/>
      <bottom style="thin">
        <color rgb="FF000000"/>
      </bottom>
      <diagonal/>
    </border>
    <border>
      <left style="thin">
        <color rgb="FF000000"/>
      </left>
      <right/>
      <top/>
      <bottom/>
      <diagonal/>
    </border>
    <border>
      <left style="thin">
        <color rgb="FF808080"/>
      </left>
      <right/>
      <top/>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indexed="64"/>
      </left>
      <right style="thin">
        <color theme="1" tint="0.499984740745262"/>
      </right>
      <top style="thin">
        <color theme="1" tint="0.499984740745262"/>
      </top>
      <bottom style="thin">
        <color theme="1" tint="0.499984740745262"/>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rgb="FF808080"/>
      </left>
      <right style="thin">
        <color indexed="64"/>
      </right>
      <top style="thin">
        <color rgb="FF000000"/>
      </top>
      <bottom/>
      <diagonal/>
    </border>
    <border>
      <left style="thin">
        <color rgb="FF808080"/>
      </left>
      <right style="thin">
        <color indexed="64"/>
      </right>
      <top/>
      <bottom/>
      <diagonal/>
    </border>
    <border>
      <left style="thin">
        <color rgb="FF808080"/>
      </left>
      <right style="thin">
        <color indexed="64"/>
      </right>
      <top/>
      <bottom style="thin">
        <color rgb="FF808080"/>
      </bottom>
      <diagonal/>
    </border>
    <border>
      <left style="thin">
        <color theme="1" tint="0.34998626667073579"/>
      </left>
      <right style="thin">
        <color indexed="64"/>
      </right>
      <top/>
      <bottom/>
      <diagonal/>
    </border>
    <border>
      <left style="thin">
        <color rgb="FF808080"/>
      </left>
      <right style="thin">
        <color indexed="64"/>
      </right>
      <top style="thin">
        <color rgb="FF000000"/>
      </top>
      <bottom style="thin">
        <color rgb="FF808080"/>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499984740745262"/>
      </left>
      <right style="thin">
        <color theme="0" tint="-0.499984740745262"/>
      </right>
      <top style="thin">
        <color theme="0" tint="-0.499984740745262"/>
      </top>
      <bottom style="thin">
        <color theme="0" tint="-0.34998626667073579"/>
      </bottom>
      <diagonal/>
    </border>
    <border>
      <left style="thin">
        <color theme="0" tint="-0.499984740745262"/>
      </left>
      <right/>
      <top style="thin">
        <color theme="0" tint="-0.499984740745262"/>
      </top>
      <bottom style="thin">
        <color theme="0" tint="-0.34998626667073579"/>
      </bottom>
      <diagonal/>
    </border>
    <border>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1" tint="0.34998626667073579"/>
      </left>
      <right/>
      <top style="medium">
        <color theme="1" tint="0.34998626667073579"/>
      </top>
      <bottom/>
      <diagonal/>
    </border>
    <border>
      <left/>
      <right/>
      <top style="medium">
        <color theme="1" tint="0.34998626667073579"/>
      </top>
      <bottom/>
      <diagonal/>
    </border>
    <border>
      <left/>
      <right style="thin">
        <color theme="1" tint="0.34998626667073579"/>
      </right>
      <top style="medium">
        <color theme="1" tint="0.34998626667073579"/>
      </top>
      <bottom/>
      <diagonal/>
    </border>
    <border>
      <left style="medium">
        <color indexed="64"/>
      </left>
      <right style="thin">
        <color theme="1" tint="0.34998626667073579"/>
      </right>
      <top style="medium">
        <color indexed="64"/>
      </top>
      <bottom/>
      <diagonal/>
    </border>
    <border>
      <left style="thin">
        <color theme="1" tint="0.34998626667073579"/>
      </left>
      <right style="medium">
        <color theme="1" tint="0.34998626667073579"/>
      </right>
      <top style="medium">
        <color indexed="64"/>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theme="1" tint="0.34998626667073579"/>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medium">
        <color theme="1" tint="0.34998626667073579"/>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rgb="FF000000"/>
      </left>
      <right style="thin">
        <color indexed="64"/>
      </right>
      <top style="medium">
        <color rgb="FF000000"/>
      </top>
      <bottom style="thin">
        <color theme="1" tint="0.34998626667073579"/>
      </bottom>
      <diagonal/>
    </border>
    <border>
      <left style="thin">
        <color indexed="64"/>
      </left>
      <right style="thin">
        <color indexed="64"/>
      </right>
      <top style="medium">
        <color rgb="FF000000"/>
      </top>
      <bottom style="thin">
        <color theme="1" tint="0.34998626667073579"/>
      </bottom>
      <diagonal/>
    </border>
    <border>
      <left style="thin">
        <color indexed="64"/>
      </left>
      <right style="medium">
        <color indexed="64"/>
      </right>
      <top style="medium">
        <color rgb="FF000000"/>
      </top>
      <bottom style="thin">
        <color theme="1" tint="0.34998626667073579"/>
      </bottom>
      <diagonal/>
    </border>
    <border>
      <left/>
      <right/>
      <top style="medium">
        <color rgb="FF000000"/>
      </top>
      <bottom style="thin">
        <color indexed="64"/>
      </bottom>
      <diagonal/>
    </border>
    <border>
      <left style="medium">
        <color rgb="FF000000"/>
      </left>
      <right style="thin">
        <color indexed="64"/>
      </right>
      <top style="thin">
        <color theme="1" tint="0.34998626667073579"/>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medium">
        <color rgb="FF000000"/>
      </left>
      <right style="thin">
        <color indexed="64"/>
      </right>
      <top style="thin">
        <color theme="1" tint="0.34998626667073579"/>
      </top>
      <bottom style="medium">
        <color rgb="FF000000"/>
      </bottom>
      <diagonal/>
    </border>
    <border>
      <left style="thin">
        <color indexed="64"/>
      </left>
      <right style="thin">
        <color indexed="64"/>
      </right>
      <top style="thin">
        <color theme="1" tint="0.34998626667073579"/>
      </top>
      <bottom style="medium">
        <color rgb="FF000000"/>
      </bottom>
      <diagonal/>
    </border>
    <border>
      <left style="thin">
        <color indexed="64"/>
      </left>
      <right style="medium">
        <color indexed="64"/>
      </right>
      <top style="thin">
        <color theme="1" tint="0.34998626667073579"/>
      </top>
      <bottom style="medium">
        <color rgb="FF000000"/>
      </bottom>
      <diagonal/>
    </border>
    <border>
      <left/>
      <right/>
      <top style="thin">
        <color indexed="64"/>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right/>
      <top style="thin">
        <color theme="1" tint="0.34998626667073579"/>
      </top>
      <bottom/>
      <diagonal/>
    </border>
    <border>
      <left style="thin">
        <color rgb="FF808080"/>
      </left>
      <right style="thin">
        <color rgb="FF808080"/>
      </right>
      <top/>
      <bottom style="thin">
        <color theme="1" tint="0.499984740745262"/>
      </bottom>
      <diagonal/>
    </border>
    <border>
      <left style="thin">
        <color theme="1" tint="0.34998626667073579"/>
      </left>
      <right/>
      <top style="thin">
        <color theme="1" tint="0.34998626667073579"/>
      </top>
      <bottom/>
      <diagonal/>
    </border>
    <border>
      <left style="thin">
        <color theme="1" tint="0.34998626667073579"/>
      </left>
      <right style="thin">
        <color theme="1" tint="0.34998626667073579"/>
      </right>
      <top style="thin">
        <color theme="1" tint="0.34998626667073579"/>
      </top>
      <bottom style="thin">
        <color rgb="FF000000"/>
      </bottom>
      <diagonal/>
    </border>
    <border>
      <left style="thin">
        <color theme="1" tint="0.34998626667073579"/>
      </left>
      <right style="thin">
        <color theme="1" tint="0.34998626667073579"/>
      </right>
      <top/>
      <bottom style="thin">
        <color rgb="FF000000"/>
      </bottom>
      <diagonal/>
    </border>
    <border>
      <left style="thin">
        <color theme="1" tint="0.34998626667073579"/>
      </left>
      <right/>
      <top/>
      <bottom style="thin">
        <color rgb="FF000000"/>
      </bottom>
      <diagonal/>
    </border>
  </borders>
  <cellStyleXfs count="14">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2" fillId="0" borderId="0"/>
    <xf numFmtId="0" fontId="14" fillId="0" borderId="0" applyNumberFormat="0" applyFill="0" applyBorder="0" applyAlignment="0" applyProtection="0"/>
    <xf numFmtId="0" fontId="6" fillId="0" borderId="0"/>
    <xf numFmtId="0" fontId="6" fillId="0" borderId="0"/>
    <xf numFmtId="0" fontId="44" fillId="0" borderId="0"/>
  </cellStyleXfs>
  <cellXfs count="973">
    <xf numFmtId="0" fontId="0" fillId="0" borderId="0" xfId="0"/>
    <xf numFmtId="0" fontId="3" fillId="0" borderId="0" xfId="0" applyFont="1"/>
    <xf numFmtId="0" fontId="0" fillId="0" borderId="0" xfId="0" applyAlignment="1">
      <alignment horizontal="left"/>
    </xf>
    <xf numFmtId="0" fontId="10" fillId="0" borderId="0" xfId="0" applyFont="1"/>
    <xf numFmtId="0" fontId="10"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6" fillId="0" borderId="0" xfId="0" applyFont="1" applyAlignment="1">
      <alignment vertical="center"/>
    </xf>
    <xf numFmtId="167" fontId="6" fillId="0" borderId="0" xfId="0" applyNumberFormat="1" applyFont="1"/>
    <xf numFmtId="165" fontId="6" fillId="0" borderId="0" xfId="0" applyNumberFormat="1" applyFont="1"/>
    <xf numFmtId="0" fontId="14" fillId="0" borderId="0" xfId="5" applyFont="1"/>
    <xf numFmtId="0" fontId="6" fillId="0" borderId="0" xfId="0" applyFont="1" applyAlignment="1">
      <alignment wrapText="1"/>
    </xf>
    <xf numFmtId="0" fontId="13" fillId="0" borderId="0" xfId="0" applyFont="1" applyAlignment="1">
      <alignment vertical="center"/>
    </xf>
    <xf numFmtId="0" fontId="1" fillId="0" borderId="2" xfId="1" applyBorder="1" applyAlignment="1">
      <alignment vertical="center" wrapText="1"/>
    </xf>
    <xf numFmtId="0" fontId="1" fillId="0" borderId="2" xfId="1" applyBorder="1" applyAlignment="1">
      <alignment vertical="center"/>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0" fontId="18" fillId="6" borderId="2" xfId="0" applyFont="1" applyFill="1" applyBorder="1" applyAlignment="1">
      <alignment vertical="center"/>
    </xf>
    <xf numFmtId="0" fontId="7" fillId="6" borderId="0" xfId="0" applyFont="1" applyFill="1" applyAlignment="1">
      <alignment horizontal="center" vertical="center"/>
    </xf>
    <xf numFmtId="0" fontId="18" fillId="6" borderId="2" xfId="0" applyFont="1" applyFill="1" applyBorder="1" applyAlignment="1">
      <alignment horizontal="left" vertical="center"/>
    </xf>
    <xf numFmtId="3" fontId="6" fillId="0" borderId="2" xfId="7" applyNumberFormat="1" applyFont="1" applyBorder="1" applyAlignment="1">
      <alignment horizontal="center" vertical="center"/>
    </xf>
    <xf numFmtId="0" fontId="9" fillId="0" borderId="2" xfId="3" applyFont="1" applyBorder="1" applyAlignment="1">
      <alignment horizontal="center" vertical="center" wrapText="1"/>
    </xf>
    <xf numFmtId="3" fontId="9" fillId="0" borderId="2" xfId="3" applyNumberFormat="1" applyFont="1" applyFill="1" applyBorder="1" applyAlignment="1">
      <alignment horizontal="center" vertical="center" wrapText="1"/>
    </xf>
    <xf numFmtId="165" fontId="6" fillId="0" borderId="0" xfId="0" applyNumberFormat="1" applyFont="1" applyAlignment="1">
      <alignment horizontal="center" vertical="center"/>
    </xf>
    <xf numFmtId="0" fontId="1" fillId="0" borderId="0" xfId="0" applyFont="1" applyAlignment="1">
      <alignment vertical="top"/>
    </xf>
    <xf numFmtId="0" fontId="6" fillId="0" borderId="0" xfId="0" applyFont="1" applyAlignment="1">
      <alignment horizontal="center" vertical="top" wrapText="1"/>
    </xf>
    <xf numFmtId="0" fontId="7" fillId="0" borderId="0" xfId="0" applyFont="1" applyAlignment="1">
      <alignment horizontal="center" vertical="top" wrapText="1"/>
    </xf>
    <xf numFmtId="167" fontId="14"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19" fillId="6" borderId="2" xfId="0" applyFont="1" applyFill="1" applyBorder="1" applyAlignment="1">
      <alignment horizontal="center" vertical="center" wrapText="1"/>
    </xf>
    <xf numFmtId="0" fontId="18" fillId="6" borderId="2" xfId="0" applyFont="1" applyFill="1" applyBorder="1" applyAlignment="1">
      <alignment horizontal="center" vertical="center"/>
    </xf>
    <xf numFmtId="0" fontId="6" fillId="0" borderId="2" xfId="0" applyFont="1" applyBorder="1" applyAlignment="1">
      <alignment horizontal="left" vertical="center" wrapText="1"/>
    </xf>
    <xf numFmtId="0" fontId="6" fillId="0" borderId="2" xfId="0" applyFont="1" applyBorder="1"/>
    <xf numFmtId="9" fontId="6" fillId="0" borderId="0" xfId="2" applyFont="1" applyFill="1" applyBorder="1" applyAlignment="1">
      <alignment horizontal="center" vertical="center"/>
    </xf>
    <xf numFmtId="0" fontId="16" fillId="9" borderId="0" xfId="0" applyFont="1" applyFill="1"/>
    <xf numFmtId="0" fontId="25" fillId="9" borderId="0" xfId="0" applyFont="1" applyFill="1"/>
    <xf numFmtId="0" fontId="7" fillId="0" borderId="0" xfId="0" applyFont="1" applyAlignment="1">
      <alignment horizontal="left" vertical="center" wrapText="1"/>
    </xf>
    <xf numFmtId="1" fontId="6" fillId="0" borderId="0" xfId="0" applyNumberFormat="1" applyFont="1"/>
    <xf numFmtId="9" fontId="6" fillId="0" borderId="0" xfId="2" applyFont="1" applyFill="1" applyBorder="1"/>
    <xf numFmtId="0" fontId="26" fillId="8" borderId="2" xfId="0" applyFont="1" applyFill="1" applyBorder="1" applyAlignment="1">
      <alignment horizontal="left" vertical="center" wrapText="1"/>
    </xf>
    <xf numFmtId="0" fontId="26" fillId="8" borderId="2" xfId="0" applyFont="1" applyFill="1" applyBorder="1" applyAlignment="1">
      <alignment horizontal="left" vertical="center"/>
    </xf>
    <xf numFmtId="1" fontId="24" fillId="0" borderId="19" xfId="0" applyNumberFormat="1" applyFont="1" applyBorder="1" applyAlignment="1">
      <alignment horizontal="left"/>
    </xf>
    <xf numFmtId="0" fontId="24" fillId="0" borderId="19" xfId="0" applyFont="1" applyBorder="1" applyAlignment="1">
      <alignment horizontal="left"/>
    </xf>
    <xf numFmtId="0" fontId="6" fillId="0" borderId="19" xfId="0" applyFont="1" applyBorder="1" applyAlignment="1">
      <alignment horizontal="left"/>
    </xf>
    <xf numFmtId="10" fontId="6" fillId="0" borderId="19" xfId="8" applyNumberFormat="1" applyFont="1" applyBorder="1" applyAlignment="1">
      <alignment horizontal="center"/>
    </xf>
    <xf numFmtId="10" fontId="6" fillId="0" borderId="0" xfId="8" applyNumberFormat="1" applyFont="1" applyBorder="1" applyAlignment="1">
      <alignment horizontal="center"/>
    </xf>
    <xf numFmtId="10" fontId="6" fillId="0" borderId="20" xfId="8" applyNumberFormat="1" applyFont="1" applyBorder="1" applyAlignment="1">
      <alignment horizontal="center"/>
    </xf>
    <xf numFmtId="9" fontId="7" fillId="0" borderId="0" xfId="2" applyFont="1" applyFill="1" applyBorder="1"/>
    <xf numFmtId="164" fontId="6" fillId="0" borderId="0" xfId="0" applyNumberFormat="1" applyFont="1"/>
    <xf numFmtId="0" fontId="7" fillId="6" borderId="29" xfId="0" applyFont="1" applyFill="1" applyBorder="1" applyAlignment="1">
      <alignment horizontal="center" vertical="center"/>
    </xf>
    <xf numFmtId="9" fontId="6" fillId="0" borderId="0" xfId="2" applyFont="1" applyFill="1" applyBorder="1" applyAlignment="1">
      <alignment horizontal="left" vertical="center"/>
    </xf>
    <xf numFmtId="11" fontId="6" fillId="0" borderId="0" xfId="0" applyNumberFormat="1" applyFont="1"/>
    <xf numFmtId="0" fontId="6" fillId="6" borderId="29" xfId="0" applyFont="1" applyFill="1" applyBorder="1" applyAlignment="1">
      <alignment horizontal="center" vertical="center"/>
    </xf>
    <xf numFmtId="2" fontId="6" fillId="0" borderId="29" xfId="0" applyNumberFormat="1" applyFont="1" applyBorder="1" applyAlignment="1">
      <alignment horizontal="center" vertical="center"/>
    </xf>
    <xf numFmtId="2" fontId="6" fillId="0" borderId="29" xfId="0" applyNumberFormat="1" applyFont="1" applyBorder="1" applyAlignment="1">
      <alignment horizontal="center" vertical="center" wrapText="1"/>
    </xf>
    <xf numFmtId="0" fontId="7" fillId="0" borderId="29" xfId="0" applyFont="1" applyBorder="1" applyAlignment="1">
      <alignment horizontal="center" vertical="center"/>
    </xf>
    <xf numFmtId="165" fontId="6" fillId="0" borderId="29" xfId="0" applyNumberFormat="1" applyFont="1" applyBorder="1" applyAlignment="1">
      <alignment horizontal="center" vertical="center"/>
    </xf>
    <xf numFmtId="11" fontId="6" fillId="0" borderId="0" xfId="0" applyNumberFormat="1" applyFont="1" applyAlignment="1">
      <alignment horizontal="center" vertical="center"/>
    </xf>
    <xf numFmtId="11" fontId="6" fillId="0" borderId="0" xfId="0" applyNumberFormat="1" applyFont="1" applyAlignment="1">
      <alignment horizontal="center" vertical="center" wrapText="1"/>
    </xf>
    <xf numFmtId="0" fontId="23" fillId="0" borderId="0" xfId="0" applyFont="1" applyAlignment="1">
      <alignment horizontal="center" vertical="center"/>
    </xf>
    <xf numFmtId="0" fontId="27" fillId="4" borderId="0" xfId="0" applyFont="1" applyFill="1" applyAlignment="1">
      <alignment vertical="center" wrapText="1"/>
    </xf>
    <xf numFmtId="0" fontId="23" fillId="4" borderId="0" xfId="0" applyFont="1" applyFill="1" applyAlignment="1">
      <alignment horizontal="center" vertical="center"/>
    </xf>
    <xf numFmtId="165" fontId="23" fillId="4" borderId="0" xfId="0" applyNumberFormat="1" applyFont="1" applyFill="1" applyAlignment="1">
      <alignment horizontal="center" vertical="center"/>
    </xf>
    <xf numFmtId="3" fontId="6" fillId="0" borderId="0" xfId="0" applyNumberFormat="1" applyFont="1" applyAlignment="1">
      <alignment horizontal="left"/>
    </xf>
    <xf numFmtId="0" fontId="6" fillId="0" borderId="0" xfId="12"/>
    <xf numFmtId="0" fontId="26" fillId="0" borderId="0" xfId="0" applyFont="1" applyAlignment="1">
      <alignment horizontal="left" vertical="center" wrapText="1"/>
    </xf>
    <xf numFmtId="0" fontId="26" fillId="0" borderId="0" xfId="0" applyFont="1" applyAlignment="1">
      <alignment horizontal="left" vertical="center"/>
    </xf>
    <xf numFmtId="0" fontId="26" fillId="0" borderId="0" xfId="0" applyFont="1" applyAlignment="1">
      <alignment horizontal="center" vertical="center" wrapText="1"/>
    </xf>
    <xf numFmtId="10" fontId="6" fillId="0" borderId="0" xfId="8" applyNumberFormat="1" applyFont="1" applyFill="1" applyBorder="1" applyAlignment="1">
      <alignment horizontal="center"/>
    </xf>
    <xf numFmtId="0" fontId="56" fillId="10" borderId="0" xfId="0" applyFont="1" applyFill="1" applyAlignment="1">
      <alignment horizontal="center" vertical="center"/>
    </xf>
    <xf numFmtId="0" fontId="49" fillId="10" borderId="0" xfId="0" applyFont="1" applyFill="1" applyAlignment="1">
      <alignment horizontal="center" vertical="center"/>
    </xf>
    <xf numFmtId="0" fontId="26" fillId="0" borderId="0" xfId="12" applyFont="1"/>
    <xf numFmtId="0" fontId="26" fillId="8" borderId="21" xfId="0" applyFont="1" applyFill="1" applyBorder="1" applyAlignment="1">
      <alignment horizontal="center" vertical="center" wrapText="1"/>
    </xf>
    <xf numFmtId="0" fontId="26" fillId="8" borderId="2" xfId="12" applyFont="1" applyFill="1" applyBorder="1" applyAlignment="1">
      <alignment horizontal="left" vertical="center" wrapText="1"/>
    </xf>
    <xf numFmtId="0" fontId="26" fillId="8" borderId="3" xfId="12" applyFont="1" applyFill="1" applyBorder="1" applyAlignment="1">
      <alignment horizontal="left" vertical="center"/>
    </xf>
    <xf numFmtId="0" fontId="26" fillId="8" borderId="27" xfId="12" applyFont="1" applyFill="1" applyBorder="1" applyAlignment="1">
      <alignment horizontal="center" vertical="center" wrapText="1"/>
    </xf>
    <xf numFmtId="0" fontId="26" fillId="8" borderId="21" xfId="12" applyFont="1" applyFill="1" applyBorder="1" applyAlignment="1">
      <alignment horizontal="center" vertical="center" wrapText="1"/>
    </xf>
    <xf numFmtId="0" fontId="26" fillId="8" borderId="28" xfId="12" applyFont="1" applyFill="1" applyBorder="1" applyAlignment="1">
      <alignment horizontal="center" vertical="center" wrapText="1"/>
    </xf>
    <xf numFmtId="0" fontId="26" fillId="8" borderId="24" xfId="12" applyFont="1" applyFill="1" applyBorder="1" applyAlignment="1">
      <alignment horizontal="center" vertical="center" wrapText="1"/>
    </xf>
    <xf numFmtId="3" fontId="6" fillId="0" borderId="26" xfId="8" applyNumberFormat="1" applyFont="1" applyBorder="1" applyAlignment="1">
      <alignment horizontal="left"/>
    </xf>
    <xf numFmtId="3" fontId="6" fillId="0" borderId="0" xfId="8" applyNumberFormat="1" applyFont="1" applyBorder="1" applyAlignment="1">
      <alignment horizontal="left"/>
    </xf>
    <xf numFmtId="3" fontId="6" fillId="0" borderId="25" xfId="8" applyNumberFormat="1" applyFont="1" applyBorder="1" applyAlignment="1">
      <alignment horizontal="left"/>
    </xf>
    <xf numFmtId="1" fontId="6" fillId="0" borderId="0" xfId="2" applyNumberFormat="1" applyFont="1" applyFill="1" applyBorder="1" applyAlignment="1">
      <alignment horizontal="left" vertical="center"/>
    </xf>
    <xf numFmtId="0" fontId="7" fillId="0" borderId="0" xfId="4" applyFont="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1" fontId="6" fillId="0" borderId="2" xfId="0" applyNumberFormat="1" applyFont="1" applyBorder="1" applyAlignment="1">
      <alignment horizontal="center" vertical="center"/>
    </xf>
    <xf numFmtId="9" fontId="6" fillId="0" borderId="0" xfId="0" applyNumberFormat="1" applyFont="1" applyAlignment="1">
      <alignment horizontal="center"/>
    </xf>
    <xf numFmtId="3" fontId="6" fillId="0" borderId="0" xfId="0" applyNumberFormat="1" applyFont="1" applyAlignment="1">
      <alignment horizontal="center" vertical="center"/>
    </xf>
    <xf numFmtId="0" fontId="6" fillId="0" borderId="0" xfId="0" applyFont="1" applyAlignment="1">
      <alignment horizontal="right"/>
    </xf>
    <xf numFmtId="165" fontId="6" fillId="0" borderId="2" xfId="0" applyNumberFormat="1" applyFont="1" applyBorder="1" applyAlignment="1">
      <alignment horizontal="center" vertical="center"/>
    </xf>
    <xf numFmtId="2" fontId="6" fillId="0" borderId="33" xfId="0" applyNumberFormat="1" applyFont="1" applyBorder="1"/>
    <xf numFmtId="0" fontId="6" fillId="0" borderId="33" xfId="0" applyFont="1" applyBorder="1"/>
    <xf numFmtId="167" fontId="23" fillId="0" borderId="0" xfId="0" applyNumberFormat="1" applyFont="1" applyAlignment="1">
      <alignment horizontal="center" vertical="center"/>
    </xf>
    <xf numFmtId="3" fontId="6" fillId="0" borderId="0" xfId="7" applyNumberFormat="1" applyFont="1" applyAlignment="1">
      <alignment horizontal="center" vertical="center"/>
    </xf>
    <xf numFmtId="0" fontId="6" fillId="6" borderId="2" xfId="0" applyFont="1" applyFill="1" applyBorder="1" applyAlignment="1">
      <alignment horizontal="center" vertical="center"/>
    </xf>
    <xf numFmtId="0" fontId="9" fillId="0" borderId="2" xfId="3" applyFont="1" applyFill="1" applyBorder="1" applyAlignment="1">
      <alignment horizontal="center" vertical="center" wrapText="1"/>
    </xf>
    <xf numFmtId="167" fontId="6" fillId="0" borderId="2" xfId="0" applyNumberFormat="1" applyFont="1" applyBorder="1" applyAlignment="1">
      <alignment horizontal="center" vertical="center"/>
    </xf>
    <xf numFmtId="0" fontId="6" fillId="6" borderId="2" xfId="0" applyFont="1" applyFill="1" applyBorder="1" applyAlignment="1">
      <alignment horizontal="center" vertical="center" wrapText="1"/>
    </xf>
    <xf numFmtId="0" fontId="28" fillId="0" borderId="0" xfId="0" applyFont="1"/>
    <xf numFmtId="0" fontId="29" fillId="0" borderId="0" xfId="0" applyFont="1"/>
    <xf numFmtId="0" fontId="28" fillId="0" borderId="0" xfId="0" applyFont="1" applyAlignment="1">
      <alignment wrapText="1"/>
    </xf>
    <xf numFmtId="0" fontId="28"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left"/>
    </xf>
    <xf numFmtId="0" fontId="1" fillId="0" borderId="2" xfId="0" applyFont="1" applyBorder="1" applyAlignment="1">
      <alignment horizontal="left" vertical="center" wrapText="1"/>
    </xf>
    <xf numFmtId="1" fontId="1" fillId="0" borderId="2" xfId="0" applyNumberFormat="1" applyFont="1" applyBorder="1" applyAlignment="1">
      <alignment horizontal="center" vertical="center"/>
    </xf>
    <xf numFmtId="0" fontId="9" fillId="0" borderId="2" xfId="0" applyFont="1" applyBorder="1" applyAlignment="1">
      <alignment horizontal="center" vertical="center" wrapText="1"/>
    </xf>
    <xf numFmtId="0" fontId="22" fillId="0" borderId="0" xfId="0" applyFont="1" applyAlignment="1">
      <alignment horizontal="left" vertical="center" wrapText="1"/>
    </xf>
    <xf numFmtId="0" fontId="6" fillId="0" borderId="0" xfId="0" applyFont="1" applyAlignment="1">
      <alignment vertical="top" wrapText="1"/>
    </xf>
    <xf numFmtId="169" fontId="6" fillId="0" borderId="0" xfId="6" applyNumberFormat="1" applyFont="1" applyFill="1" applyBorder="1" applyAlignment="1">
      <alignment horizontal="center"/>
    </xf>
    <xf numFmtId="0" fontId="20" fillId="0" borderId="0" xfId="0" applyFont="1" applyAlignment="1">
      <alignment horizontal="center" vertical="center"/>
    </xf>
    <xf numFmtId="168" fontId="21" fillId="0" borderId="0" xfId="6" applyNumberFormat="1" applyFont="1" applyFill="1" applyBorder="1" applyAlignment="1">
      <alignment horizontal="center" vertical="center"/>
    </xf>
    <xf numFmtId="0" fontId="6" fillId="0" borderId="1" xfId="0" applyFont="1" applyBorder="1" applyAlignment="1">
      <alignment horizontal="center" vertical="center"/>
    </xf>
    <xf numFmtId="0" fontId="18" fillId="6" borderId="14" xfId="0" applyFont="1" applyFill="1" applyBorder="1" applyAlignment="1">
      <alignment horizontal="center" vertical="center" wrapText="1"/>
    </xf>
    <xf numFmtId="0" fontId="7" fillId="6" borderId="32" xfId="0" applyFont="1" applyFill="1" applyBorder="1" applyAlignment="1">
      <alignment horizontal="center" vertical="center"/>
    </xf>
    <xf numFmtId="0" fontId="6" fillId="0" borderId="4" xfId="0" applyFont="1" applyBorder="1" applyAlignment="1">
      <alignment horizontal="left" vertical="center"/>
    </xf>
    <xf numFmtId="0" fontId="6" fillId="0" borderId="6" xfId="0" applyFont="1" applyBorder="1" applyAlignment="1">
      <alignment horizontal="left" vertical="center"/>
    </xf>
    <xf numFmtId="0" fontId="6" fillId="0" borderId="8" xfId="0" applyFont="1" applyBorder="1" applyAlignment="1">
      <alignment horizontal="left" vertical="center"/>
    </xf>
    <xf numFmtId="0" fontId="6" fillId="0" borderId="41" xfId="0" applyFont="1" applyBorder="1" applyAlignment="1">
      <alignment horizontal="left" vertical="center"/>
    </xf>
    <xf numFmtId="0" fontId="30" fillId="0" borderId="0" xfId="0" applyFont="1" applyAlignment="1">
      <alignment horizontal="left" vertical="center"/>
    </xf>
    <xf numFmtId="0" fontId="9" fillId="0" borderId="0" xfId="3" applyFont="1" applyBorder="1" applyAlignment="1">
      <alignment horizontal="center" vertical="center" wrapText="1"/>
    </xf>
    <xf numFmtId="0" fontId="7" fillId="6" borderId="32" xfId="0" applyFont="1" applyFill="1" applyBorder="1" applyAlignment="1">
      <alignment horizontal="center" vertical="center" wrapText="1"/>
    </xf>
    <xf numFmtId="169" fontId="9" fillId="0" borderId="2" xfId="6" applyNumberFormat="1" applyFont="1" applyBorder="1" applyAlignment="1">
      <alignment horizontal="center" vertical="center" wrapText="1"/>
    </xf>
    <xf numFmtId="0" fontId="6" fillId="0" borderId="0" xfId="4" applyAlignment="1">
      <alignment horizontal="center"/>
    </xf>
    <xf numFmtId="9" fontId="6" fillId="0" borderId="0" xfId="0" applyNumberFormat="1" applyFont="1" applyAlignment="1">
      <alignment horizontal="left" vertical="center"/>
    </xf>
    <xf numFmtId="0" fontId="1" fillId="0" borderId="29" xfId="0" applyFont="1" applyBorder="1" applyAlignment="1">
      <alignment horizontal="center" vertical="center"/>
    </xf>
    <xf numFmtId="0" fontId="1" fillId="0" borderId="47" xfId="0" applyFont="1" applyBorder="1" applyAlignment="1">
      <alignment horizontal="center" vertical="center" wrapText="1"/>
    </xf>
    <xf numFmtId="0" fontId="24" fillId="0" borderId="47" xfId="0" applyFont="1" applyBorder="1" applyAlignment="1">
      <alignment horizontal="center" vertical="center" wrapText="1"/>
    </xf>
    <xf numFmtId="0" fontId="7" fillId="6" borderId="33" xfId="0" applyFont="1" applyFill="1" applyBorder="1" applyAlignment="1">
      <alignment horizontal="center" vertical="center" wrapText="1"/>
    </xf>
    <xf numFmtId="0" fontId="24" fillId="0" borderId="0" xfId="0" applyFont="1" applyAlignment="1">
      <alignment horizontal="center" vertical="center"/>
    </xf>
    <xf numFmtId="1" fontId="9" fillId="0" borderId="0" xfId="3" applyNumberFormat="1" applyFont="1" applyBorder="1" applyAlignment="1">
      <alignment horizontal="left" vertical="center" wrapText="1"/>
    </xf>
    <xf numFmtId="0" fontId="10" fillId="0" borderId="0" xfId="0" applyFont="1" applyAlignment="1">
      <alignment vertical="center"/>
    </xf>
    <xf numFmtId="170" fontId="9" fillId="0" borderId="0" xfId="3" applyNumberFormat="1" applyFont="1" applyBorder="1" applyAlignment="1">
      <alignment horizontal="center" vertical="center" wrapText="1"/>
    </xf>
    <xf numFmtId="0" fontId="31" fillId="0" borderId="0" xfId="0" applyFont="1"/>
    <xf numFmtId="169" fontId="9" fillId="0" borderId="2" xfId="6" applyNumberFormat="1" applyFont="1" applyFill="1" applyBorder="1" applyAlignment="1">
      <alignment horizontal="center" vertical="center" wrapText="1"/>
    </xf>
    <xf numFmtId="0" fontId="11" fillId="0" borderId="0" xfId="0" applyFont="1" applyAlignment="1">
      <alignment vertical="center" wrapText="1"/>
    </xf>
    <xf numFmtId="0" fontId="24" fillId="0" borderId="0" xfId="0" applyFont="1" applyAlignment="1">
      <alignment vertical="center" wrapText="1"/>
    </xf>
    <xf numFmtId="0" fontId="6" fillId="4" borderId="0" xfId="0" applyFont="1" applyFill="1"/>
    <xf numFmtId="165" fontId="10" fillId="0" borderId="0" xfId="0" applyNumberFormat="1" applyFont="1" applyAlignment="1">
      <alignment horizontal="center" vertical="center"/>
    </xf>
    <xf numFmtId="0" fontId="10" fillId="0" borderId="0" xfId="0" applyFont="1" applyAlignment="1">
      <alignment horizontal="center" vertical="center" wrapText="1"/>
    </xf>
    <xf numFmtId="3" fontId="6" fillId="0" borderId="0" xfId="8" applyNumberFormat="1" applyFont="1" applyFill="1" applyBorder="1" applyAlignment="1">
      <alignment horizontal="center"/>
    </xf>
    <xf numFmtId="1" fontId="24" fillId="0" borderId="0" xfId="0" applyNumberFormat="1" applyFont="1" applyAlignment="1">
      <alignment horizontal="left"/>
    </xf>
    <xf numFmtId="3" fontId="6" fillId="0" borderId="0" xfId="8" applyNumberFormat="1" applyFont="1" applyFill="1" applyBorder="1" applyAlignment="1">
      <alignment horizontal="left"/>
    </xf>
    <xf numFmtId="0" fontId="7" fillId="2" borderId="0" xfId="0" applyFont="1" applyFill="1" applyAlignment="1">
      <alignment vertical="center"/>
    </xf>
    <xf numFmtId="0" fontId="10" fillId="0" borderId="0" xfId="0" applyFont="1" applyAlignment="1">
      <alignment wrapText="1"/>
    </xf>
    <xf numFmtId="0" fontId="7" fillId="0" borderId="0" xfId="0" applyFont="1" applyAlignment="1">
      <alignment horizontal="center" vertical="center"/>
    </xf>
    <xf numFmtId="0" fontId="24" fillId="0" borderId="47" xfId="0" applyFont="1" applyBorder="1" applyAlignment="1">
      <alignment horizontal="center" vertical="center"/>
    </xf>
    <xf numFmtId="0" fontId="26" fillId="13" borderId="2" xfId="0" applyFont="1" applyFill="1" applyBorder="1" applyAlignment="1">
      <alignment horizontal="center" vertical="center"/>
    </xf>
    <xf numFmtId="9" fontId="24" fillId="0" borderId="47" xfId="0" applyNumberFormat="1" applyFont="1" applyBorder="1" applyAlignment="1">
      <alignment horizontal="center" vertical="center"/>
    </xf>
    <xf numFmtId="9" fontId="24" fillId="0" borderId="47" xfId="0" applyNumberFormat="1" applyFont="1" applyBorder="1" applyAlignment="1">
      <alignment horizontal="center"/>
    </xf>
    <xf numFmtId="0" fontId="24" fillId="0" borderId="0" xfId="0" applyFont="1"/>
    <xf numFmtId="0" fontId="24"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24" fillId="0" borderId="0" xfId="0" applyFont="1" applyAlignment="1">
      <alignment horizontal="center" vertical="center" wrapText="1"/>
    </xf>
    <xf numFmtId="0" fontId="0" fillId="0" borderId="0" xfId="0" applyAlignment="1">
      <alignment horizontal="left" vertical="center"/>
    </xf>
    <xf numFmtId="0" fontId="6" fillId="0" borderId="29" xfId="0" applyFont="1" applyBorder="1" applyAlignment="1">
      <alignment horizontal="center" vertical="center"/>
    </xf>
    <xf numFmtId="0" fontId="7" fillId="6" borderId="35" xfId="0" applyFont="1" applyFill="1" applyBorder="1" applyAlignment="1">
      <alignment horizontal="center" vertical="center"/>
    </xf>
    <xf numFmtId="0" fontId="6" fillId="7" borderId="36" xfId="0" applyFont="1" applyFill="1" applyBorder="1" applyAlignment="1">
      <alignment horizontal="center" vertical="center"/>
    </xf>
    <xf numFmtId="0" fontId="6" fillId="5" borderId="36" xfId="0" applyFont="1" applyFill="1" applyBorder="1" applyAlignment="1">
      <alignment horizontal="center" vertical="center"/>
    </xf>
    <xf numFmtId="167" fontId="6" fillId="5" borderId="36" xfId="0" applyNumberFormat="1" applyFont="1" applyFill="1" applyBorder="1" applyAlignment="1">
      <alignment horizontal="center" vertical="center"/>
    </xf>
    <xf numFmtId="0" fontId="6" fillId="3" borderId="36" xfId="0" applyFont="1" applyFill="1" applyBorder="1" applyAlignment="1">
      <alignment horizontal="center" vertical="center"/>
    </xf>
    <xf numFmtId="0" fontId="6" fillId="4" borderId="36" xfId="0" applyFont="1" applyFill="1" applyBorder="1" applyAlignment="1">
      <alignment horizontal="center" vertical="center"/>
    </xf>
    <xf numFmtId="2" fontId="6" fillId="0" borderId="36" xfId="0" applyNumberFormat="1" applyFont="1" applyBorder="1" applyAlignment="1">
      <alignment horizontal="center" vertical="center"/>
    </xf>
    <xf numFmtId="2" fontId="6" fillId="5" borderId="36" xfId="0" applyNumberFormat="1" applyFont="1" applyFill="1" applyBorder="1" applyAlignment="1">
      <alignment horizontal="center" vertical="center"/>
    </xf>
    <xf numFmtId="0" fontId="6" fillId="0" borderId="49" xfId="0" applyFont="1" applyBorder="1" applyAlignment="1">
      <alignment horizontal="center" vertical="center"/>
    </xf>
    <xf numFmtId="0" fontId="6" fillId="7" borderId="49" xfId="0" applyFont="1" applyFill="1" applyBorder="1" applyAlignment="1">
      <alignment horizontal="center" vertical="center"/>
    </xf>
    <xf numFmtId="0" fontId="6" fillId="5" borderId="49" xfId="0" applyFont="1" applyFill="1" applyBorder="1" applyAlignment="1">
      <alignment horizontal="center" vertical="center"/>
    </xf>
    <xf numFmtId="0" fontId="8" fillId="0" borderId="36" xfId="5" applyBorder="1" applyAlignment="1">
      <alignment horizontal="center" vertical="center"/>
    </xf>
    <xf numFmtId="43" fontId="1" fillId="0" borderId="3" xfId="6" applyFont="1" applyBorder="1" applyAlignment="1">
      <alignment horizontal="center" vertical="center" wrapText="1"/>
    </xf>
    <xf numFmtId="0" fontId="6" fillId="0" borderId="14" xfId="0" applyFont="1" applyBorder="1" applyAlignment="1">
      <alignment vertical="center" wrapText="1"/>
    </xf>
    <xf numFmtId="0" fontId="6" fillId="0" borderId="21" xfId="0" applyFont="1" applyBorder="1" applyAlignment="1">
      <alignment horizontal="left" vertical="center"/>
    </xf>
    <xf numFmtId="0" fontId="7" fillId="6" borderId="29" xfId="0" applyFont="1" applyFill="1" applyBorder="1" applyAlignment="1">
      <alignment horizontal="center" vertical="center" wrapText="1"/>
    </xf>
    <xf numFmtId="0" fontId="6" fillId="0" borderId="36" xfId="0" applyFont="1" applyBorder="1" applyAlignment="1">
      <alignment vertical="center" wrapText="1"/>
    </xf>
    <xf numFmtId="0" fontId="10" fillId="0" borderId="0" xfId="0" applyFont="1" applyAlignment="1">
      <alignment vertical="center" wrapText="1"/>
    </xf>
    <xf numFmtId="0" fontId="6" fillId="0" borderId="61" xfId="0" applyFont="1" applyBorder="1" applyAlignment="1">
      <alignment vertical="center"/>
    </xf>
    <xf numFmtId="0" fontId="7" fillId="6" borderId="61" xfId="0" applyFont="1" applyFill="1" applyBorder="1" applyAlignment="1">
      <alignment horizontal="center" vertical="center"/>
    </xf>
    <xf numFmtId="0" fontId="6" fillId="4" borderId="0" xfId="0" applyFont="1" applyFill="1" applyAlignment="1">
      <alignment vertical="center"/>
    </xf>
    <xf numFmtId="0" fontId="24" fillId="4" borderId="0" xfId="0" applyFont="1" applyFill="1" applyAlignment="1">
      <alignment horizontal="center" vertical="center"/>
    </xf>
    <xf numFmtId="0" fontId="6" fillId="0" borderId="61" xfId="0" applyFont="1" applyBorder="1" applyAlignment="1">
      <alignment vertical="center" wrapText="1"/>
    </xf>
    <xf numFmtId="0" fontId="24" fillId="0" borderId="61" xfId="0" applyFont="1" applyBorder="1" applyAlignment="1">
      <alignment horizontal="center" vertical="center" wrapText="1"/>
    </xf>
    <xf numFmtId="0" fontId="6" fillId="0" borderId="61" xfId="0" applyFont="1" applyBorder="1"/>
    <xf numFmtId="0" fontId="6" fillId="4" borderId="0" xfId="0" applyFont="1" applyFill="1" applyAlignment="1">
      <alignment vertical="center" wrapText="1"/>
    </xf>
    <xf numFmtId="0" fontId="24" fillId="4" borderId="66" xfId="0" applyFont="1" applyFill="1" applyBorder="1" applyAlignment="1">
      <alignment horizontal="center" vertical="center"/>
    </xf>
    <xf numFmtId="0" fontId="6" fillId="0" borderId="29" xfId="0" quotePrefix="1" applyFont="1" applyBorder="1" applyAlignment="1">
      <alignment horizontal="center" vertical="center"/>
    </xf>
    <xf numFmtId="0" fontId="6" fillId="0" borderId="29" xfId="0" quotePrefix="1" applyFont="1" applyBorder="1" applyAlignment="1">
      <alignment horizontal="center" vertical="center" wrapText="1"/>
    </xf>
    <xf numFmtId="0" fontId="6" fillId="0" borderId="0" xfId="0" quotePrefix="1" applyFont="1" applyAlignment="1">
      <alignment vertical="center" wrapText="1"/>
    </xf>
    <xf numFmtId="1" fontId="9" fillId="0" borderId="61" xfId="3" applyNumberFormat="1" applyFont="1" applyBorder="1" applyAlignment="1">
      <alignment horizontal="left" vertical="center" wrapText="1"/>
    </xf>
    <xf numFmtId="0" fontId="9" fillId="0" borderId="61" xfId="3" applyFont="1" applyBorder="1" applyAlignment="1">
      <alignment horizontal="left" vertical="center" wrapText="1"/>
    </xf>
    <xf numFmtId="169" fontId="6" fillId="0" borderId="61" xfId="6" applyNumberFormat="1" applyFont="1" applyFill="1" applyBorder="1" applyAlignment="1">
      <alignment horizontal="center" vertical="center"/>
    </xf>
    <xf numFmtId="0" fontId="26" fillId="0" borderId="0" xfId="0" applyFont="1"/>
    <xf numFmtId="0" fontId="7" fillId="6" borderId="62" xfId="0" applyFont="1" applyFill="1" applyBorder="1" applyAlignment="1">
      <alignment horizontal="center" vertical="center"/>
    </xf>
    <xf numFmtId="0" fontId="26" fillId="13" borderId="62" xfId="0" applyFont="1" applyFill="1" applyBorder="1" applyAlignment="1">
      <alignment horizontal="center" vertical="center" wrapText="1"/>
    </xf>
    <xf numFmtId="0" fontId="26" fillId="13" borderId="62" xfId="0" applyFont="1" applyFill="1" applyBorder="1" applyAlignment="1">
      <alignment horizontal="center" vertical="center"/>
    </xf>
    <xf numFmtId="1" fontId="6" fillId="0" borderId="61" xfId="0" applyNumberFormat="1" applyFont="1" applyBorder="1" applyAlignment="1">
      <alignment vertical="center"/>
    </xf>
    <xf numFmtId="3" fontId="6" fillId="0" borderId="61" xfId="0" applyNumberFormat="1" applyFont="1" applyBorder="1" applyAlignment="1">
      <alignment horizontal="center" vertical="center"/>
    </xf>
    <xf numFmtId="169" fontId="6" fillId="0" borderId="61" xfId="6" applyNumberFormat="1" applyFont="1" applyBorder="1" applyAlignment="1">
      <alignment horizontal="center" vertical="center"/>
    </xf>
    <xf numFmtId="3" fontId="6" fillId="0" borderId="61" xfId="2" applyNumberFormat="1" applyFont="1" applyFill="1" applyBorder="1" applyAlignment="1">
      <alignment horizontal="center"/>
    </xf>
    <xf numFmtId="10" fontId="6" fillId="0" borderId="61" xfId="2" applyNumberFormat="1" applyFont="1" applyFill="1" applyBorder="1" applyAlignment="1">
      <alignment horizontal="center"/>
    </xf>
    <xf numFmtId="10" fontId="6" fillId="0" borderId="61" xfId="8" applyNumberFormat="1" applyFont="1" applyFill="1" applyBorder="1" applyAlignment="1">
      <alignment horizontal="center" vertical="center" wrapText="1"/>
    </xf>
    <xf numFmtId="10" fontId="6" fillId="0" borderId="61" xfId="8" applyNumberFormat="1" applyFont="1" applyFill="1" applyBorder="1" applyAlignment="1">
      <alignment horizontal="center"/>
    </xf>
    <xf numFmtId="1" fontId="6" fillId="0" borderId="61" xfId="2" applyNumberFormat="1" applyFont="1" applyFill="1" applyBorder="1" applyAlignment="1">
      <alignment horizontal="center" vertical="center"/>
    </xf>
    <xf numFmtId="0" fontId="18" fillId="6" borderId="61" xfId="0" applyFont="1" applyFill="1" applyBorder="1" applyAlignment="1">
      <alignment horizontal="center" vertical="center" wrapText="1"/>
    </xf>
    <xf numFmtId="0" fontId="18" fillId="6" borderId="62" xfId="0" applyFont="1" applyFill="1" applyBorder="1" applyAlignment="1">
      <alignment horizontal="center" vertical="center" wrapText="1"/>
    </xf>
    <xf numFmtId="1" fontId="6" fillId="0" borderId="61" xfId="0" applyNumberFormat="1" applyFont="1" applyBorder="1"/>
    <xf numFmtId="3" fontId="6" fillId="0" borderId="61" xfId="0" applyNumberFormat="1" applyFont="1" applyBorder="1"/>
    <xf numFmtId="43" fontId="6" fillId="0" borderId="61" xfId="6" applyFont="1" applyBorder="1"/>
    <xf numFmtId="165" fontId="24" fillId="0" borderId="61" xfId="0" applyNumberFormat="1" applyFont="1" applyBorder="1" applyAlignment="1">
      <alignment horizontal="center" vertical="center" wrapText="1"/>
    </xf>
    <xf numFmtId="0" fontId="6" fillId="4" borderId="61" xfId="0" applyFont="1" applyFill="1" applyBorder="1" applyAlignment="1">
      <alignment horizontal="center" vertical="center" wrapText="1"/>
    </xf>
    <xf numFmtId="171" fontId="34" fillId="0" borderId="0" xfId="0" applyNumberFormat="1" applyFont="1" applyAlignment="1">
      <alignment vertical="center"/>
    </xf>
    <xf numFmtId="0" fontId="15" fillId="0" borderId="0" xfId="0" applyFont="1"/>
    <xf numFmtId="171" fontId="34" fillId="0" borderId="0" xfId="0" applyNumberFormat="1" applyFont="1"/>
    <xf numFmtId="0" fontId="23" fillId="0" borderId="61" xfId="0" applyFont="1" applyBorder="1" applyAlignment="1">
      <alignment vertical="center" wrapText="1"/>
    </xf>
    <xf numFmtId="0" fontId="35" fillId="0" borderId="61" xfId="0" applyFont="1" applyBorder="1" applyAlignment="1">
      <alignment vertical="center" wrapText="1"/>
    </xf>
    <xf numFmtId="0" fontId="24" fillId="0" borderId="47" xfId="0" applyFont="1" applyBorder="1" applyAlignment="1">
      <alignment horizontal="center"/>
    </xf>
    <xf numFmtId="2" fontId="23" fillId="0" borderId="61" xfId="0" applyNumberFormat="1" applyFont="1" applyBorder="1" applyAlignment="1">
      <alignment horizontal="center" vertical="center"/>
    </xf>
    <xf numFmtId="0" fontId="23" fillId="0" borderId="73" xfId="0" applyFont="1" applyBorder="1" applyAlignment="1">
      <alignment horizontal="center" vertical="center"/>
    </xf>
    <xf numFmtId="2" fontId="23" fillId="0" borderId="60" xfId="0" applyNumberFormat="1" applyFont="1" applyBorder="1" applyAlignment="1">
      <alignment horizontal="center" vertical="center"/>
    </xf>
    <xf numFmtId="2" fontId="23" fillId="0" borderId="74" xfId="0" applyNumberFormat="1" applyFont="1" applyBorder="1" applyAlignment="1">
      <alignment horizontal="center" vertical="center"/>
    </xf>
    <xf numFmtId="2" fontId="23" fillId="0" borderId="75" xfId="0" applyNumberFormat="1" applyFont="1" applyBorder="1" applyAlignment="1">
      <alignment horizontal="center" vertical="center"/>
    </xf>
    <xf numFmtId="2" fontId="23" fillId="0" borderId="76" xfId="0" applyNumberFormat="1" applyFont="1" applyBorder="1" applyAlignment="1">
      <alignment horizontal="center" vertical="center"/>
    </xf>
    <xf numFmtId="2" fontId="23" fillId="0" borderId="77" xfId="0" applyNumberFormat="1" applyFont="1" applyBorder="1" applyAlignment="1">
      <alignment horizontal="center" vertical="center"/>
    </xf>
    <xf numFmtId="2" fontId="23" fillId="0" borderId="78" xfId="0" applyNumberFormat="1" applyFont="1" applyBorder="1" applyAlignment="1">
      <alignment horizontal="center" vertical="center"/>
    </xf>
    <xf numFmtId="2" fontId="23" fillId="0" borderId="62" xfId="0" applyNumberFormat="1" applyFont="1" applyBorder="1" applyAlignment="1">
      <alignment horizontal="center" vertical="center"/>
    </xf>
    <xf numFmtId="2" fontId="23" fillId="0" borderId="79" xfId="0" applyNumberFormat="1" applyFont="1" applyBorder="1" applyAlignment="1">
      <alignment horizontal="center" vertical="center"/>
    </xf>
    <xf numFmtId="2" fontId="23" fillId="0" borderId="80" xfId="0" applyNumberFormat="1" applyFont="1" applyBorder="1" applyAlignment="1">
      <alignment horizontal="center" vertical="center"/>
    </xf>
    <xf numFmtId="0" fontId="23" fillId="0" borderId="81" xfId="0" applyFont="1" applyBorder="1" applyAlignment="1">
      <alignment horizontal="center" vertical="center"/>
    </xf>
    <xf numFmtId="0" fontId="23" fillId="0" borderId="65" xfId="0" applyFont="1" applyBorder="1" applyAlignment="1">
      <alignment horizontal="center" vertical="center"/>
    </xf>
    <xf numFmtId="0" fontId="23" fillId="0" borderId="82" xfId="0" applyFont="1" applyBorder="1" applyAlignment="1">
      <alignment horizontal="center" vertical="center"/>
    </xf>
    <xf numFmtId="0" fontId="23" fillId="0" borderId="83" xfId="0" applyFont="1" applyBorder="1" applyAlignment="1">
      <alignment horizontal="center" vertical="center"/>
    </xf>
    <xf numFmtId="1" fontId="1" fillId="0" borderId="2" xfId="0" applyNumberFormat="1" applyFont="1" applyBorder="1" applyAlignment="1">
      <alignment horizontal="left" vertical="center" wrapText="1"/>
    </xf>
    <xf numFmtId="9" fontId="6" fillId="0" borderId="2" xfId="2" applyFont="1" applyBorder="1" applyAlignment="1">
      <alignment horizontal="center" vertical="center"/>
    </xf>
    <xf numFmtId="9" fontId="6" fillId="0" borderId="2" xfId="2" applyFont="1" applyFill="1" applyBorder="1" applyAlignment="1">
      <alignment horizontal="center" vertical="center"/>
    </xf>
    <xf numFmtId="0" fontId="6" fillId="0" borderId="37" xfId="0" applyFont="1" applyBorder="1" applyAlignment="1">
      <alignment horizontal="center" vertical="center"/>
    </xf>
    <xf numFmtId="0" fontId="8" fillId="4" borderId="70" xfId="5" applyFill="1" applyBorder="1" applyAlignment="1">
      <alignment vertical="center" wrapText="1"/>
    </xf>
    <xf numFmtId="0" fontId="2" fillId="4" borderId="71" xfId="5" applyFont="1" applyFill="1" applyBorder="1" applyAlignment="1">
      <alignment vertical="center" wrapText="1"/>
    </xf>
    <xf numFmtId="0" fontId="8" fillId="4" borderId="71" xfId="5" applyFill="1" applyBorder="1" applyAlignment="1">
      <alignment horizontal="center" vertical="center" wrapText="1"/>
    </xf>
    <xf numFmtId="0" fontId="2" fillId="4" borderId="72" xfId="5" applyFont="1" applyFill="1" applyBorder="1" applyAlignment="1">
      <alignment horizontal="center" vertical="center" wrapText="1"/>
    </xf>
    <xf numFmtId="0" fontId="26" fillId="6" borderId="61" xfId="0" applyFont="1" applyFill="1" applyBorder="1" applyAlignment="1">
      <alignment horizontal="left" vertical="center" wrapText="1"/>
    </xf>
    <xf numFmtId="0" fontId="6" fillId="0" borderId="61" xfId="0" applyFont="1" applyBorder="1" applyAlignment="1">
      <alignment horizontal="right" vertical="center"/>
    </xf>
    <xf numFmtId="171" fontId="6" fillId="0" borderId="61" xfId="0" applyNumberFormat="1" applyFont="1" applyBorder="1" applyAlignment="1">
      <alignment vertical="center"/>
    </xf>
    <xf numFmtId="169" fontId="6" fillId="0" borderId="61" xfId="6" applyNumberFormat="1" applyFont="1" applyBorder="1" applyAlignment="1">
      <alignment horizontal="right" vertical="center" wrapText="1"/>
    </xf>
    <xf numFmtId="169" fontId="6" fillId="0" borderId="61" xfId="6" applyNumberFormat="1" applyFont="1" applyBorder="1" applyAlignment="1">
      <alignment horizontal="right" vertical="center"/>
    </xf>
    <xf numFmtId="171" fontId="1" fillId="0" borderId="61" xfId="0" applyNumberFormat="1" applyFont="1" applyBorder="1" applyAlignment="1">
      <alignment vertical="center"/>
    </xf>
    <xf numFmtId="171" fontId="1" fillId="7" borderId="61" xfId="0" applyNumberFormat="1" applyFont="1" applyFill="1" applyBorder="1" applyAlignment="1">
      <alignment vertical="center"/>
    </xf>
    <xf numFmtId="1" fontId="6" fillId="0" borderId="61" xfId="0" applyNumberFormat="1" applyFont="1" applyBorder="1" applyAlignment="1">
      <alignment horizontal="center" vertical="center"/>
    </xf>
    <xf numFmtId="164" fontId="6" fillId="0" borderId="0" xfId="0" applyNumberFormat="1" applyFont="1" applyAlignment="1">
      <alignment horizontal="center"/>
    </xf>
    <xf numFmtId="2" fontId="6" fillId="0" borderId="0" xfId="2" applyNumberFormat="1" applyFont="1" applyAlignment="1">
      <alignment horizontal="center"/>
    </xf>
    <xf numFmtId="9" fontId="6" fillId="0" borderId="0" xfId="2" applyFont="1" applyAlignment="1">
      <alignment horizontal="center" vertical="top" wrapText="1"/>
    </xf>
    <xf numFmtId="1" fontId="6" fillId="0" borderId="0" xfId="0" applyNumberFormat="1" applyFont="1" applyAlignment="1">
      <alignment horizontal="center" vertical="top" wrapText="1"/>
    </xf>
    <xf numFmtId="1" fontId="6" fillId="4" borderId="61" xfId="0" applyNumberFormat="1" applyFont="1" applyFill="1" applyBorder="1" applyAlignment="1">
      <alignment vertical="center" wrapText="1"/>
    </xf>
    <xf numFmtId="0" fontId="7" fillId="6" borderId="2" xfId="0" applyFont="1" applyFill="1" applyBorder="1" applyAlignment="1">
      <alignment horizontal="center" vertical="center" wrapText="1"/>
    </xf>
    <xf numFmtId="43" fontId="6" fillId="0" borderId="61" xfId="0" applyNumberFormat="1" applyFont="1" applyBorder="1"/>
    <xf numFmtId="2" fontId="6" fillId="0" borderId="61" xfId="0" applyNumberFormat="1" applyFont="1" applyBorder="1"/>
    <xf numFmtId="43" fontId="6" fillId="0" borderId="61" xfId="6" applyFont="1" applyBorder="1" applyAlignment="1">
      <alignment horizontal="left" vertical="center"/>
    </xf>
    <xf numFmtId="0" fontId="6" fillId="0" borderId="36" xfId="0" quotePrefix="1" applyFont="1" applyBorder="1" applyAlignment="1">
      <alignment horizontal="center" vertical="center" wrapText="1"/>
    </xf>
    <xf numFmtId="170" fontId="6" fillId="0" borderId="61" xfId="0" applyNumberFormat="1" applyFont="1" applyBorder="1"/>
    <xf numFmtId="4" fontId="6" fillId="0" borderId="2" xfId="7" applyNumberFormat="1" applyFont="1" applyBorder="1" applyAlignment="1">
      <alignment horizontal="center" vertical="center"/>
    </xf>
    <xf numFmtId="0" fontId="23" fillId="0" borderId="2" xfId="0" applyFont="1" applyBorder="1" applyAlignment="1">
      <alignment horizontal="center" vertical="center"/>
    </xf>
    <xf numFmtId="0" fontId="23" fillId="0" borderId="1" xfId="0" applyFont="1" applyBorder="1" applyAlignment="1">
      <alignment horizontal="center" vertical="center"/>
    </xf>
    <xf numFmtId="0" fontId="23" fillId="0" borderId="5" xfId="0" applyFont="1" applyBorder="1" applyAlignment="1">
      <alignment horizontal="center" vertical="center"/>
    </xf>
    <xf numFmtId="0" fontId="23" fillId="0" borderId="7" xfId="0" applyFont="1" applyBorder="1" applyAlignment="1">
      <alignment horizontal="center" vertical="center"/>
    </xf>
    <xf numFmtId="0" fontId="23" fillId="0" borderId="37" xfId="0" applyFont="1" applyBorder="1" applyAlignment="1">
      <alignment horizontal="center" vertical="center"/>
    </xf>
    <xf numFmtId="0" fontId="23" fillId="0" borderId="92" xfId="0" applyFont="1" applyBorder="1" applyAlignment="1">
      <alignment horizontal="center" vertical="center"/>
    </xf>
    <xf numFmtId="0" fontId="23" fillId="0" borderId="21" xfId="0" applyFont="1" applyBorder="1" applyAlignment="1">
      <alignment horizontal="center" vertical="center"/>
    </xf>
    <xf numFmtId="0" fontId="23" fillId="0" borderId="28" xfId="0" applyFont="1" applyBorder="1" applyAlignment="1">
      <alignment horizontal="center" vertical="center"/>
    </xf>
    <xf numFmtId="3" fontId="6" fillId="0" borderId="2" xfId="7" applyNumberFormat="1" applyFont="1" applyBorder="1" applyAlignment="1">
      <alignment horizontal="left" vertical="center"/>
    </xf>
    <xf numFmtId="1" fontId="23" fillId="0" borderId="74" xfId="0" applyNumberFormat="1" applyFont="1" applyBorder="1" applyAlignment="1">
      <alignment horizontal="center" vertical="center"/>
    </xf>
    <xf numFmtId="1" fontId="23" fillId="0" borderId="61" xfId="0" applyNumberFormat="1" applyFont="1" applyBorder="1" applyAlignment="1">
      <alignment horizontal="center" vertical="center"/>
    </xf>
    <xf numFmtId="1" fontId="23" fillId="0" borderId="77" xfId="0" applyNumberFormat="1" applyFont="1" applyBorder="1" applyAlignment="1">
      <alignment horizontal="center" vertical="center"/>
    </xf>
    <xf numFmtId="1" fontId="23" fillId="0" borderId="75" xfId="0" applyNumberFormat="1" applyFont="1" applyBorder="1" applyAlignment="1">
      <alignment horizontal="center" vertical="center"/>
    </xf>
    <xf numFmtId="1" fontId="23" fillId="0" borderId="76" xfId="0" applyNumberFormat="1" applyFont="1" applyBorder="1" applyAlignment="1">
      <alignment horizontal="center" vertical="center"/>
    </xf>
    <xf numFmtId="1" fontId="23" fillId="0" borderId="78" xfId="0" applyNumberFormat="1" applyFont="1" applyBorder="1" applyAlignment="1">
      <alignment horizontal="center" vertical="center"/>
    </xf>
    <xf numFmtId="0" fontId="8" fillId="0" borderId="0" xfId="5" applyAlignment="1">
      <alignment horizontal="left"/>
    </xf>
    <xf numFmtId="0" fontId="23" fillId="0" borderId="23" xfId="0" applyFont="1" applyBorder="1" applyAlignment="1">
      <alignment horizontal="center" vertical="center"/>
    </xf>
    <xf numFmtId="0" fontId="23" fillId="0" borderId="12" xfId="0" applyFont="1" applyBorder="1" applyAlignment="1">
      <alignment horizontal="center" vertical="center"/>
    </xf>
    <xf numFmtId="0" fontId="23" fillId="0" borderId="96" xfId="0" applyFont="1" applyBorder="1" applyAlignment="1">
      <alignment horizontal="center" vertical="center"/>
    </xf>
    <xf numFmtId="0" fontId="23" fillId="0" borderId="100" xfId="0" applyFont="1" applyBorder="1" applyAlignment="1">
      <alignment horizontal="center" vertical="center"/>
    </xf>
    <xf numFmtId="0" fontId="23" fillId="0" borderId="101" xfId="0" applyFont="1" applyBorder="1" applyAlignment="1">
      <alignment horizontal="center" vertical="center"/>
    </xf>
    <xf numFmtId="0" fontId="23" fillId="0" borderId="106" xfId="0" applyFont="1" applyBorder="1" applyAlignment="1">
      <alignment horizontal="center" vertical="center"/>
    </xf>
    <xf numFmtId="0" fontId="23" fillId="0" borderId="13" xfId="0" applyFont="1" applyBorder="1" applyAlignment="1">
      <alignment horizontal="center" vertical="center"/>
    </xf>
    <xf numFmtId="0" fontId="23" fillId="0" borderId="107" xfId="0" applyFont="1" applyBorder="1" applyAlignment="1">
      <alignment horizontal="center" vertical="center"/>
    </xf>
    <xf numFmtId="0" fontId="23" fillId="0" borderId="64" xfId="0" applyFont="1" applyBorder="1" applyAlignment="1">
      <alignment horizontal="center" vertical="center"/>
    </xf>
    <xf numFmtId="0" fontId="23" fillId="0" borderId="108" xfId="0" applyFont="1" applyBorder="1" applyAlignment="1">
      <alignment horizontal="center" vertical="center"/>
    </xf>
    <xf numFmtId="1" fontId="23" fillId="0" borderId="60" xfId="0" applyNumberFormat="1" applyFont="1" applyBorder="1" applyAlignment="1">
      <alignment horizontal="center" vertical="center"/>
    </xf>
    <xf numFmtId="1" fontId="23" fillId="0" borderId="80" xfId="0" applyNumberFormat="1" applyFont="1" applyBorder="1" applyAlignment="1">
      <alignment horizontal="center" vertical="center"/>
    </xf>
    <xf numFmtId="0" fontId="23" fillId="0" borderId="152" xfId="0" applyFont="1" applyBorder="1" applyAlignment="1">
      <alignment horizontal="center" vertical="center"/>
    </xf>
    <xf numFmtId="2" fontId="23" fillId="0" borderId="88" xfId="0" applyNumberFormat="1" applyFont="1" applyBorder="1" applyAlignment="1">
      <alignment horizontal="center" vertical="center"/>
    </xf>
    <xf numFmtId="2" fontId="23" fillId="0" borderId="97" xfId="0" applyNumberFormat="1" applyFont="1" applyBorder="1" applyAlignment="1">
      <alignment horizontal="center" vertical="center"/>
    </xf>
    <xf numFmtId="2" fontId="23" fillId="0" borderId="98" xfId="0" applyNumberFormat="1" applyFont="1" applyBorder="1" applyAlignment="1">
      <alignment horizontal="center" vertical="center"/>
    </xf>
    <xf numFmtId="0" fontId="23" fillId="0" borderId="153" xfId="0" applyFont="1" applyBorder="1" applyAlignment="1">
      <alignment horizontal="center" vertical="center"/>
    </xf>
    <xf numFmtId="2" fontId="23" fillId="0" borderId="91" xfId="0" applyNumberFormat="1" applyFont="1" applyBorder="1" applyAlignment="1">
      <alignment horizontal="center" vertical="center"/>
    </xf>
    <xf numFmtId="2" fontId="23" fillId="0" borderId="99" xfId="0" applyNumberFormat="1" applyFont="1" applyBorder="1" applyAlignment="1">
      <alignment horizontal="center" vertical="center"/>
    </xf>
    <xf numFmtId="2" fontId="23" fillId="0" borderId="1" xfId="0" applyNumberFormat="1" applyFont="1" applyBorder="1" applyAlignment="1">
      <alignment horizontal="center" vertical="center"/>
    </xf>
    <xf numFmtId="2" fontId="23" fillId="0" borderId="5" xfId="0" applyNumberFormat="1" applyFont="1" applyBorder="1" applyAlignment="1">
      <alignment horizontal="center" vertical="center"/>
    </xf>
    <xf numFmtId="2" fontId="23" fillId="0" borderId="2" xfId="0" applyNumberFormat="1" applyFont="1" applyBorder="1" applyAlignment="1">
      <alignment horizontal="center" vertical="center"/>
    </xf>
    <xf numFmtId="2" fontId="23" fillId="0" borderId="7" xfId="0" applyNumberFormat="1" applyFont="1" applyBorder="1" applyAlignment="1">
      <alignment horizontal="center" vertical="center"/>
    </xf>
    <xf numFmtId="0" fontId="23" fillId="0" borderId="17" xfId="0" applyFont="1" applyBorder="1" applyAlignment="1">
      <alignment horizontal="center" vertical="center"/>
    </xf>
    <xf numFmtId="2" fontId="23" fillId="0" borderId="14" xfId="0" applyNumberFormat="1" applyFont="1" applyBorder="1" applyAlignment="1">
      <alignment horizontal="center" vertical="center"/>
    </xf>
    <xf numFmtId="2" fontId="23" fillId="0" borderId="154" xfId="0" applyNumberFormat="1" applyFont="1" applyBorder="1" applyAlignment="1">
      <alignment horizontal="center" vertical="center"/>
    </xf>
    <xf numFmtId="2" fontId="37" fillId="0" borderId="155" xfId="0" applyNumberFormat="1" applyFont="1" applyBorder="1" applyAlignment="1">
      <alignment horizontal="center" vertical="center"/>
    </xf>
    <xf numFmtId="2" fontId="37" fillId="0" borderId="156" xfId="0" applyNumberFormat="1" applyFont="1" applyBorder="1" applyAlignment="1">
      <alignment horizontal="center" vertical="center"/>
    </xf>
    <xf numFmtId="2" fontId="37" fillId="0" borderId="69" xfId="0" applyNumberFormat="1" applyFont="1" applyBorder="1" applyAlignment="1">
      <alignment horizontal="center" vertical="center"/>
    </xf>
    <xf numFmtId="2" fontId="37" fillId="0" borderId="157" xfId="0" applyNumberFormat="1" applyFont="1" applyBorder="1" applyAlignment="1">
      <alignment horizontal="center" vertical="center"/>
    </xf>
    <xf numFmtId="2" fontId="37" fillId="0" borderId="158" xfId="0" applyNumberFormat="1" applyFont="1" applyBorder="1" applyAlignment="1">
      <alignment horizontal="center" vertical="center"/>
    </xf>
    <xf numFmtId="2" fontId="37" fillId="0" borderId="159" xfId="0" applyNumberFormat="1" applyFont="1" applyBorder="1" applyAlignment="1">
      <alignment horizontal="center" vertical="center"/>
    </xf>
    <xf numFmtId="2" fontId="23" fillId="0" borderId="37" xfId="0" applyNumberFormat="1" applyFont="1" applyBorder="1" applyAlignment="1">
      <alignment horizontal="center" vertical="center"/>
    </xf>
    <xf numFmtId="2" fontId="23" fillId="0" borderId="92" xfId="0" applyNumberFormat="1" applyFont="1" applyBorder="1" applyAlignment="1">
      <alignment horizontal="center" vertical="center"/>
    </xf>
    <xf numFmtId="2" fontId="23" fillId="0" borderId="21" xfId="0" applyNumberFormat="1" applyFont="1" applyBorder="1" applyAlignment="1">
      <alignment horizontal="center" vertical="center"/>
    </xf>
    <xf numFmtId="2" fontId="23" fillId="0" borderId="28" xfId="0" applyNumberFormat="1" applyFont="1" applyBorder="1" applyAlignment="1">
      <alignment horizontal="center" vertical="center"/>
    </xf>
    <xf numFmtId="2" fontId="37" fillId="0" borderId="14" xfId="0" applyNumberFormat="1" applyFont="1" applyBorder="1" applyAlignment="1">
      <alignment horizontal="center" vertical="center"/>
    </xf>
    <xf numFmtId="2" fontId="37" fillId="0" borderId="2" xfId="0" applyNumberFormat="1" applyFont="1" applyBorder="1" applyAlignment="1">
      <alignment horizontal="center" vertical="center"/>
    </xf>
    <xf numFmtId="0" fontId="23" fillId="0" borderId="162" xfId="0" applyFont="1" applyBorder="1" applyAlignment="1">
      <alignment horizontal="center" vertical="center"/>
    </xf>
    <xf numFmtId="0" fontId="23" fillId="0" borderId="163" xfId="0" applyFont="1" applyBorder="1" applyAlignment="1">
      <alignment horizontal="center" vertical="center"/>
    </xf>
    <xf numFmtId="1" fontId="23" fillId="0" borderId="88" xfId="0" applyNumberFormat="1" applyFont="1" applyBorder="1" applyAlignment="1">
      <alignment horizontal="center" vertical="center"/>
    </xf>
    <xf numFmtId="1" fontId="23" fillId="0" borderId="97" xfId="0" applyNumberFormat="1" applyFont="1" applyBorder="1" applyAlignment="1">
      <alignment horizontal="center" vertical="center"/>
    </xf>
    <xf numFmtId="1" fontId="23" fillId="0" borderId="98" xfId="0" applyNumberFormat="1" applyFont="1" applyBorder="1" applyAlignment="1">
      <alignment horizontal="center" vertical="center"/>
    </xf>
    <xf numFmtId="1" fontId="23" fillId="0" borderId="91" xfId="0" applyNumberFormat="1" applyFont="1" applyBorder="1" applyAlignment="1">
      <alignment horizontal="center" vertical="center"/>
    </xf>
    <xf numFmtId="1" fontId="23" fillId="0" borderId="99" xfId="0" applyNumberFormat="1" applyFont="1" applyBorder="1" applyAlignment="1">
      <alignment horizontal="center" vertical="center"/>
    </xf>
    <xf numFmtId="1" fontId="23" fillId="0" borderId="105" xfId="0" applyNumberFormat="1" applyFont="1" applyBorder="1" applyAlignment="1">
      <alignment horizontal="center" vertical="center"/>
    </xf>
    <xf numFmtId="1" fontId="23" fillId="0" borderId="104" xfId="0" applyNumberFormat="1" applyFont="1" applyBorder="1" applyAlignment="1">
      <alignment horizontal="center" vertical="center"/>
    </xf>
    <xf numFmtId="0" fontId="23" fillId="0" borderId="164" xfId="0" applyFont="1" applyBorder="1" applyAlignment="1">
      <alignment horizontal="center" vertical="center"/>
    </xf>
    <xf numFmtId="0" fontId="23" fillId="0" borderId="97" xfId="0" applyFont="1" applyBorder="1" applyAlignment="1">
      <alignment horizontal="center" vertical="center"/>
    </xf>
    <xf numFmtId="0" fontId="23" fillId="0" borderId="98" xfId="0" applyFont="1" applyBorder="1" applyAlignment="1">
      <alignment horizontal="center" vertical="center"/>
    </xf>
    <xf numFmtId="0" fontId="23" fillId="0" borderId="104" xfId="0" applyFont="1" applyBorder="1" applyAlignment="1">
      <alignment horizontal="center" vertical="center"/>
    </xf>
    <xf numFmtId="0" fontId="23" fillId="0" borderId="105" xfId="0" applyFont="1" applyBorder="1" applyAlignment="1">
      <alignment horizontal="center" vertical="center"/>
    </xf>
    <xf numFmtId="0" fontId="23" fillId="0" borderId="99" xfId="0" applyFont="1" applyBorder="1" applyAlignment="1">
      <alignment horizontal="center" vertical="center"/>
    </xf>
    <xf numFmtId="2" fontId="1" fillId="5" borderId="36" xfId="0" applyNumberFormat="1" applyFont="1" applyFill="1" applyBorder="1" applyAlignment="1">
      <alignment horizontal="center" vertical="center"/>
    </xf>
    <xf numFmtId="0" fontId="23" fillId="0" borderId="0" xfId="0" applyFont="1" applyAlignment="1">
      <alignment vertical="center"/>
    </xf>
    <xf numFmtId="0" fontId="26" fillId="6" borderId="2" xfId="0" applyFont="1" applyFill="1" applyBorder="1" applyAlignment="1">
      <alignment horizontal="center" vertical="center"/>
    </xf>
    <xf numFmtId="0" fontId="6" fillId="0" borderId="2" xfId="4" applyBorder="1" applyAlignment="1">
      <alignment horizontal="center" vertical="center"/>
    </xf>
    <xf numFmtId="165" fontId="24" fillId="0" borderId="2" xfId="0" applyNumberFormat="1" applyFont="1" applyBorder="1" applyAlignment="1">
      <alignment horizontal="center" vertical="center"/>
    </xf>
    <xf numFmtId="0" fontId="18" fillId="13" borderId="2" xfId="0" applyFont="1" applyFill="1" applyBorder="1" applyAlignment="1">
      <alignment horizontal="center" vertical="center" wrapText="1"/>
    </xf>
    <xf numFmtId="169" fontId="6" fillId="0" borderId="2" xfId="6" applyNumberFormat="1" applyFont="1" applyBorder="1" applyAlignment="1">
      <alignment horizontal="center" vertical="center"/>
    </xf>
    <xf numFmtId="0" fontId="26" fillId="6" borderId="2" xfId="0" applyFont="1" applyFill="1" applyBorder="1" applyAlignment="1">
      <alignment horizontal="center" vertical="center" wrapText="1"/>
    </xf>
    <xf numFmtId="0" fontId="18" fillId="0" borderId="2" xfId="0" applyFont="1" applyBorder="1" applyAlignment="1">
      <alignment horizontal="center" vertical="center" wrapText="1"/>
    </xf>
    <xf numFmtId="168" fontId="6" fillId="0" borderId="2" xfId="0" applyNumberFormat="1" applyFont="1" applyBorder="1"/>
    <xf numFmtId="166" fontId="6" fillId="0" borderId="2" xfId="7" applyNumberFormat="1" applyFont="1" applyBorder="1" applyAlignment="1">
      <alignment horizontal="center" vertical="center"/>
    </xf>
    <xf numFmtId="9" fontId="9" fillId="0" borderId="2" xfId="3" applyNumberFormat="1" applyFont="1" applyFill="1" applyBorder="1" applyAlignment="1">
      <alignment horizontal="center" vertical="top" wrapText="1"/>
    </xf>
    <xf numFmtId="1" fontId="1" fillId="0" borderId="2" xfId="7" applyNumberFormat="1" applyFont="1" applyBorder="1" applyAlignment="1">
      <alignment horizontal="center" vertical="center"/>
    </xf>
    <xf numFmtId="0" fontId="15" fillId="0" borderId="0" xfId="0" applyFont="1" applyAlignment="1">
      <alignment vertical="center" wrapText="1"/>
    </xf>
    <xf numFmtId="0" fontId="26" fillId="13" borderId="14" xfId="0" applyFont="1" applyFill="1" applyBorder="1" applyAlignment="1">
      <alignment vertical="center"/>
    </xf>
    <xf numFmtId="0" fontId="6" fillId="0" borderId="36" xfId="0" applyFont="1" applyBorder="1"/>
    <xf numFmtId="0" fontId="24" fillId="0" borderId="165" xfId="0" applyFont="1" applyBorder="1" applyAlignment="1">
      <alignment horizontal="center" vertical="center"/>
    </xf>
    <xf numFmtId="9" fontId="24" fillId="0" borderId="165" xfId="0" applyNumberFormat="1" applyFont="1" applyBorder="1" applyAlignment="1">
      <alignment horizontal="center" vertical="center"/>
    </xf>
    <xf numFmtId="9" fontId="24" fillId="0" borderId="165" xfId="0" applyNumberFormat="1" applyFont="1" applyBorder="1" applyAlignment="1">
      <alignment horizontal="center"/>
    </xf>
    <xf numFmtId="0" fontId="39" fillId="0" borderId="169" xfId="0" applyFont="1" applyBorder="1" applyAlignment="1">
      <alignment horizontal="center" vertical="center" wrapText="1"/>
    </xf>
    <xf numFmtId="0" fontId="39" fillId="0" borderId="170" xfId="0" applyFont="1" applyBorder="1" applyAlignment="1">
      <alignment horizontal="center" vertical="center" wrapText="1"/>
    </xf>
    <xf numFmtId="0" fontId="40" fillId="0" borderId="169" xfId="0" applyFont="1" applyBorder="1" applyAlignment="1">
      <alignment horizontal="center" vertical="center" wrapText="1"/>
    </xf>
    <xf numFmtId="0" fontId="39" fillId="14" borderId="169" xfId="0" applyFont="1" applyFill="1" applyBorder="1" applyAlignment="1">
      <alignment horizontal="center" vertical="center" wrapText="1"/>
    </xf>
    <xf numFmtId="0" fontId="39" fillId="14" borderId="170" xfId="0" applyFont="1" applyFill="1" applyBorder="1" applyAlignment="1">
      <alignment horizontal="center" vertical="center" wrapText="1"/>
    </xf>
    <xf numFmtId="0" fontId="39" fillId="15" borderId="169" xfId="0" applyFont="1" applyFill="1" applyBorder="1" applyAlignment="1">
      <alignment horizontal="center" vertical="center" wrapText="1"/>
    </xf>
    <xf numFmtId="0" fontId="39" fillId="15" borderId="170" xfId="0" applyFont="1" applyFill="1" applyBorder="1" applyAlignment="1">
      <alignment horizontal="center" vertical="center" wrapText="1"/>
    </xf>
    <xf numFmtId="0" fontId="39" fillId="16" borderId="169" xfId="0" applyFont="1" applyFill="1" applyBorder="1" applyAlignment="1">
      <alignment horizontal="center" vertical="center" wrapText="1"/>
    </xf>
    <xf numFmtId="0" fontId="39" fillId="16" borderId="170" xfId="0" applyFont="1" applyFill="1" applyBorder="1" applyAlignment="1">
      <alignment horizontal="center" vertical="center" wrapText="1"/>
    </xf>
    <xf numFmtId="0" fontId="33" fillId="0" borderId="0" xfId="0" applyFont="1" applyAlignment="1">
      <alignment vertical="center"/>
    </xf>
    <xf numFmtId="0" fontId="42" fillId="0" borderId="0" xfId="0" applyFont="1" applyAlignment="1">
      <alignment horizontal="center" vertical="center"/>
    </xf>
    <xf numFmtId="1" fontId="23" fillId="0" borderId="0" xfId="0" applyNumberFormat="1" applyFont="1" applyAlignment="1">
      <alignment horizontal="center" vertical="center"/>
    </xf>
    <xf numFmtId="0" fontId="40" fillId="0" borderId="0" xfId="0" applyFont="1" applyAlignment="1">
      <alignment horizontal="center" vertical="center" wrapText="1"/>
    </xf>
    <xf numFmtId="0" fontId="39" fillId="16" borderId="0" xfId="0" applyFont="1" applyFill="1" applyAlignment="1">
      <alignment horizontal="center" vertical="center" wrapText="1"/>
    </xf>
    <xf numFmtId="0" fontId="39" fillId="0" borderId="0" xfId="0" applyFont="1" applyAlignment="1">
      <alignment horizontal="center" vertical="center" wrapText="1"/>
    </xf>
    <xf numFmtId="0" fontId="24" fillId="0" borderId="174" xfId="0" applyFont="1" applyBorder="1"/>
    <xf numFmtId="0" fontId="39" fillId="14" borderId="0" xfId="0" applyFont="1" applyFill="1" applyAlignment="1">
      <alignment horizontal="center" vertical="center" wrapText="1"/>
    </xf>
    <xf numFmtId="0" fontId="39" fillId="15" borderId="0" xfId="0" applyFont="1" applyFill="1" applyAlignment="1">
      <alignment horizontal="center" vertical="center" wrapText="1"/>
    </xf>
    <xf numFmtId="0" fontId="1" fillId="0" borderId="175" xfId="0" applyFont="1" applyBorder="1" applyAlignment="1">
      <alignment wrapText="1"/>
    </xf>
    <xf numFmtId="0" fontId="1" fillId="0" borderId="176" xfId="0" applyFont="1" applyBorder="1" applyAlignment="1">
      <alignment wrapText="1"/>
    </xf>
    <xf numFmtId="0" fontId="1" fillId="0" borderId="177" xfId="0" applyFont="1" applyBorder="1" applyAlignment="1">
      <alignment wrapText="1"/>
    </xf>
    <xf numFmtId="0" fontId="26" fillId="13" borderId="181" xfId="0" applyFont="1" applyFill="1" applyBorder="1" applyAlignment="1">
      <alignment wrapText="1"/>
    </xf>
    <xf numFmtId="0" fontId="26" fillId="13" borderId="182" xfId="0" applyFont="1" applyFill="1" applyBorder="1" applyAlignment="1">
      <alignment wrapText="1"/>
    </xf>
    <xf numFmtId="0" fontId="45" fillId="0" borderId="0" xfId="5" applyFont="1" applyAlignment="1">
      <alignment horizontal="left"/>
    </xf>
    <xf numFmtId="0" fontId="18" fillId="0" borderId="0" xfId="0" applyFont="1" applyAlignment="1">
      <alignment wrapText="1"/>
    </xf>
    <xf numFmtId="2" fontId="6" fillId="0" borderId="2" xfId="0" applyNumberFormat="1" applyFont="1" applyBorder="1" applyAlignment="1">
      <alignment horizontal="center" vertical="center" wrapText="1"/>
    </xf>
    <xf numFmtId="0" fontId="24" fillId="0" borderId="184" xfId="0" applyFont="1" applyBorder="1"/>
    <xf numFmtId="169" fontId="6" fillId="0" borderId="68" xfId="0" applyNumberFormat="1" applyFont="1" applyBorder="1"/>
    <xf numFmtId="43" fontId="6" fillId="0" borderId="68" xfId="0" applyNumberFormat="1" applyFont="1" applyBorder="1"/>
    <xf numFmtId="43" fontId="7" fillId="0" borderId="2" xfId="6" applyFont="1" applyBorder="1" applyAlignment="1">
      <alignment horizontal="center" vertical="center"/>
    </xf>
    <xf numFmtId="43" fontId="6" fillId="0" borderId="2" xfId="6" applyFont="1" applyBorder="1" applyAlignment="1">
      <alignment horizontal="center" vertical="center"/>
    </xf>
    <xf numFmtId="0" fontId="6" fillId="0" borderId="0" xfId="13" applyFont="1"/>
    <xf numFmtId="0" fontId="24" fillId="0" borderId="0" xfId="13" applyFont="1" applyAlignment="1">
      <alignment vertical="center" wrapText="1"/>
    </xf>
    <xf numFmtId="165" fontId="24" fillId="0" borderId="0" xfId="13" applyNumberFormat="1" applyFont="1" applyAlignment="1">
      <alignment horizontal="left" vertical="center" wrapText="1"/>
    </xf>
    <xf numFmtId="0" fontId="24" fillId="0" borderId="0" xfId="13" applyFont="1" applyAlignment="1">
      <alignment vertical="center"/>
    </xf>
    <xf numFmtId="0" fontId="40" fillId="0" borderId="0" xfId="13" applyFont="1" applyAlignment="1">
      <alignment vertical="center" wrapText="1"/>
    </xf>
    <xf numFmtId="167" fontId="24" fillId="0" borderId="0" xfId="13" applyNumberFormat="1" applyFont="1" applyAlignment="1">
      <alignment horizontal="left" vertical="center" wrapText="1"/>
    </xf>
    <xf numFmtId="0" fontId="40" fillId="0" borderId="0" xfId="13" applyFont="1" applyAlignment="1">
      <alignment vertical="center"/>
    </xf>
    <xf numFmtId="0" fontId="24" fillId="0" borderId="0" xfId="13" applyFont="1" applyAlignment="1">
      <alignment horizontal="left" vertical="center" wrapText="1"/>
    </xf>
    <xf numFmtId="172" fontId="24" fillId="0" borderId="0" xfId="13" applyNumberFormat="1" applyFont="1" applyAlignment="1">
      <alignment horizontal="left" vertical="center" wrapText="1"/>
    </xf>
    <xf numFmtId="0" fontId="6" fillId="0" borderId="0" xfId="13" applyFont="1" applyAlignment="1">
      <alignment horizontal="left"/>
    </xf>
    <xf numFmtId="0" fontId="44" fillId="0" borderId="0" xfId="13"/>
    <xf numFmtId="0" fontId="8" fillId="0" borderId="0" xfId="5" applyAlignment="1">
      <alignment horizontal="left" vertical="top"/>
    </xf>
    <xf numFmtId="0" fontId="6" fillId="0" borderId="0" xfId="13" applyFont="1" applyAlignment="1">
      <alignment wrapText="1"/>
    </xf>
    <xf numFmtId="0" fontId="6" fillId="7" borderId="20" xfId="13" applyFont="1" applyFill="1" applyBorder="1" applyAlignment="1">
      <alignment horizontal="left" vertical="center"/>
    </xf>
    <xf numFmtId="0" fontId="44" fillId="0" borderId="0" xfId="13" applyAlignment="1">
      <alignment horizontal="left" vertical="center"/>
    </xf>
    <xf numFmtId="0" fontId="6" fillId="0" borderId="0" xfId="13" applyFont="1" applyAlignment="1">
      <alignment horizontal="left" vertical="center"/>
    </xf>
    <xf numFmtId="0" fontId="6" fillId="7" borderId="24" xfId="13" applyFont="1" applyFill="1" applyBorder="1" applyAlignment="1">
      <alignment horizontal="left" vertical="center"/>
    </xf>
    <xf numFmtId="0" fontId="18" fillId="6" borderId="192" xfId="0" applyFont="1" applyFill="1" applyBorder="1" applyAlignment="1">
      <alignment horizontal="center" vertical="center" wrapText="1"/>
    </xf>
    <xf numFmtId="1" fontId="9" fillId="0" borderId="193" xfId="3" applyNumberFormat="1" applyFont="1" applyBorder="1" applyAlignment="1">
      <alignment horizontal="left" vertical="center" wrapText="1"/>
    </xf>
    <xf numFmtId="0" fontId="47" fillId="18" borderId="36" xfId="0" applyFont="1" applyFill="1" applyBorder="1" applyAlignment="1">
      <alignment horizontal="center" vertical="center" wrapText="1"/>
    </xf>
    <xf numFmtId="1" fontId="48" fillId="0" borderId="36" xfId="0" applyNumberFormat="1" applyFont="1" applyBorder="1" applyAlignment="1">
      <alignment horizontal="center" vertical="center" wrapText="1"/>
    </xf>
    <xf numFmtId="2" fontId="48" fillId="0" borderId="36" xfId="0" applyNumberFormat="1" applyFont="1" applyBorder="1" applyAlignment="1">
      <alignment horizontal="center" vertical="center" wrapText="1"/>
    </xf>
    <xf numFmtId="0" fontId="40" fillId="0" borderId="170" xfId="0" applyFont="1" applyBorder="1" applyAlignment="1">
      <alignment horizontal="center" vertical="center" wrapText="1"/>
    </xf>
    <xf numFmtId="2" fontId="40" fillId="0" borderId="0" xfId="0" applyNumberFormat="1" applyFont="1" applyAlignment="1">
      <alignment horizontal="center" vertical="center" wrapText="1"/>
    </xf>
    <xf numFmtId="2" fontId="40" fillId="0" borderId="170" xfId="0" applyNumberFormat="1" applyFont="1" applyBorder="1" applyAlignment="1">
      <alignment horizontal="center" vertical="center" wrapText="1"/>
    </xf>
    <xf numFmtId="0" fontId="40" fillId="0" borderId="171" xfId="0" applyFont="1" applyBorder="1" applyAlignment="1">
      <alignment horizontal="center" vertical="center" wrapText="1"/>
    </xf>
    <xf numFmtId="0" fontId="40" fillId="0" borderId="172" xfId="0" applyFont="1" applyBorder="1" applyAlignment="1">
      <alignment horizontal="center" vertical="center" wrapText="1"/>
    </xf>
    <xf numFmtId="0" fontId="40" fillId="0" borderId="173" xfId="0" applyFont="1" applyBorder="1" applyAlignment="1">
      <alignment horizontal="center" vertical="center" wrapText="1"/>
    </xf>
    <xf numFmtId="165" fontId="38" fillId="0" borderId="61" xfId="0" applyNumberFormat="1" applyFont="1" applyBorder="1" applyAlignment="1">
      <alignment horizontal="center" vertical="center"/>
    </xf>
    <xf numFmtId="1" fontId="38" fillId="0" borderId="61" xfId="2" applyNumberFormat="1" applyFont="1" applyFill="1" applyBorder="1" applyAlignment="1">
      <alignment horizontal="center" vertical="center"/>
    </xf>
    <xf numFmtId="0" fontId="38" fillId="0" borderId="61" xfId="0" applyFont="1" applyBorder="1" applyAlignment="1">
      <alignment horizontal="center" vertical="center" wrapText="1"/>
    </xf>
    <xf numFmtId="0" fontId="24" fillId="0" borderId="0" xfId="0" applyFont="1" applyAlignment="1">
      <alignment horizontal="left"/>
    </xf>
    <xf numFmtId="0" fontId="6" fillId="0" borderId="14" xfId="0" applyFont="1" applyBorder="1" applyAlignment="1">
      <alignment horizontal="center" vertical="center"/>
    </xf>
    <xf numFmtId="0" fontId="46" fillId="5" borderId="190" xfId="13" applyFont="1" applyFill="1" applyBorder="1" applyAlignment="1">
      <alignment vertical="center" wrapText="1"/>
    </xf>
    <xf numFmtId="0" fontId="31" fillId="7" borderId="16" xfId="13" applyFont="1" applyFill="1" applyBorder="1" applyAlignment="1">
      <alignment horizontal="left" vertical="center"/>
    </xf>
    <xf numFmtId="0" fontId="31" fillId="7" borderId="0" xfId="13" applyFont="1" applyFill="1" applyAlignment="1">
      <alignment horizontal="left" vertical="center"/>
    </xf>
    <xf numFmtId="0" fontId="38" fillId="7" borderId="0" xfId="13" applyFont="1" applyFill="1" applyAlignment="1">
      <alignment horizontal="left" vertical="center"/>
    </xf>
    <xf numFmtId="0" fontId="38" fillId="7" borderId="20" xfId="13" applyFont="1" applyFill="1" applyBorder="1" applyAlignment="1">
      <alignment horizontal="left" vertical="center"/>
    </xf>
    <xf numFmtId="3" fontId="38" fillId="23" borderId="0" xfId="6" applyNumberFormat="1" applyFont="1" applyFill="1" applyBorder="1" applyAlignment="1">
      <alignment horizontal="left" vertical="center"/>
    </xf>
    <xf numFmtId="3" fontId="38" fillId="0" borderId="47" xfId="13" applyNumberFormat="1" applyFont="1" applyBorder="1" applyAlignment="1">
      <alignment horizontal="center" vertical="center" wrapText="1"/>
    </xf>
    <xf numFmtId="0" fontId="18" fillId="6" borderId="2" xfId="0" applyFont="1" applyFill="1" applyBorder="1" applyAlignment="1">
      <alignment horizontal="left" vertical="center" wrapText="1"/>
    </xf>
    <xf numFmtId="2" fontId="38" fillId="21" borderId="46" xfId="13" applyNumberFormat="1" applyFont="1" applyFill="1" applyBorder="1" applyAlignment="1">
      <alignment horizontal="center" vertical="center" wrapText="1"/>
    </xf>
    <xf numFmtId="0" fontId="24" fillId="0" borderId="0" xfId="0" applyFont="1" applyAlignment="1">
      <alignment horizontal="center"/>
    </xf>
    <xf numFmtId="0" fontId="38" fillId="0" borderId="0" xfId="0" applyFont="1"/>
    <xf numFmtId="0" fontId="38" fillId="0" borderId="0" xfId="0" applyFont="1" applyAlignment="1">
      <alignment vertical="center"/>
    </xf>
    <xf numFmtId="0" fontId="8" fillId="0" borderId="0" xfId="5" applyAlignment="1">
      <alignment horizontal="left" vertical="center"/>
    </xf>
    <xf numFmtId="0" fontId="8" fillId="0" borderId="0" xfId="5"/>
    <xf numFmtId="0" fontId="24" fillId="0" borderId="0" xfId="0" applyFont="1" applyAlignment="1">
      <alignment wrapText="1"/>
    </xf>
    <xf numFmtId="0" fontId="38" fillId="0" borderId="0" xfId="0" applyFont="1" applyAlignment="1">
      <alignment vertical="center" wrapText="1"/>
    </xf>
    <xf numFmtId="0" fontId="46" fillId="13" borderId="2" xfId="0" applyFont="1" applyFill="1" applyBorder="1" applyAlignment="1">
      <alignment horizontal="center" vertical="center" wrapText="1"/>
    </xf>
    <xf numFmtId="0" fontId="38" fillId="24" borderId="36" xfId="0" applyFont="1" applyFill="1" applyBorder="1" applyAlignment="1">
      <alignment vertical="center" wrapText="1"/>
    </xf>
    <xf numFmtId="0" fontId="38" fillId="24" borderId="36" xfId="0" applyFont="1" applyFill="1" applyBorder="1" applyAlignment="1">
      <alignment horizontal="right" vertical="center" wrapText="1"/>
    </xf>
    <xf numFmtId="3" fontId="38" fillId="24" borderId="36" xfId="0" applyNumberFormat="1" applyFont="1" applyFill="1" applyBorder="1" applyAlignment="1">
      <alignment horizontal="right" vertical="center" wrapText="1"/>
    </xf>
    <xf numFmtId="9" fontId="38" fillId="24" borderId="36" xfId="0" applyNumberFormat="1" applyFont="1" applyFill="1" applyBorder="1" applyAlignment="1">
      <alignment horizontal="right" vertical="center" wrapText="1"/>
    </xf>
    <xf numFmtId="0" fontId="38" fillId="0" borderId="181" xfId="0" applyFont="1" applyBorder="1" applyAlignment="1">
      <alignment vertical="center"/>
    </xf>
    <xf numFmtId="0" fontId="6" fillId="4" borderId="199" xfId="0" applyFont="1" applyFill="1" applyBorder="1"/>
    <xf numFmtId="0" fontId="6" fillId="4" borderId="200" xfId="0" applyFont="1" applyFill="1" applyBorder="1"/>
    <xf numFmtId="0" fontId="6" fillId="4" borderId="201" xfId="0" applyFont="1" applyFill="1" applyBorder="1"/>
    <xf numFmtId="0" fontId="6" fillId="4" borderId="202" xfId="0" applyFont="1" applyFill="1" applyBorder="1"/>
    <xf numFmtId="0" fontId="0" fillId="4" borderId="0" xfId="0" applyFill="1"/>
    <xf numFmtId="0" fontId="6" fillId="4" borderId="203" xfId="0" applyFont="1" applyFill="1" applyBorder="1"/>
    <xf numFmtId="0" fontId="24" fillId="4" borderId="204" xfId="0" applyFont="1" applyFill="1" applyBorder="1"/>
    <xf numFmtId="0" fontId="24" fillId="4" borderId="205" xfId="0" applyFont="1" applyFill="1" applyBorder="1" applyAlignment="1">
      <alignment horizontal="left" wrapText="1"/>
    </xf>
    <xf numFmtId="0" fontId="24" fillId="4" borderId="206" xfId="0" applyFont="1" applyFill="1" applyBorder="1" applyAlignment="1">
      <alignment horizontal="left"/>
    </xf>
    <xf numFmtId="0" fontId="38" fillId="25" borderId="202" xfId="0" applyFont="1" applyFill="1" applyBorder="1"/>
    <xf numFmtId="0" fontId="38" fillId="25" borderId="0" xfId="0" applyFont="1" applyFill="1"/>
    <xf numFmtId="0" fontId="38" fillId="4" borderId="203" xfId="0" applyFont="1" applyFill="1" applyBorder="1"/>
    <xf numFmtId="0" fontId="24" fillId="0" borderId="14" xfId="0" applyFont="1" applyBorder="1" applyAlignment="1">
      <alignment vertical="center" wrapText="1"/>
    </xf>
    <xf numFmtId="0" fontId="24" fillId="0" borderId="13" xfId="0" applyFont="1" applyBorder="1" applyAlignment="1">
      <alignment vertical="center" wrapText="1"/>
    </xf>
    <xf numFmtId="0" fontId="38" fillId="0" borderId="17" xfId="0" applyFont="1" applyBorder="1" applyAlignment="1">
      <alignment vertical="center" wrapText="1"/>
    </xf>
    <xf numFmtId="9" fontId="38" fillId="24" borderId="36" xfId="0" applyNumberFormat="1" applyFont="1" applyFill="1" applyBorder="1" applyAlignment="1">
      <alignment horizontal="left" vertical="center" wrapText="1"/>
    </xf>
    <xf numFmtId="1" fontId="38" fillId="24" borderId="36" xfId="0" applyNumberFormat="1" applyFont="1" applyFill="1" applyBorder="1" applyAlignment="1">
      <alignment horizontal="right" vertical="center" wrapText="1"/>
    </xf>
    <xf numFmtId="0" fontId="52" fillId="0" borderId="0" xfId="0" applyFont="1"/>
    <xf numFmtId="0" fontId="18" fillId="0" borderId="0" xfId="0" applyFont="1"/>
    <xf numFmtId="0" fontId="33" fillId="0" borderId="0" xfId="0" applyFont="1"/>
    <xf numFmtId="165" fontId="9" fillId="0" borderId="2" xfId="0" applyNumberFormat="1" applyFont="1" applyBorder="1" applyAlignment="1">
      <alignment horizontal="center" vertical="center" wrapText="1"/>
    </xf>
    <xf numFmtId="0" fontId="53" fillId="0" borderId="0" xfId="0" applyFont="1" applyAlignment="1">
      <alignment vertical="center"/>
    </xf>
    <xf numFmtId="0" fontId="38" fillId="0" borderId="2" xfId="0" quotePrefix="1" applyFont="1" applyBorder="1" applyAlignment="1">
      <alignment horizontal="left" wrapText="1"/>
    </xf>
    <xf numFmtId="0" fontId="38" fillId="0" borderId="36" xfId="0" applyFont="1" applyBorder="1" applyAlignment="1">
      <alignment horizontal="center" vertical="center"/>
    </xf>
    <xf numFmtId="0" fontId="6" fillId="0" borderId="36" xfId="0" applyFont="1" applyBorder="1" applyAlignment="1">
      <alignment horizontal="center" vertical="center" wrapText="1"/>
    </xf>
    <xf numFmtId="0" fontId="38" fillId="0" borderId="2" xfId="0" applyFont="1" applyBorder="1" applyAlignment="1">
      <alignment vertical="center"/>
    </xf>
    <xf numFmtId="0" fontId="46" fillId="6" borderId="36" xfId="0" applyFont="1" applyFill="1" applyBorder="1" applyAlignment="1">
      <alignment horizontal="center" vertical="center" wrapText="1"/>
    </xf>
    <xf numFmtId="0" fontId="18" fillId="6" borderId="13" xfId="0" applyFont="1" applyFill="1" applyBorder="1" applyAlignment="1">
      <alignment horizontal="left" vertical="center"/>
    </xf>
    <xf numFmtId="1" fontId="1" fillId="0" borderId="13" xfId="0" applyNumberFormat="1" applyFont="1" applyBorder="1" applyAlignment="1">
      <alignment horizontal="left" vertical="center" wrapText="1"/>
    </xf>
    <xf numFmtId="0" fontId="6" fillId="0" borderId="61" xfId="0" applyFont="1" applyBorder="1" applyAlignment="1">
      <alignment horizontal="center" vertical="center"/>
    </xf>
    <xf numFmtId="0" fontId="6" fillId="0" borderId="31" xfId="0" applyFont="1" applyBorder="1" applyAlignment="1">
      <alignment horizontal="center" vertical="center"/>
    </xf>
    <xf numFmtId="2" fontId="38" fillId="0" borderId="2" xfId="0" applyNumberFormat="1" applyFont="1" applyBorder="1" applyAlignment="1">
      <alignment horizontal="center" vertical="center" wrapText="1"/>
    </xf>
    <xf numFmtId="0" fontId="26" fillId="6" borderId="62" xfId="0" applyFont="1" applyFill="1" applyBorder="1" applyAlignment="1">
      <alignment horizontal="center" vertical="center" wrapText="1"/>
    </xf>
    <xf numFmtId="0" fontId="24" fillId="0" borderId="36" xfId="0" applyFont="1" applyBorder="1" applyAlignment="1">
      <alignment horizontal="center" vertical="center" wrapText="1"/>
    </xf>
    <xf numFmtId="0" fontId="38" fillId="0" borderId="36" xfId="0" applyFont="1" applyBorder="1" applyAlignment="1">
      <alignment horizontal="center" vertical="center" wrapText="1"/>
    </xf>
    <xf numFmtId="0" fontId="24" fillId="26" borderId="36" xfId="0" quotePrefix="1" applyFont="1" applyFill="1" applyBorder="1" applyAlignment="1">
      <alignment horizontal="center" vertical="center" wrapText="1"/>
    </xf>
    <xf numFmtId="2" fontId="6" fillId="0" borderId="0" xfId="0" applyNumberFormat="1" applyFont="1" applyAlignment="1">
      <alignment horizontal="center" vertical="center"/>
    </xf>
    <xf numFmtId="2" fontId="6" fillId="0" borderId="0" xfId="0" applyNumberFormat="1" applyFont="1"/>
    <xf numFmtId="0" fontId="38" fillId="0" borderId="36" xfId="0" applyFont="1" applyBorder="1" applyAlignment="1">
      <alignment horizontal="center" vertical="top" wrapText="1"/>
    </xf>
    <xf numFmtId="0" fontId="24" fillId="0" borderId="2" xfId="0" applyFont="1" applyBorder="1" applyAlignment="1">
      <alignment horizontal="center" vertical="center" wrapText="1"/>
    </xf>
    <xf numFmtId="0" fontId="38" fillId="11" borderId="209" xfId="0" applyFont="1" applyFill="1" applyBorder="1" applyAlignment="1">
      <alignment horizontal="center" vertical="center"/>
    </xf>
    <xf numFmtId="0" fontId="38" fillId="11" borderId="210" xfId="0" applyFont="1" applyFill="1" applyBorder="1" applyAlignment="1">
      <alignment horizontal="center" vertical="center"/>
    </xf>
    <xf numFmtId="0" fontId="38" fillId="27" borderId="210" xfId="0" applyFont="1" applyFill="1" applyBorder="1" applyAlignment="1">
      <alignment horizontal="center" vertical="center"/>
    </xf>
    <xf numFmtId="0" fontId="1" fillId="28" borderId="36" xfId="0" applyFont="1" applyFill="1" applyBorder="1" applyAlignment="1">
      <alignment horizontal="center" vertical="center"/>
    </xf>
    <xf numFmtId="0" fontId="6" fillId="28" borderId="36" xfId="0" applyFont="1" applyFill="1" applyBorder="1" applyAlignment="1">
      <alignment horizontal="center" vertical="center"/>
    </xf>
    <xf numFmtId="0" fontId="6" fillId="3" borderId="49" xfId="0" applyFont="1" applyFill="1" applyBorder="1" applyAlignment="1">
      <alignment horizontal="center" vertical="center"/>
    </xf>
    <xf numFmtId="0" fontId="6" fillId="28" borderId="49" xfId="0" applyFont="1" applyFill="1" applyBorder="1" applyAlignment="1">
      <alignment horizontal="center" vertical="center"/>
    </xf>
    <xf numFmtId="167" fontId="1" fillId="28" borderId="36" xfId="0" applyNumberFormat="1" applyFont="1" applyFill="1" applyBorder="1" applyAlignment="1">
      <alignment horizontal="center" vertical="center"/>
    </xf>
    <xf numFmtId="0" fontId="6" fillId="5" borderId="48" xfId="0" applyFont="1" applyFill="1" applyBorder="1" applyAlignment="1">
      <alignment horizontal="center" vertical="center"/>
    </xf>
    <xf numFmtId="0" fontId="6" fillId="3" borderId="48" xfId="0" applyFont="1" applyFill="1" applyBorder="1" applyAlignment="1">
      <alignment horizontal="center" vertical="center"/>
    </xf>
    <xf numFmtId="0" fontId="6" fillId="28" borderId="48" xfId="0" applyFont="1" applyFill="1" applyBorder="1" applyAlignment="1">
      <alignment horizontal="center" vertical="center"/>
    </xf>
    <xf numFmtId="0" fontId="6" fillId="5" borderId="48" xfId="0" applyFont="1" applyFill="1" applyBorder="1" applyAlignment="1">
      <alignment horizontal="center" vertical="center" wrapText="1"/>
    </xf>
    <xf numFmtId="167" fontId="38" fillId="11" borderId="61" xfId="0" applyNumberFormat="1" applyFont="1" applyFill="1" applyBorder="1" applyAlignment="1">
      <alignment horizontal="center" vertical="center"/>
    </xf>
    <xf numFmtId="2" fontId="38" fillId="11" borderId="61" xfId="0" applyNumberFormat="1" applyFont="1" applyFill="1" applyBorder="1" applyAlignment="1">
      <alignment horizontal="center" vertical="center"/>
    </xf>
    <xf numFmtId="2" fontId="38" fillId="27" borderId="36" xfId="0" applyNumberFormat="1" applyFont="1" applyFill="1" applyBorder="1" applyAlignment="1">
      <alignment horizontal="center" vertical="center"/>
    </xf>
    <xf numFmtId="167" fontId="38" fillId="27" borderId="36" xfId="0" applyNumberFormat="1" applyFont="1" applyFill="1" applyBorder="1" applyAlignment="1">
      <alignment horizontal="center" vertical="center"/>
    </xf>
    <xf numFmtId="2" fontId="6" fillId="3" borderId="36" xfId="0" applyNumberFormat="1" applyFont="1" applyFill="1" applyBorder="1" applyAlignment="1">
      <alignment horizontal="center" vertical="center"/>
    </xf>
    <xf numFmtId="2" fontId="1" fillId="28" borderId="36" xfId="0" applyNumberFormat="1" applyFont="1" applyFill="1" applyBorder="1" applyAlignment="1">
      <alignment horizontal="center" vertical="center"/>
    </xf>
    <xf numFmtId="0" fontId="46" fillId="6" borderId="29" xfId="0" applyFont="1" applyFill="1" applyBorder="1" applyAlignment="1">
      <alignment horizontal="center" vertical="center" wrapText="1"/>
    </xf>
    <xf numFmtId="0" fontId="38" fillId="0" borderId="29" xfId="0" applyFont="1" applyBorder="1" applyAlignment="1">
      <alignment horizontal="center" vertical="center" wrapText="1"/>
    </xf>
    <xf numFmtId="1" fontId="38" fillId="0" borderId="2" xfId="0" applyNumberFormat="1" applyFont="1" applyBorder="1" applyAlignment="1">
      <alignment horizontal="center" vertical="center" wrapText="1"/>
    </xf>
    <xf numFmtId="0" fontId="0" fillId="0" borderId="183" xfId="0" applyBorder="1" applyAlignment="1">
      <alignment horizontal="center"/>
    </xf>
    <xf numFmtId="0" fontId="46" fillId="18" borderId="47" xfId="13" applyFont="1" applyFill="1" applyBorder="1" applyAlignment="1">
      <alignment horizontal="center" vertical="center" wrapText="1"/>
    </xf>
    <xf numFmtId="0" fontId="46" fillId="18" borderId="14" xfId="13" applyFont="1" applyFill="1" applyBorder="1" applyAlignment="1">
      <alignment vertical="center" wrapText="1"/>
    </xf>
    <xf numFmtId="0" fontId="38" fillId="0" borderId="47" xfId="13" applyFont="1" applyBorder="1" applyAlignment="1">
      <alignment horizontal="center" vertical="center" wrapText="1"/>
    </xf>
    <xf numFmtId="165" fontId="38" fillId="20" borderId="47" xfId="13" applyNumberFormat="1" applyFont="1" applyFill="1" applyBorder="1" applyAlignment="1">
      <alignment horizontal="center" vertical="center" wrapText="1"/>
    </xf>
    <xf numFmtId="3" fontId="38" fillId="0" borderId="186" xfId="13" applyNumberFormat="1" applyFont="1" applyBorder="1" applyAlignment="1">
      <alignment horizontal="center" vertical="center" wrapText="1"/>
    </xf>
    <xf numFmtId="0" fontId="54" fillId="5" borderId="191" xfId="13" applyFont="1" applyFill="1" applyBorder="1" applyAlignment="1">
      <alignment vertical="center" wrapText="1"/>
    </xf>
    <xf numFmtId="0" fontId="54" fillId="22" borderId="15" xfId="13" applyFont="1" applyFill="1" applyBorder="1" applyAlignment="1">
      <alignment vertical="center" wrapText="1"/>
    </xf>
    <xf numFmtId="0" fontId="54" fillId="22" borderId="16" xfId="13" applyFont="1" applyFill="1" applyBorder="1" applyAlignment="1">
      <alignment vertical="center" wrapText="1"/>
    </xf>
    <xf numFmtId="0" fontId="46" fillId="22" borderId="16" xfId="13" applyFont="1" applyFill="1" applyBorder="1" applyAlignment="1">
      <alignment vertical="center" wrapText="1"/>
    </xf>
    <xf numFmtId="0" fontId="54" fillId="22" borderId="16" xfId="13" applyFont="1" applyFill="1" applyBorder="1" applyAlignment="1">
      <alignment horizontal="left" vertical="center" wrapText="1"/>
    </xf>
    <xf numFmtId="0" fontId="54" fillId="22" borderId="17" xfId="13" applyFont="1" applyFill="1" applyBorder="1" applyAlignment="1">
      <alignment vertical="center" wrapText="1"/>
    </xf>
    <xf numFmtId="0" fontId="38" fillId="23" borderId="0" xfId="13" applyFont="1" applyFill="1" applyAlignment="1">
      <alignment horizontal="left" vertical="center"/>
    </xf>
    <xf numFmtId="0" fontId="38" fillId="23" borderId="190" xfId="13" applyFont="1" applyFill="1" applyBorder="1" applyAlignment="1">
      <alignment horizontal="left" vertical="center"/>
    </xf>
    <xf numFmtId="3" fontId="38" fillId="23" borderId="191" xfId="6" applyNumberFormat="1" applyFont="1" applyFill="1" applyBorder="1" applyAlignment="1">
      <alignment horizontal="left" vertical="center"/>
    </xf>
    <xf numFmtId="0" fontId="38" fillId="23" borderId="191" xfId="13" applyFont="1" applyFill="1" applyBorder="1" applyAlignment="1">
      <alignment horizontal="left" vertical="center"/>
    </xf>
    <xf numFmtId="0" fontId="38" fillId="23" borderId="212" xfId="13" applyFont="1" applyFill="1" applyBorder="1" applyAlignment="1">
      <alignment horizontal="left" vertical="center"/>
    </xf>
    <xf numFmtId="0" fontId="38" fillId="23" borderId="184" xfId="13" applyFont="1" applyFill="1" applyBorder="1" applyAlignment="1">
      <alignment horizontal="left" vertical="center"/>
    </xf>
    <xf numFmtId="0" fontId="38" fillId="23" borderId="213" xfId="13" applyFont="1" applyFill="1" applyBorder="1" applyAlignment="1">
      <alignment horizontal="left" vertical="center"/>
    </xf>
    <xf numFmtId="0" fontId="38" fillId="23" borderId="214" xfId="13" applyFont="1" applyFill="1" applyBorder="1" applyAlignment="1">
      <alignment horizontal="left" vertical="center"/>
    </xf>
    <xf numFmtId="0" fontId="38" fillId="23" borderId="183" xfId="13" applyFont="1" applyFill="1" applyBorder="1" applyAlignment="1">
      <alignment horizontal="left" vertical="center"/>
    </xf>
    <xf numFmtId="0" fontId="38" fillId="23" borderId="215" xfId="13" applyFont="1" applyFill="1" applyBorder="1" applyAlignment="1">
      <alignment horizontal="left" vertical="center"/>
    </xf>
    <xf numFmtId="0" fontId="31" fillId="29" borderId="0" xfId="13" applyFont="1" applyFill="1" applyAlignment="1">
      <alignment horizontal="left" vertical="center"/>
    </xf>
    <xf numFmtId="37" fontId="38" fillId="29" borderId="15" xfId="6" applyNumberFormat="1" applyFont="1" applyFill="1" applyBorder="1" applyAlignment="1">
      <alignment horizontal="left" vertical="center"/>
    </xf>
    <xf numFmtId="37" fontId="38" fillId="29" borderId="19" xfId="6" applyNumberFormat="1" applyFont="1" applyFill="1" applyBorder="1" applyAlignment="1">
      <alignment horizontal="left" vertical="center"/>
    </xf>
    <xf numFmtId="37" fontId="6" fillId="29" borderId="19" xfId="6" applyNumberFormat="1" applyFont="1" applyFill="1" applyBorder="1" applyAlignment="1">
      <alignment horizontal="left" vertical="center"/>
    </xf>
    <xf numFmtId="37" fontId="6" fillId="29" borderId="22" xfId="6" applyNumberFormat="1" applyFont="1" applyFill="1" applyBorder="1" applyAlignment="1">
      <alignment horizontal="left" vertical="center"/>
    </xf>
    <xf numFmtId="0" fontId="22" fillId="0" borderId="0" xfId="0" applyFont="1" applyAlignment="1">
      <alignment vertical="center"/>
    </xf>
    <xf numFmtId="0" fontId="2" fillId="4" borderId="0" xfId="5" applyFont="1" applyFill="1" applyBorder="1" applyAlignment="1">
      <alignment horizontal="center" vertical="center" wrapText="1"/>
    </xf>
    <xf numFmtId="3" fontId="38" fillId="0" borderId="2" xfId="7" applyNumberFormat="1" applyFont="1" applyBorder="1" applyAlignment="1">
      <alignment horizontal="left" vertical="center"/>
    </xf>
    <xf numFmtId="0" fontId="38" fillId="0" borderId="4" xfId="0" applyFont="1" applyBorder="1" applyAlignment="1">
      <alignment horizontal="left" vertical="center"/>
    </xf>
    <xf numFmtId="0" fontId="38" fillId="0" borderId="1" xfId="0" applyFont="1" applyBorder="1" applyAlignment="1">
      <alignment horizontal="center" vertical="center"/>
    </xf>
    <xf numFmtId="0" fontId="38" fillId="0" borderId="230" xfId="0" applyFont="1" applyBorder="1" applyAlignment="1">
      <alignment horizontal="center" vertical="center"/>
    </xf>
    <xf numFmtId="0" fontId="38" fillId="0" borderId="6" xfId="0" applyFont="1" applyBorder="1" applyAlignment="1">
      <alignment horizontal="left" vertical="center"/>
    </xf>
    <xf numFmtId="0" fontId="38" fillId="0" borderId="3" xfId="0" applyFont="1" applyBorder="1" applyAlignment="1">
      <alignment horizontal="center" vertical="center"/>
    </xf>
    <xf numFmtId="0" fontId="38" fillId="0" borderId="8" xfId="0" applyFont="1" applyBorder="1" applyAlignment="1">
      <alignment horizontal="left" vertical="center"/>
    </xf>
    <xf numFmtId="0" fontId="38" fillId="0" borderId="37" xfId="0" applyFont="1" applyBorder="1" applyAlignment="1">
      <alignment horizontal="center" vertical="center"/>
    </xf>
    <xf numFmtId="0" fontId="38" fillId="0" borderId="231" xfId="0" applyFont="1" applyBorder="1" applyAlignment="1">
      <alignment horizontal="center" vertical="center"/>
    </xf>
    <xf numFmtId="0" fontId="55" fillId="0" borderId="73" xfId="0" applyFont="1" applyBorder="1" applyAlignment="1">
      <alignment horizontal="center" vertical="center"/>
    </xf>
    <xf numFmtId="2" fontId="55" fillId="0" borderId="61" xfId="0" applyNumberFormat="1" applyFont="1" applyBorder="1" applyAlignment="1">
      <alignment horizontal="center" vertical="center"/>
    </xf>
    <xf numFmtId="0" fontId="55" fillId="0" borderId="83" xfId="0" applyFont="1" applyBorder="1" applyAlignment="1">
      <alignment horizontal="center" vertical="center"/>
    </xf>
    <xf numFmtId="2" fontId="55" fillId="0" borderId="60" xfId="0" applyNumberFormat="1" applyFont="1" applyBorder="1" applyAlignment="1">
      <alignment horizontal="center" vertical="center"/>
    </xf>
    <xf numFmtId="2" fontId="55" fillId="0" borderId="80" xfId="0" applyNumberFormat="1" applyFont="1" applyBorder="1" applyAlignment="1">
      <alignment horizontal="center" vertical="center"/>
    </xf>
    <xf numFmtId="2" fontId="55" fillId="0" borderId="76" xfId="0" applyNumberFormat="1" applyFont="1" applyBorder="1" applyAlignment="1">
      <alignment horizontal="center" vertical="center"/>
    </xf>
    <xf numFmtId="0" fontId="55" fillId="0" borderId="82" xfId="0" applyFont="1" applyBorder="1" applyAlignment="1">
      <alignment horizontal="center" vertical="center"/>
    </xf>
    <xf numFmtId="2" fontId="55" fillId="0" borderId="77" xfId="0" applyNumberFormat="1" applyFont="1" applyBorder="1" applyAlignment="1">
      <alignment horizontal="center" vertical="center"/>
    </xf>
    <xf numFmtId="2" fontId="55" fillId="0" borderId="78" xfId="0" applyNumberFormat="1" applyFont="1" applyBorder="1" applyAlignment="1">
      <alignment horizontal="center" vertical="center"/>
    </xf>
    <xf numFmtId="0" fontId="55" fillId="0" borderId="81" xfId="0" applyFont="1" applyBorder="1" applyAlignment="1">
      <alignment horizontal="center" vertical="center"/>
    </xf>
    <xf numFmtId="2" fontId="55" fillId="0" borderId="74" xfId="0" applyNumberFormat="1" applyFont="1" applyBorder="1" applyAlignment="1">
      <alignment horizontal="center" vertical="center"/>
    </xf>
    <xf numFmtId="2" fontId="55" fillId="0" borderId="75" xfId="0" applyNumberFormat="1" applyFont="1" applyBorder="1" applyAlignment="1">
      <alignment horizontal="center" vertical="center"/>
    </xf>
    <xf numFmtId="0" fontId="55" fillId="0" borderId="65" xfId="0" applyFont="1" applyBorder="1" applyAlignment="1">
      <alignment horizontal="center" vertical="center"/>
    </xf>
    <xf numFmtId="2" fontId="55" fillId="0" borderId="62" xfId="0" applyNumberFormat="1" applyFont="1" applyBorder="1" applyAlignment="1">
      <alignment horizontal="center" vertical="center"/>
    </xf>
    <xf numFmtId="2" fontId="55" fillId="0" borderId="79" xfId="0" applyNumberFormat="1" applyFont="1" applyBorder="1" applyAlignment="1">
      <alignment horizontal="center" vertical="center"/>
    </xf>
    <xf numFmtId="0" fontId="55" fillId="0" borderId="225" xfId="0" applyFont="1" applyBorder="1" applyAlignment="1">
      <alignment horizontal="center" vertical="center"/>
    </xf>
    <xf numFmtId="0" fontId="55" fillId="0" borderId="164" xfId="0" applyFont="1" applyBorder="1" applyAlignment="1">
      <alignment horizontal="center" vertical="center"/>
    </xf>
    <xf numFmtId="0" fontId="55" fillId="0" borderId="100" xfId="0" applyFont="1" applyBorder="1" applyAlignment="1">
      <alignment horizontal="center" vertical="center"/>
    </xf>
    <xf numFmtId="0" fontId="55" fillId="0" borderId="243" xfId="0" applyFont="1" applyBorder="1" applyAlignment="1">
      <alignment horizontal="center" vertical="center"/>
    </xf>
    <xf numFmtId="0" fontId="55" fillId="0" borderId="235" xfId="0" applyFont="1" applyBorder="1" applyAlignment="1">
      <alignment horizontal="center" vertical="center"/>
    </xf>
    <xf numFmtId="0" fontId="55" fillId="0" borderId="12" xfId="0" applyFont="1" applyBorder="1" applyAlignment="1">
      <alignment horizontal="center" vertical="center"/>
    </xf>
    <xf numFmtId="0" fontId="55" fillId="0" borderId="237" xfId="0" applyFont="1" applyBorder="1" applyAlignment="1">
      <alignment horizontal="center" vertical="center"/>
    </xf>
    <xf numFmtId="0" fontId="55" fillId="0" borderId="241" xfId="0" applyFont="1" applyBorder="1" applyAlignment="1">
      <alignment horizontal="center" vertical="center"/>
    </xf>
    <xf numFmtId="0" fontId="55" fillId="0" borderId="242" xfId="0" applyFont="1" applyBorder="1" applyAlignment="1">
      <alignment horizontal="center" vertical="center"/>
    </xf>
    <xf numFmtId="0" fontId="9" fillId="0" borderId="13" xfId="3" applyFont="1" applyFill="1" applyBorder="1" applyAlignment="1">
      <alignment horizontal="center" vertical="center" wrapText="1"/>
    </xf>
    <xf numFmtId="2" fontId="18" fillId="0" borderId="2" xfId="0" applyNumberFormat="1" applyFont="1" applyBorder="1" applyAlignment="1">
      <alignment horizontal="center" vertical="center" wrapText="1"/>
    </xf>
    <xf numFmtId="0" fontId="26" fillId="0" borderId="0" xfId="0" applyFont="1" applyAlignment="1">
      <alignment vertical="center"/>
    </xf>
    <xf numFmtId="9" fontId="6" fillId="0" borderId="0" xfId="0" applyNumberFormat="1" applyFont="1"/>
    <xf numFmtId="9" fontId="24" fillId="0" borderId="0" xfId="0" applyNumberFormat="1" applyFont="1" applyAlignment="1">
      <alignment horizontal="center" vertical="center"/>
    </xf>
    <xf numFmtId="9" fontId="24" fillId="0" borderId="0" xfId="0" applyNumberFormat="1" applyFont="1" applyAlignment="1">
      <alignment horizontal="center"/>
    </xf>
    <xf numFmtId="10" fontId="6" fillId="0" borderId="0" xfId="8" applyNumberFormat="1" applyFont="1" applyFill="1" applyBorder="1" applyAlignment="1">
      <alignment horizontal="left"/>
    </xf>
    <xf numFmtId="169" fontId="6" fillId="0" borderId="0" xfId="6" applyNumberFormat="1" applyFont="1" applyFill="1" applyBorder="1"/>
    <xf numFmtId="3" fontId="6" fillId="0" borderId="0" xfId="0" applyNumberFormat="1" applyFont="1"/>
    <xf numFmtId="10" fontId="6" fillId="0" borderId="0" xfId="0" applyNumberFormat="1" applyFont="1"/>
    <xf numFmtId="0" fontId="38" fillId="0" borderId="0" xfId="0" applyFont="1" applyAlignment="1">
      <alignment wrapText="1"/>
    </xf>
    <xf numFmtId="0" fontId="38" fillId="0" borderId="0" xfId="0" applyFont="1" applyAlignment="1">
      <alignment horizontal="right"/>
    </xf>
    <xf numFmtId="0" fontId="38" fillId="0" borderId="0" xfId="0" applyFont="1" applyAlignment="1">
      <alignment horizontal="center"/>
    </xf>
    <xf numFmtId="167" fontId="38" fillId="0" borderId="61" xfId="0" applyNumberFormat="1" applyFont="1" applyBorder="1" applyAlignment="1">
      <alignment horizontal="center" vertical="center" wrapText="1"/>
    </xf>
    <xf numFmtId="167" fontId="38" fillId="0" borderId="61" xfId="0" applyNumberFormat="1" applyFont="1" applyBorder="1" applyAlignment="1">
      <alignment horizontal="center" vertical="center"/>
    </xf>
    <xf numFmtId="0" fontId="38" fillId="0" borderId="2" xfId="0" applyFont="1" applyBorder="1"/>
    <xf numFmtId="167" fontId="38" fillId="0" borderId="36" xfId="0" applyNumberFormat="1" applyFont="1" applyBorder="1" applyAlignment="1">
      <alignment horizontal="center" vertical="center"/>
    </xf>
    <xf numFmtId="167" fontId="38" fillId="7" borderId="61" xfId="0" applyNumberFormat="1" applyFont="1" applyFill="1" applyBorder="1" applyAlignment="1">
      <alignment horizontal="center" vertical="center"/>
    </xf>
    <xf numFmtId="167" fontId="38" fillId="7" borderId="36" xfId="0" applyNumberFormat="1" applyFont="1" applyFill="1" applyBorder="1" applyAlignment="1">
      <alignment horizontal="center" vertical="center"/>
    </xf>
    <xf numFmtId="0" fontId="38" fillId="0" borderId="0" xfId="0" applyFont="1" applyAlignment="1">
      <alignment horizontal="center" vertical="center" wrapText="1"/>
    </xf>
    <xf numFmtId="0" fontId="6" fillId="7" borderId="36" xfId="0" applyFont="1" applyFill="1" applyBorder="1" applyAlignment="1">
      <alignment horizontal="center" vertical="center" wrapText="1"/>
    </xf>
    <xf numFmtId="0" fontId="48" fillId="0" borderId="0" xfId="0" applyFont="1"/>
    <xf numFmtId="0" fontId="38" fillId="0" borderId="181" xfId="0" quotePrefix="1" applyFont="1" applyBorder="1" applyAlignment="1">
      <alignment horizontal="center" vertical="center"/>
    </xf>
    <xf numFmtId="0" fontId="36" fillId="30" borderId="184" xfId="0" applyFont="1" applyFill="1" applyBorder="1" applyAlignment="1">
      <alignment horizontal="left" vertical="center"/>
    </xf>
    <xf numFmtId="0" fontId="6" fillId="0" borderId="0" xfId="0" applyFont="1" applyAlignment="1">
      <alignment horizontal="left" vertical="top" wrapText="1"/>
    </xf>
    <xf numFmtId="0" fontId="32" fillId="10" borderId="0" xfId="0" applyFont="1" applyFill="1" applyAlignment="1">
      <alignment horizontal="center" vertical="center" wrapText="1"/>
    </xf>
    <xf numFmtId="0" fontId="6" fillId="0" borderId="36" xfId="0" applyFont="1" applyBorder="1" applyAlignment="1">
      <alignment horizontal="center" vertical="center"/>
    </xf>
    <xf numFmtId="0" fontId="1" fillId="0" borderId="36" xfId="0" quotePrefix="1" applyFont="1" applyBorder="1" applyAlignment="1">
      <alignment horizontal="center" vertical="center" wrapText="1"/>
    </xf>
    <xf numFmtId="0" fontId="6" fillId="0" borderId="2" xfId="0" applyFont="1" applyBorder="1" applyAlignment="1">
      <alignment horizontal="center" vertical="center" wrapText="1"/>
    </xf>
    <xf numFmtId="0" fontId="38" fillId="0" borderId="2" xfId="0" applyFont="1" applyBorder="1" applyAlignment="1">
      <alignment horizontal="center" vertical="center"/>
    </xf>
    <xf numFmtId="0" fontId="6" fillId="0" borderId="2" xfId="0" applyFont="1" applyBorder="1" applyAlignment="1">
      <alignment horizontal="center" vertical="center"/>
    </xf>
    <xf numFmtId="0" fontId="38" fillId="0" borderId="2" xfId="0" applyFont="1" applyBorder="1" applyAlignment="1">
      <alignment horizontal="center" vertical="center" wrapText="1"/>
    </xf>
    <xf numFmtId="0" fontId="1" fillId="0" borderId="36" xfId="0" applyFont="1" applyBorder="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left" vertical="center"/>
    </xf>
    <xf numFmtId="0" fontId="24" fillId="0" borderId="0" xfId="0" applyFont="1" applyAlignment="1">
      <alignment horizontal="left" vertical="center"/>
    </xf>
    <xf numFmtId="0" fontId="10" fillId="0" borderId="0" xfId="0" applyFont="1" applyAlignment="1">
      <alignment horizontal="center"/>
    </xf>
    <xf numFmtId="0" fontId="20" fillId="0" borderId="0" xfId="0" applyFont="1" applyAlignment="1">
      <alignment horizontal="center" vertical="center" wrapText="1"/>
    </xf>
    <xf numFmtId="0" fontId="6" fillId="0" borderId="0" xfId="0" applyFont="1" applyAlignment="1">
      <alignment horizontal="center" vertical="center" wrapText="1"/>
    </xf>
    <xf numFmtId="0" fontId="38" fillId="0" borderId="61" xfId="0" applyFont="1" applyBorder="1" applyAlignment="1">
      <alignment horizontal="center" vertical="center"/>
    </xf>
    <xf numFmtId="0" fontId="6" fillId="0" borderId="29" xfId="0" applyFont="1" applyBorder="1" applyAlignment="1">
      <alignment horizontal="center" vertical="center" wrapText="1"/>
    </xf>
    <xf numFmtId="0" fontId="38" fillId="0" borderId="48" xfId="0" applyFont="1" applyBorder="1" applyAlignment="1">
      <alignment horizontal="center" vertical="center" wrapText="1"/>
    </xf>
    <xf numFmtId="0" fontId="6" fillId="0" borderId="0" xfId="0" applyFont="1" applyAlignment="1">
      <alignment horizontal="left" wrapText="1"/>
    </xf>
    <xf numFmtId="0" fontId="6" fillId="0" borderId="61" xfId="0" applyFont="1" applyBorder="1" applyAlignment="1">
      <alignment horizontal="center" vertical="center" wrapText="1"/>
    </xf>
    <xf numFmtId="0" fontId="1" fillId="0" borderId="0" xfId="0" applyFont="1" applyAlignment="1">
      <alignment horizontal="left" vertical="center" wrapText="1"/>
    </xf>
    <xf numFmtId="0" fontId="7" fillId="6" borderId="62" xfId="0" applyFont="1" applyFill="1" applyBorder="1" applyAlignment="1">
      <alignment horizontal="center" vertical="center" wrapText="1"/>
    </xf>
    <xf numFmtId="0" fontId="7" fillId="6" borderId="61" xfId="0" applyFont="1" applyFill="1" applyBorder="1" applyAlignment="1">
      <alignment horizontal="center" vertical="center" wrapText="1"/>
    </xf>
    <xf numFmtId="0" fontId="26" fillId="6" borderId="61"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xf>
    <xf numFmtId="0" fontId="48" fillId="0" borderId="36" xfId="0" applyFont="1" applyBorder="1" applyAlignment="1">
      <alignment horizontal="center" vertical="center" wrapText="1"/>
    </xf>
    <xf numFmtId="0" fontId="23" fillId="0" borderId="88" xfId="0" applyFont="1" applyBorder="1" applyAlignment="1">
      <alignment horizontal="center" vertical="center"/>
    </xf>
    <xf numFmtId="0" fontId="23" fillId="0" borderId="61" xfId="0" applyFont="1" applyBorder="1" applyAlignment="1">
      <alignment horizontal="center" vertical="center"/>
    </xf>
    <xf numFmtId="0" fontId="23" fillId="0" borderId="77" xfId="0" applyFont="1" applyBorder="1" applyAlignment="1">
      <alignment horizontal="center" vertical="center"/>
    </xf>
    <xf numFmtId="0" fontId="23" fillId="0" borderId="91" xfId="0" applyFont="1" applyBorder="1" applyAlignment="1">
      <alignment horizontal="center" vertical="center"/>
    </xf>
    <xf numFmtId="0" fontId="7" fillId="6" borderId="2" xfId="0" applyFont="1" applyFill="1" applyBorder="1" applyAlignment="1">
      <alignment horizontal="center" vertical="center"/>
    </xf>
    <xf numFmtId="0" fontId="7" fillId="6" borderId="14" xfId="0" applyFont="1" applyFill="1" applyBorder="1" applyAlignment="1">
      <alignment horizontal="center" vertical="center"/>
    </xf>
    <xf numFmtId="0" fontId="23" fillId="0" borderId="60" xfId="0" applyFont="1" applyBorder="1" applyAlignment="1">
      <alignment horizontal="center" vertical="center"/>
    </xf>
    <xf numFmtId="0" fontId="18" fillId="6" borderId="2" xfId="0" applyFont="1" applyFill="1" applyBorder="1" applyAlignment="1">
      <alignment horizontal="center" vertical="center" wrapText="1"/>
    </xf>
    <xf numFmtId="0" fontId="55" fillId="0" borderId="88" xfId="0" applyFont="1" applyBorder="1" applyAlignment="1">
      <alignment horizontal="center" vertical="center"/>
    </xf>
    <xf numFmtId="0" fontId="55" fillId="0" borderId="61" xfId="0" applyFont="1" applyBorder="1" applyAlignment="1">
      <alignment horizontal="center" vertical="center"/>
    </xf>
    <xf numFmtId="0" fontId="55" fillId="0" borderId="62" xfId="0" applyFont="1" applyBorder="1" applyAlignment="1">
      <alignment horizontal="center" vertical="center"/>
    </xf>
    <xf numFmtId="0" fontId="55" fillId="0" borderId="222" xfId="0" applyFont="1" applyBorder="1" applyAlignment="1">
      <alignment horizontal="center" vertical="center"/>
    </xf>
    <xf numFmtId="0" fontId="55" fillId="0" borderId="226" xfId="0" applyFont="1" applyBorder="1" applyAlignment="1">
      <alignment horizontal="center" vertical="center"/>
    </xf>
    <xf numFmtId="0" fontId="24" fillId="0" borderId="2" xfId="0" applyFont="1" applyBorder="1" applyAlignment="1">
      <alignment horizontal="center" vertical="center"/>
    </xf>
    <xf numFmtId="0" fontId="26" fillId="13" borderId="14" xfId="0" applyFont="1" applyFill="1" applyBorder="1" applyAlignment="1">
      <alignment horizontal="center" vertical="center"/>
    </xf>
    <xf numFmtId="0" fontId="26" fillId="0" borderId="0" xfId="0" applyFont="1" applyAlignment="1">
      <alignment horizontal="center" vertical="center"/>
    </xf>
    <xf numFmtId="0" fontId="38" fillId="0" borderId="62" xfId="0" applyFont="1" applyBorder="1" applyAlignment="1">
      <alignment horizontal="center" vertical="center"/>
    </xf>
    <xf numFmtId="0" fontId="38" fillId="0" borderId="63" xfId="0" applyFont="1" applyBorder="1" applyAlignment="1">
      <alignment horizontal="center" vertical="center"/>
    </xf>
    <xf numFmtId="0" fontId="38" fillId="0" borderId="247" xfId="0" applyFont="1" applyBorder="1" applyAlignment="1">
      <alignment horizontal="center" vertical="center"/>
    </xf>
    <xf numFmtId="0" fontId="38" fillId="0" borderId="245" xfId="0" applyFont="1" applyBorder="1" applyAlignment="1">
      <alignment horizontal="center" vertical="center"/>
    </xf>
    <xf numFmtId="0" fontId="38" fillId="0" borderId="67" xfId="0" applyFont="1" applyBorder="1" applyAlignment="1">
      <alignment horizontal="center" vertical="center"/>
    </xf>
    <xf numFmtId="0" fontId="38" fillId="0" borderId="248" xfId="0" applyFont="1" applyBorder="1" applyAlignment="1">
      <alignment horizontal="center" vertical="center"/>
    </xf>
    <xf numFmtId="164" fontId="38" fillId="0" borderId="214" xfId="0" applyNumberFormat="1" applyFont="1" applyBorder="1" applyAlignment="1">
      <alignment horizontal="left" vertical="center"/>
    </xf>
    <xf numFmtId="164" fontId="38" fillId="0" borderId="183" xfId="0" applyNumberFormat="1" applyFont="1" applyBorder="1" applyAlignment="1">
      <alignment horizontal="left" vertical="center"/>
    </xf>
    <xf numFmtId="164" fontId="38" fillId="0" borderId="215" xfId="0" applyNumberFormat="1" applyFont="1" applyBorder="1" applyAlignment="1">
      <alignment horizontal="left" vertical="center"/>
    </xf>
    <xf numFmtId="0" fontId="38" fillId="0" borderId="61" xfId="0" applyFont="1" applyBorder="1" applyAlignment="1">
      <alignment horizontal="center" vertical="center"/>
    </xf>
    <xf numFmtId="0" fontId="38" fillId="0" borderId="61" xfId="0" applyFont="1" applyBorder="1" applyAlignment="1">
      <alignment horizontal="center" vertical="center" wrapText="1"/>
    </xf>
    <xf numFmtId="0" fontId="38" fillId="0" borderId="246" xfId="0" applyFont="1" applyBorder="1" applyAlignment="1">
      <alignment horizontal="center" vertical="center"/>
    </xf>
    <xf numFmtId="0" fontId="32" fillId="10" borderId="0" xfId="0" applyFont="1" applyFill="1" applyAlignment="1">
      <alignment horizontal="center" vertical="center" wrapText="1"/>
    </xf>
    <xf numFmtId="0" fontId="6" fillId="0" borderId="54"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5" xfId="0" applyFont="1" applyBorder="1" applyAlignment="1">
      <alignment horizontal="center" vertical="center" wrapText="1"/>
    </xf>
    <xf numFmtId="0" fontId="6" fillId="0" borderId="54" xfId="0" applyFont="1" applyBorder="1" applyAlignment="1">
      <alignment horizontal="center" vertical="center"/>
    </xf>
    <xf numFmtId="0" fontId="6" fillId="0" borderId="55" xfId="0" applyFont="1" applyBorder="1" applyAlignment="1">
      <alignment horizontal="center" vertical="center"/>
    </xf>
    <xf numFmtId="0" fontId="6" fillId="0" borderId="56" xfId="0" applyFont="1" applyBorder="1" applyAlignment="1">
      <alignment horizontal="center" vertical="center"/>
    </xf>
    <xf numFmtId="0" fontId="1" fillId="0" borderId="29" xfId="0" applyFont="1" applyBorder="1" applyAlignment="1">
      <alignment horizontal="center" vertical="center" wrapText="1"/>
    </xf>
    <xf numFmtId="0" fontId="6" fillId="0" borderId="29" xfId="0" applyFont="1" applyBorder="1" applyAlignment="1">
      <alignment horizontal="center" vertical="center" wrapText="1"/>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6" xfId="0" applyFont="1" applyBorder="1" applyAlignment="1">
      <alignment horizontal="center" vertical="center" wrapText="1"/>
    </xf>
    <xf numFmtId="0" fontId="7" fillId="6" borderId="57" xfId="0" applyFont="1" applyFill="1" applyBorder="1" applyAlignment="1">
      <alignment horizontal="center" vertical="center" wrapText="1"/>
    </xf>
    <xf numFmtId="0" fontId="7" fillId="6" borderId="58" xfId="0" applyFont="1" applyFill="1" applyBorder="1" applyAlignment="1">
      <alignment horizontal="center" vertical="center" wrapText="1"/>
    </xf>
    <xf numFmtId="0" fontId="7" fillId="6" borderId="59" xfId="0" applyFont="1" applyFill="1" applyBorder="1" applyAlignment="1">
      <alignment horizontal="center" vertical="center" wrapText="1"/>
    </xf>
    <xf numFmtId="0" fontId="38" fillId="0" borderId="32" xfId="0" applyFont="1" applyBorder="1" applyAlignment="1">
      <alignment horizontal="center" vertical="center"/>
    </xf>
    <xf numFmtId="0" fontId="38" fillId="0" borderId="30" xfId="0" applyFont="1" applyBorder="1" applyAlignment="1">
      <alignment horizontal="center" vertical="center"/>
    </xf>
    <xf numFmtId="0" fontId="38" fillId="0" borderId="31" xfId="0" applyFont="1" applyBorder="1" applyAlignment="1">
      <alignment horizontal="center" vertical="center"/>
    </xf>
    <xf numFmtId="0" fontId="6" fillId="0" borderId="36" xfId="0" applyFont="1" applyBorder="1" applyAlignment="1">
      <alignment horizontal="center" vertical="center"/>
    </xf>
    <xf numFmtId="0" fontId="6" fillId="0" borderId="36" xfId="0" applyFont="1" applyBorder="1" applyAlignment="1">
      <alignment horizontal="center" vertical="center" wrapText="1"/>
    </xf>
    <xf numFmtId="0" fontId="32" fillId="10" borderId="38" xfId="0" applyFont="1" applyFill="1" applyBorder="1" applyAlignment="1">
      <alignment horizontal="center" vertical="center"/>
    </xf>
    <xf numFmtId="0" fontId="38" fillId="0" borderId="48" xfId="0" applyFont="1" applyBorder="1" applyAlignment="1">
      <alignment horizontal="center" vertical="center" wrapText="1"/>
    </xf>
    <xf numFmtId="0" fontId="38" fillId="0" borderId="211" xfId="0" applyFont="1" applyBorder="1" applyAlignment="1">
      <alignment horizontal="center" vertical="center" wrapText="1"/>
    </xf>
    <xf numFmtId="0" fontId="38" fillId="0" borderId="49" xfId="0" applyFont="1" applyBorder="1" applyAlignment="1">
      <alignment horizontal="center" vertical="center" wrapText="1"/>
    </xf>
    <xf numFmtId="0" fontId="6" fillId="0" borderId="0" xfId="0" applyFont="1" applyAlignment="1">
      <alignment horizontal="left" wrapText="1"/>
    </xf>
    <xf numFmtId="0" fontId="6" fillId="0" borderId="0" xfId="0" applyFont="1" applyAlignment="1">
      <alignment horizontal="left" vertical="center" wrapText="1"/>
    </xf>
    <xf numFmtId="0" fontId="6" fillId="0" borderId="0" xfId="0" applyFont="1" applyAlignment="1">
      <alignment horizontal="left" vertical="top" wrapText="1"/>
    </xf>
    <xf numFmtId="0" fontId="8" fillId="0" borderId="0" xfId="5" applyBorder="1" applyAlignment="1">
      <alignment horizontal="left"/>
    </xf>
    <xf numFmtId="0" fontId="6" fillId="0" borderId="0" xfId="0" applyFont="1" applyAlignment="1">
      <alignment vertical="center" wrapText="1"/>
    </xf>
    <xf numFmtId="0" fontId="32" fillId="10" borderId="0" xfId="0" applyFont="1" applyFill="1" applyAlignment="1">
      <alignment horizontal="center" vertical="center"/>
    </xf>
    <xf numFmtId="0" fontId="38" fillId="0" borderId="207" xfId="0" applyFont="1" applyBorder="1" applyAlignment="1">
      <alignment horizontal="left" wrapText="1"/>
    </xf>
    <xf numFmtId="0" fontId="24" fillId="0" borderId="208" xfId="0" applyFont="1" applyBorder="1" applyAlignment="1">
      <alignment horizontal="left"/>
    </xf>
    <xf numFmtId="0" fontId="6" fillId="0" borderId="0" xfId="0" applyFont="1" applyAlignment="1">
      <alignment horizontal="left" vertical="center"/>
    </xf>
    <xf numFmtId="0" fontId="24" fillId="0" borderId="0" xfId="0" applyFont="1" applyAlignment="1">
      <alignment horizontal="left" vertical="center"/>
    </xf>
    <xf numFmtId="0" fontId="10" fillId="0" borderId="0" xfId="0" applyFont="1" applyAlignment="1">
      <alignment horizontal="center"/>
    </xf>
    <xf numFmtId="0" fontId="17" fillId="0" borderId="23" xfId="0" applyFont="1" applyBorder="1" applyAlignment="1">
      <alignment horizontal="left" vertical="center"/>
    </xf>
    <xf numFmtId="0" fontId="32" fillId="10" borderId="3" xfId="1" applyFont="1" applyFill="1" applyBorder="1" applyAlignment="1">
      <alignment horizontal="center" vertical="center" wrapText="1"/>
    </xf>
    <xf numFmtId="0" fontId="32" fillId="10" borderId="12" xfId="1" applyFont="1" applyFill="1" applyBorder="1" applyAlignment="1">
      <alignment horizontal="center" vertical="center" wrapText="1"/>
    </xf>
    <xf numFmtId="0" fontId="41" fillId="10" borderId="166" xfId="0" applyFont="1" applyFill="1" applyBorder="1" applyAlignment="1">
      <alignment horizontal="center" vertical="center" wrapText="1"/>
    </xf>
    <xf numFmtId="0" fontId="41" fillId="10" borderId="167" xfId="0" applyFont="1" applyFill="1" applyBorder="1" applyAlignment="1">
      <alignment horizontal="center" vertical="center" wrapText="1"/>
    </xf>
    <xf numFmtId="0" fontId="41" fillId="10" borderId="168" xfId="0" applyFont="1" applyFill="1" applyBorder="1" applyAlignment="1">
      <alignment horizontal="center" vertical="center" wrapText="1"/>
    </xf>
    <xf numFmtId="0" fontId="32" fillId="12" borderId="3" xfId="0" applyFont="1" applyFill="1" applyBorder="1" applyAlignment="1">
      <alignment horizontal="center" vertical="center"/>
    </xf>
    <xf numFmtId="0" fontId="32" fillId="12" borderId="12" xfId="0" applyFont="1" applyFill="1" applyBorder="1" applyAlignment="1">
      <alignment horizontal="center" vertical="center"/>
    </xf>
    <xf numFmtId="0" fontId="32" fillId="12" borderId="13" xfId="0" applyFont="1" applyFill="1" applyBorder="1" applyAlignment="1">
      <alignment horizontal="center" vertical="center"/>
    </xf>
    <xf numFmtId="0" fontId="46" fillId="13" borderId="3" xfId="0" applyFont="1" applyFill="1" applyBorder="1" applyAlignment="1">
      <alignment horizontal="center" vertical="center" wrapText="1"/>
    </xf>
    <xf numFmtId="0" fontId="46" fillId="13" borderId="13" xfId="0" applyFont="1" applyFill="1" applyBorder="1" applyAlignment="1">
      <alignment horizontal="center" vertical="center" wrapText="1"/>
    </xf>
    <xf numFmtId="9" fontId="38" fillId="0" borderId="14" xfId="0" applyNumberFormat="1" applyFont="1" applyBorder="1" applyAlignment="1">
      <alignment horizontal="center" vertical="center"/>
    </xf>
    <xf numFmtId="9" fontId="38" fillId="0" borderId="21" xfId="0" applyNumberFormat="1" applyFont="1" applyBorder="1" applyAlignment="1">
      <alignment horizontal="center" vertical="center"/>
    </xf>
    <xf numFmtId="0" fontId="20" fillId="0" borderId="0" xfId="0" applyFont="1" applyAlignment="1">
      <alignment horizontal="center" vertical="center" wrapText="1"/>
    </xf>
    <xf numFmtId="0" fontId="6" fillId="0" borderId="0" xfId="0" applyFont="1" applyAlignment="1">
      <alignment horizontal="center" vertical="center" wrapText="1"/>
    </xf>
    <xf numFmtId="0" fontId="16" fillId="0" borderId="0" xfId="0" applyFont="1" applyAlignment="1">
      <alignment horizontal="center" vertical="center"/>
    </xf>
    <xf numFmtId="0" fontId="50" fillId="0" borderId="3" xfId="5" applyFont="1" applyBorder="1" applyAlignment="1">
      <alignment horizontal="center" vertical="center"/>
    </xf>
    <xf numFmtId="0" fontId="50" fillId="0" borderId="13" xfId="5" applyFont="1" applyBorder="1" applyAlignment="1">
      <alignment horizontal="center" vertical="center"/>
    </xf>
    <xf numFmtId="0" fontId="38" fillId="0" borderId="0" xfId="0" applyFont="1" applyAlignment="1">
      <alignment horizontal="left" vertical="top" wrapText="1"/>
    </xf>
    <xf numFmtId="0" fontId="6" fillId="0" borderId="32" xfId="0" applyFont="1" applyBorder="1" applyAlignment="1">
      <alignment horizontal="center" vertical="center"/>
    </xf>
    <xf numFmtId="0" fontId="6" fillId="0" borderId="40" xfId="0" quotePrefix="1" applyFont="1" applyBorder="1" applyAlignment="1">
      <alignment horizontal="center" vertical="center"/>
    </xf>
    <xf numFmtId="0" fontId="6" fillId="0" borderId="42" xfId="0" applyFont="1" applyBorder="1" applyAlignment="1">
      <alignment horizontal="center" vertical="center"/>
    </xf>
    <xf numFmtId="0" fontId="24" fillId="0" borderId="44" xfId="0" applyFont="1" applyBorder="1" applyAlignment="1">
      <alignment horizontal="center" vertical="center" wrapText="1"/>
    </xf>
    <xf numFmtId="0" fontId="1" fillId="0" borderId="36" xfId="0" quotePrefix="1" applyFont="1" applyBorder="1" applyAlignment="1">
      <alignment horizontal="center" vertical="center" wrapText="1"/>
    </xf>
    <xf numFmtId="0" fontId="6" fillId="0" borderId="2" xfId="0" applyFont="1" applyBorder="1" applyAlignment="1">
      <alignment horizontal="center" vertical="center" wrapText="1"/>
    </xf>
    <xf numFmtId="0" fontId="38" fillId="0" borderId="2" xfId="0" applyFont="1" applyBorder="1" applyAlignment="1">
      <alignment horizontal="center" vertical="center"/>
    </xf>
    <xf numFmtId="0" fontId="6" fillId="0" borderId="2" xfId="0" applyFont="1" applyBorder="1" applyAlignment="1">
      <alignment horizontal="center" vertical="center"/>
    </xf>
    <xf numFmtId="0" fontId="38" fillId="0" borderId="2" xfId="0" applyFont="1" applyBorder="1" applyAlignment="1">
      <alignment horizontal="center" vertical="center" wrapText="1"/>
    </xf>
    <xf numFmtId="0" fontId="32" fillId="12" borderId="61" xfId="0" applyFont="1" applyFill="1" applyBorder="1" applyAlignment="1">
      <alignment horizontal="center" vertical="center"/>
    </xf>
    <xf numFmtId="0" fontId="24" fillId="0" borderId="43" xfId="0" applyFont="1" applyBorder="1" applyAlignment="1">
      <alignment horizontal="center" vertical="center" wrapText="1"/>
    </xf>
    <xf numFmtId="0" fontId="1" fillId="0" borderId="36" xfId="0" applyFont="1" applyBorder="1" applyAlignment="1">
      <alignment horizontal="center" vertical="center" wrapText="1"/>
    </xf>
    <xf numFmtId="0" fontId="26" fillId="0" borderId="0" xfId="0" applyFont="1" applyAlignment="1">
      <alignment horizontal="center"/>
    </xf>
    <xf numFmtId="0" fontId="32" fillId="10" borderId="64" xfId="0" applyFont="1" applyFill="1" applyBorder="1" applyAlignment="1">
      <alignment horizontal="center" vertical="center" wrapText="1"/>
    </xf>
    <xf numFmtId="0" fontId="6" fillId="0" borderId="61" xfId="0" applyFont="1" applyBorder="1" applyAlignment="1">
      <alignment horizontal="center" vertical="center" wrapText="1"/>
    </xf>
    <xf numFmtId="0" fontId="6" fillId="0" borderId="50" xfId="0" applyFont="1" applyBorder="1" applyAlignment="1">
      <alignment horizontal="center" vertical="center" wrapText="1"/>
    </xf>
    <xf numFmtId="0" fontId="6" fillId="0" borderId="39" xfId="0" applyFont="1" applyBorder="1" applyAlignment="1">
      <alignment horizontal="center" vertical="center" wrapText="1"/>
    </xf>
    <xf numFmtId="0" fontId="6" fillId="0" borderId="84" xfId="0" applyFont="1" applyBorder="1" applyAlignment="1">
      <alignment horizontal="center" vertical="center" wrapText="1"/>
    </xf>
    <xf numFmtId="0" fontId="38" fillId="0" borderId="70" xfId="0" applyFont="1" applyBorder="1" applyAlignment="1">
      <alignment horizontal="center" vertical="center" wrapText="1"/>
    </xf>
    <xf numFmtId="0" fontId="38" fillId="0" borderId="71" xfId="0" applyFont="1" applyBorder="1" applyAlignment="1">
      <alignment horizontal="center" vertical="center" wrapText="1"/>
    </xf>
    <xf numFmtId="0" fontId="38" fillId="0" borderId="72" xfId="0" applyFont="1" applyBorder="1" applyAlignment="1">
      <alignment horizontal="center" vertical="center" wrapText="1"/>
    </xf>
    <xf numFmtId="0" fontId="32" fillId="10" borderId="189" xfId="0" applyFont="1" applyFill="1" applyBorder="1" applyAlignment="1">
      <alignment horizontal="center" vertical="center" wrapText="1"/>
    </xf>
    <xf numFmtId="0" fontId="32" fillId="10" borderId="183" xfId="0" applyFont="1" applyFill="1" applyBorder="1" applyAlignment="1">
      <alignment horizontal="center" vertical="center" wrapText="1"/>
    </xf>
    <xf numFmtId="0" fontId="32" fillId="10" borderId="22" xfId="0" applyFont="1" applyFill="1" applyBorder="1" applyAlignment="1">
      <alignment horizontal="center" vertical="center" wrapText="1"/>
    </xf>
    <xf numFmtId="0" fontId="32" fillId="10" borderId="23" xfId="0" applyFont="1" applyFill="1" applyBorder="1" applyAlignment="1">
      <alignment horizontal="center" vertical="center" wrapText="1"/>
    </xf>
    <xf numFmtId="0" fontId="32" fillId="19" borderId="185" xfId="13" applyFont="1" applyFill="1" applyBorder="1" applyAlignment="1">
      <alignment horizontal="center" vertical="center" wrapText="1"/>
    </xf>
    <xf numFmtId="0" fontId="32" fillId="19" borderId="0" xfId="13" applyFont="1" applyFill="1" applyAlignment="1">
      <alignment horizontal="center" vertical="center" wrapText="1"/>
    </xf>
    <xf numFmtId="0" fontId="46" fillId="18" borderId="2" xfId="13" applyFont="1" applyFill="1" applyBorder="1" applyAlignment="1">
      <alignment horizontal="center" vertical="center" wrapText="1"/>
    </xf>
    <xf numFmtId="0" fontId="38" fillId="0" borderId="54" xfId="0" applyFont="1" applyBorder="1" applyAlignment="1">
      <alignment horizontal="center" vertical="center" wrapText="1"/>
    </xf>
    <xf numFmtId="0" fontId="38" fillId="0" borderId="187" xfId="0" applyFont="1" applyBorder="1" applyAlignment="1">
      <alignment horizontal="center" vertical="center" wrapText="1"/>
    </xf>
    <xf numFmtId="0" fontId="38" fillId="0" borderId="188" xfId="0" applyFont="1" applyBorder="1" applyAlignment="1">
      <alignment horizontal="center" vertical="center" wrapText="1"/>
    </xf>
    <xf numFmtId="0" fontId="32" fillId="10" borderId="15" xfId="0" applyFont="1" applyFill="1" applyBorder="1" applyAlignment="1">
      <alignment horizontal="center" vertical="center" wrapText="1"/>
    </xf>
    <xf numFmtId="0" fontId="32" fillId="10" borderId="16" xfId="0" applyFont="1" applyFill="1" applyBorder="1" applyAlignment="1">
      <alignment horizontal="center" vertical="center" wrapText="1"/>
    </xf>
    <xf numFmtId="0" fontId="32" fillId="10" borderId="17" xfId="0" applyFont="1" applyFill="1" applyBorder="1" applyAlignment="1">
      <alignment horizontal="center" vertical="center" wrapText="1"/>
    </xf>
    <xf numFmtId="0" fontId="6" fillId="0" borderId="194" xfId="0" applyFont="1" applyBorder="1" applyAlignment="1">
      <alignment horizontal="center" vertical="center" wrapText="1"/>
    </xf>
    <xf numFmtId="0" fontId="6" fillId="0" borderId="195" xfId="0" applyFont="1" applyBorder="1" applyAlignment="1">
      <alignment horizontal="center" vertical="center" wrapText="1"/>
    </xf>
    <xf numFmtId="0" fontId="6" fillId="0" borderId="196"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197" xfId="0" applyFont="1" applyBorder="1" applyAlignment="1">
      <alignment horizontal="center" vertical="center" wrapText="1"/>
    </xf>
    <xf numFmtId="0" fontId="6" fillId="0" borderId="198" xfId="0" applyFont="1" applyBorder="1" applyAlignment="1">
      <alignment horizontal="center" vertical="center" wrapText="1"/>
    </xf>
    <xf numFmtId="43" fontId="7" fillId="0" borderId="3" xfId="6" applyFont="1" applyBorder="1" applyAlignment="1">
      <alignment horizontal="left" vertical="center"/>
    </xf>
    <xf numFmtId="43" fontId="7" fillId="0" borderId="12" xfId="6" applyFont="1" applyBorder="1" applyAlignment="1">
      <alignment horizontal="left" vertical="center"/>
    </xf>
    <xf numFmtId="43" fontId="7" fillId="0" borderId="13" xfId="6" applyFont="1" applyBorder="1" applyAlignment="1">
      <alignment horizontal="left" vertical="center"/>
    </xf>
    <xf numFmtId="43" fontId="38" fillId="0" borderId="18" xfId="6" applyFont="1" applyBorder="1" applyAlignment="1">
      <alignment horizontal="center" vertical="center" wrapText="1"/>
    </xf>
    <xf numFmtId="43" fontId="38" fillId="0" borderId="21" xfId="6" applyFont="1" applyBorder="1" applyAlignment="1">
      <alignment horizontal="center" vertical="center" wrapText="1"/>
    </xf>
    <xf numFmtId="0" fontId="32" fillId="10" borderId="85" xfId="0" applyFont="1" applyFill="1" applyBorder="1" applyAlignment="1">
      <alignment horizontal="center" vertical="center" wrapText="1"/>
    </xf>
    <xf numFmtId="0" fontId="1" fillId="0" borderId="178" xfId="0" applyFont="1" applyBorder="1" applyAlignment="1">
      <alignment horizontal="center" vertical="center" wrapText="1"/>
    </xf>
    <xf numFmtId="0" fontId="1" fillId="0" borderId="179" xfId="0" applyFont="1" applyBorder="1" applyAlignment="1">
      <alignment horizontal="center" vertical="center" wrapText="1"/>
    </xf>
    <xf numFmtId="0" fontId="1" fillId="0" borderId="180" xfId="0" applyFont="1" applyBorder="1" applyAlignment="1">
      <alignment horizontal="center" vertical="center" wrapText="1"/>
    </xf>
    <xf numFmtId="0" fontId="1" fillId="0" borderId="0" xfId="0" applyFont="1" applyAlignment="1">
      <alignment horizontal="left" vertical="center" wrapText="1"/>
    </xf>
    <xf numFmtId="0" fontId="7" fillId="6" borderId="62" xfId="0" applyFont="1" applyFill="1" applyBorder="1" applyAlignment="1">
      <alignment horizontal="center" vertical="center" wrapText="1"/>
    </xf>
    <xf numFmtId="0" fontId="7" fillId="6" borderId="63" xfId="0" applyFont="1" applyFill="1" applyBorder="1" applyAlignment="1">
      <alignment horizontal="center" vertical="center" wrapText="1"/>
    </xf>
    <xf numFmtId="0" fontId="1" fillId="0" borderId="62" xfId="0" applyFont="1" applyBorder="1" applyAlignment="1">
      <alignment horizontal="center" vertical="center" wrapText="1"/>
    </xf>
    <xf numFmtId="0" fontId="1" fillId="0" borderId="63" xfId="0" applyFont="1" applyBorder="1" applyAlignment="1">
      <alignment horizontal="center" vertical="center" wrapText="1"/>
    </xf>
    <xf numFmtId="0" fontId="1" fillId="0" borderId="60" xfId="0" applyFont="1" applyBorder="1" applyAlignment="1">
      <alignment horizontal="center" vertical="center" wrapText="1"/>
    </xf>
    <xf numFmtId="0" fontId="7" fillId="6" borderId="61" xfId="0" applyFont="1" applyFill="1" applyBorder="1" applyAlignment="1">
      <alignment horizontal="left" vertical="center"/>
    </xf>
    <xf numFmtId="0" fontId="7" fillId="6" borderId="61" xfId="0" applyFont="1" applyFill="1" applyBorder="1" applyAlignment="1">
      <alignment horizontal="center" vertical="center" wrapText="1"/>
    </xf>
    <xf numFmtId="0" fontId="6" fillId="7" borderId="61" xfId="0" applyFont="1" applyFill="1" applyBorder="1" applyAlignment="1">
      <alignment horizontal="left" vertical="center"/>
    </xf>
    <xf numFmtId="0" fontId="32" fillId="10" borderId="61" xfId="0" applyFont="1" applyFill="1" applyBorder="1" applyAlignment="1">
      <alignment horizontal="center" vertical="center"/>
    </xf>
    <xf numFmtId="0" fontId="26" fillId="6" borderId="61" xfId="0" applyFont="1" applyFill="1" applyBorder="1" applyAlignment="1">
      <alignment horizontal="center" vertical="center" wrapText="1"/>
    </xf>
    <xf numFmtId="0" fontId="6" fillId="0" borderId="0" xfId="0" applyFont="1" applyAlignment="1">
      <alignment horizontal="left"/>
    </xf>
    <xf numFmtId="0" fontId="7" fillId="0" borderId="0" xfId="0" applyFont="1" applyAlignment="1">
      <alignment horizontal="left" vertical="center"/>
    </xf>
    <xf numFmtId="0" fontId="6" fillId="0" borderId="0" xfId="0" applyFont="1" applyAlignment="1">
      <alignment horizontal="center"/>
    </xf>
    <xf numFmtId="0" fontId="6" fillId="6" borderId="34" xfId="0" applyFont="1" applyFill="1" applyBorder="1" applyAlignment="1">
      <alignment horizontal="center" vertical="center"/>
    </xf>
    <xf numFmtId="0" fontId="6" fillId="6" borderId="0" xfId="0" applyFont="1" applyFill="1" applyAlignment="1">
      <alignment horizontal="center" vertical="center"/>
    </xf>
    <xf numFmtId="0" fontId="6" fillId="0" borderId="2" xfId="0" applyFont="1" applyBorder="1" applyAlignment="1">
      <alignment horizontal="center" wrapText="1"/>
    </xf>
    <xf numFmtId="0" fontId="6" fillId="0" borderId="2" xfId="0" applyFont="1" applyBorder="1" applyAlignment="1">
      <alignment horizontal="center"/>
    </xf>
    <xf numFmtId="0" fontId="32" fillId="10" borderId="85" xfId="0" applyFont="1" applyFill="1" applyBorder="1" applyAlignment="1">
      <alignment horizontal="center" vertical="center"/>
    </xf>
    <xf numFmtId="0" fontId="32" fillId="10" borderId="64" xfId="0" applyFont="1" applyFill="1" applyBorder="1" applyAlignment="1">
      <alignment horizontal="center" vertical="center"/>
    </xf>
    <xf numFmtId="0" fontId="56" fillId="10" borderId="0" xfId="0" applyFont="1" applyFill="1" applyAlignment="1">
      <alignment horizontal="center" vertical="center" wrapText="1"/>
    </xf>
    <xf numFmtId="0" fontId="56" fillId="10" borderId="2" xfId="0" applyFont="1" applyFill="1" applyBorder="1" applyAlignment="1">
      <alignment horizontal="center"/>
    </xf>
    <xf numFmtId="0" fontId="57" fillId="17" borderId="0" xfId="0" applyFont="1" applyFill="1" applyAlignment="1">
      <alignment horizontal="center" vertical="center"/>
    </xf>
    <xf numFmtId="0" fontId="48" fillId="0" borderId="0" xfId="0" applyFont="1"/>
    <xf numFmtId="0" fontId="48" fillId="0" borderId="36" xfId="0" applyFont="1" applyBorder="1" applyAlignment="1">
      <alignment horizontal="center" vertical="center" wrapText="1"/>
    </xf>
    <xf numFmtId="0" fontId="43" fillId="17" borderId="183" xfId="0" applyFont="1" applyFill="1" applyBorder="1" applyAlignment="1">
      <alignment horizontal="center" vertical="center"/>
    </xf>
    <xf numFmtId="0" fontId="23" fillId="0" borderId="112" xfId="0" applyFont="1" applyBorder="1" applyAlignment="1">
      <alignment horizontal="center" vertical="center" wrapText="1"/>
    </xf>
    <xf numFmtId="0" fontId="23" fillId="0" borderId="89" xfId="0" applyFont="1" applyBorder="1" applyAlignment="1">
      <alignment horizontal="center" vertical="center" wrapText="1"/>
    </xf>
    <xf numFmtId="0" fontId="23" fillId="0" borderId="90" xfId="0" applyFont="1" applyBorder="1" applyAlignment="1">
      <alignment horizontal="center" vertical="center" wrapText="1"/>
    </xf>
    <xf numFmtId="0" fontId="23" fillId="0" borderId="109" xfId="0" applyFont="1" applyBorder="1" applyAlignment="1">
      <alignment horizontal="center" vertical="center"/>
    </xf>
    <xf numFmtId="0" fontId="23" fillId="0" borderId="63" xfId="0" applyFont="1" applyBorder="1" applyAlignment="1">
      <alignment horizontal="center" vertical="center"/>
    </xf>
    <xf numFmtId="0" fontId="23" fillId="0" borderId="93" xfId="0" applyFont="1" applyBorder="1" applyAlignment="1">
      <alignment horizontal="center" vertical="center"/>
    </xf>
    <xf numFmtId="0" fontId="23" fillId="0" borderId="160" xfId="0" applyFont="1" applyBorder="1" applyAlignment="1">
      <alignment horizontal="center" vertical="center" wrapText="1"/>
    </xf>
    <xf numFmtId="0" fontId="23" fillId="0" borderId="135" xfId="0" applyFont="1" applyBorder="1" applyAlignment="1">
      <alignment horizontal="center" vertical="center" wrapText="1"/>
    </xf>
    <xf numFmtId="0" fontId="23" fillId="0" borderId="137" xfId="0" applyFont="1" applyBorder="1" applyAlignment="1">
      <alignment horizontal="center" vertical="center" wrapText="1"/>
    </xf>
    <xf numFmtId="0" fontId="23" fillId="0" borderId="161" xfId="0" applyFont="1" applyBorder="1" applyAlignment="1">
      <alignment horizontal="center" vertical="center" wrapText="1"/>
    </xf>
    <xf numFmtId="0" fontId="23" fillId="0" borderId="141" xfId="0" applyFont="1" applyBorder="1" applyAlignment="1">
      <alignment horizontal="center" vertical="center" wrapText="1"/>
    </xf>
    <xf numFmtId="0" fontId="23" fillId="0" borderId="145" xfId="0" applyFont="1" applyBorder="1" applyAlignment="1">
      <alignment horizontal="center" vertical="center" wrapText="1"/>
    </xf>
    <xf numFmtId="0" fontId="23" fillId="0" borderId="87" xfId="0" applyFont="1" applyBorder="1" applyAlignment="1">
      <alignment horizontal="center" vertical="center" wrapText="1"/>
    </xf>
    <xf numFmtId="0" fontId="23" fillId="0" borderId="113" xfId="0" applyFont="1" applyBorder="1" applyAlignment="1">
      <alignment horizontal="center" vertical="center" wrapText="1"/>
    </xf>
    <xf numFmtId="0" fontId="23" fillId="0" borderId="60" xfId="0" applyFont="1" applyBorder="1" applyAlignment="1">
      <alignment horizontal="center" vertical="center" wrapText="1"/>
    </xf>
    <xf numFmtId="0" fontId="23" fillId="0" borderId="61" xfId="0" applyFont="1" applyBorder="1" applyAlignment="1">
      <alignment horizontal="center" vertical="center" wrapText="1"/>
    </xf>
    <xf numFmtId="0" fontId="23" fillId="0" borderId="77" xfId="0" applyFont="1" applyBorder="1" applyAlignment="1">
      <alignment horizontal="center" vertical="center" wrapText="1"/>
    </xf>
    <xf numFmtId="0" fontId="23" fillId="0" borderId="97" xfId="0" applyFont="1" applyBorder="1" applyAlignment="1">
      <alignment horizontal="center" vertical="center" wrapText="1"/>
    </xf>
    <xf numFmtId="0" fontId="23" fillId="0" borderId="98" xfId="0" applyFont="1" applyBorder="1" applyAlignment="1">
      <alignment horizontal="center" vertical="center" wrapText="1"/>
    </xf>
    <xf numFmtId="0" fontId="23" fillId="0" borderId="102" xfId="0" applyFont="1" applyBorder="1" applyAlignment="1">
      <alignment horizontal="center" vertical="center" wrapText="1"/>
    </xf>
    <xf numFmtId="0" fontId="23" fillId="0" borderId="74" xfId="0" applyFont="1" applyBorder="1" applyAlignment="1">
      <alignment horizontal="center" vertical="center" wrapText="1"/>
    </xf>
    <xf numFmtId="0" fontId="23" fillId="0" borderId="62" xfId="0" applyFont="1" applyBorder="1" applyAlignment="1">
      <alignment horizontal="center" vertical="center" wrapText="1"/>
    </xf>
    <xf numFmtId="0" fontId="23" fillId="0" borderId="134" xfId="0" applyFont="1" applyBorder="1" applyAlignment="1">
      <alignment horizontal="center" vertical="center" wrapText="1"/>
    </xf>
    <xf numFmtId="0" fontId="23" fillId="0" borderId="139" xfId="0" applyFont="1" applyBorder="1" applyAlignment="1">
      <alignment horizontal="center" vertical="center" wrapText="1"/>
    </xf>
    <xf numFmtId="0" fontId="37" fillId="0" borderId="103" xfId="0" applyFont="1" applyBorder="1" applyAlignment="1">
      <alignment horizontal="center" vertical="center" wrapText="1"/>
    </xf>
    <xf numFmtId="0" fontId="37" fillId="0" borderId="98" xfId="0" applyFont="1" applyBorder="1" applyAlignment="1">
      <alignment horizontal="center" vertical="center" wrapText="1"/>
    </xf>
    <xf numFmtId="0" fontId="37" fillId="0" borderId="104" xfId="0" applyFont="1" applyBorder="1" applyAlignment="1">
      <alignment horizontal="center" vertical="center" wrapText="1"/>
    </xf>
    <xf numFmtId="0" fontId="23" fillId="0" borderId="117" xfId="0" applyFont="1" applyBorder="1" applyAlignment="1">
      <alignment horizontal="center" vertical="center"/>
    </xf>
    <xf numFmtId="0" fontId="23" fillId="0" borderId="120" xfId="0" applyFont="1" applyBorder="1" applyAlignment="1">
      <alignment horizontal="center" vertical="center"/>
    </xf>
    <xf numFmtId="0" fontId="23" fillId="0" borderId="132" xfId="0" applyFont="1" applyBorder="1" applyAlignment="1">
      <alignment horizontal="center" vertical="center"/>
    </xf>
    <xf numFmtId="0" fontId="23" fillId="0" borderId="127" xfId="0" applyFont="1" applyBorder="1" applyAlignment="1">
      <alignment horizontal="center" vertical="center"/>
    </xf>
    <xf numFmtId="0" fontId="23" fillId="0" borderId="124" xfId="0" applyFont="1" applyBorder="1" applyAlignment="1">
      <alignment horizontal="center" vertical="center"/>
    </xf>
    <xf numFmtId="0" fontId="23" fillId="0" borderId="123" xfId="0" applyFont="1" applyBorder="1" applyAlignment="1">
      <alignment horizontal="center" vertical="center"/>
    </xf>
    <xf numFmtId="0" fontId="23" fillId="0" borderId="88" xfId="0" applyFont="1" applyBorder="1" applyAlignment="1">
      <alignment horizontal="center" vertical="center"/>
    </xf>
    <xf numFmtId="0" fontId="23" fillId="0" borderId="61" xfId="0" applyFont="1" applyBorder="1" applyAlignment="1">
      <alignment horizontal="center" vertical="center"/>
    </xf>
    <xf numFmtId="0" fontId="23" fillId="0" borderId="77" xfId="0" applyFont="1" applyBorder="1" applyAlignment="1">
      <alignment horizontal="center" vertical="center"/>
    </xf>
    <xf numFmtId="0" fontId="23" fillId="0" borderId="74" xfId="0" applyFont="1" applyBorder="1" applyAlignment="1">
      <alignment horizontal="center" vertical="center"/>
    </xf>
    <xf numFmtId="0" fontId="23" fillId="0" borderId="91" xfId="0" applyFont="1" applyBorder="1" applyAlignment="1">
      <alignment horizontal="center" vertical="center"/>
    </xf>
    <xf numFmtId="0" fontId="23" fillId="0" borderId="62" xfId="0" applyFont="1" applyBorder="1" applyAlignment="1">
      <alignment horizontal="center" vertical="center"/>
    </xf>
    <xf numFmtId="0" fontId="18" fillId="6" borderId="0" xfId="0" applyFont="1" applyFill="1" applyAlignment="1">
      <alignment horizontal="center" vertical="center" wrapText="1"/>
    </xf>
    <xf numFmtId="0" fontId="18" fillId="6" borderId="94" xfId="0" applyFont="1" applyFill="1" applyBorder="1" applyAlignment="1">
      <alignment horizontal="center" vertical="center" wrapText="1"/>
    </xf>
    <xf numFmtId="0" fontId="18" fillId="6" borderId="95" xfId="0" applyFont="1" applyFill="1" applyBorder="1" applyAlignment="1">
      <alignment horizontal="center" vertical="center" wrapText="1"/>
    </xf>
    <xf numFmtId="0" fontId="18" fillId="6" borderId="66" xfId="0" applyFont="1" applyFill="1" applyBorder="1" applyAlignment="1">
      <alignment horizontal="center" vertical="center" wrapText="1"/>
    </xf>
    <xf numFmtId="0" fontId="23" fillId="0" borderId="111" xfId="0" applyFont="1" applyBorder="1" applyAlignment="1">
      <alignment horizontal="center" vertical="center" wrapText="1"/>
    </xf>
    <xf numFmtId="0" fontId="23" fillId="0" borderId="110" xfId="0" applyFont="1" applyBorder="1" applyAlignment="1">
      <alignment horizontal="center" vertical="center" wrapText="1"/>
    </xf>
    <xf numFmtId="0" fontId="23" fillId="0" borderId="114" xfId="0" applyFont="1" applyBorder="1" applyAlignment="1">
      <alignment horizontal="center" vertical="center" wrapText="1"/>
    </xf>
    <xf numFmtId="0" fontId="23" fillId="0" borderId="149" xfId="0" applyFont="1" applyBorder="1" applyAlignment="1">
      <alignment horizontal="center" vertical="center" wrapText="1"/>
    </xf>
    <xf numFmtId="0" fontId="23" fillId="0" borderId="63" xfId="0" applyFont="1" applyBorder="1" applyAlignment="1">
      <alignment horizontal="center" vertical="center" wrapText="1"/>
    </xf>
    <xf numFmtId="0" fontId="23" fillId="0" borderId="93" xfId="0" applyFont="1" applyBorder="1" applyAlignment="1">
      <alignment horizontal="center" vertical="center" wrapText="1"/>
    </xf>
    <xf numFmtId="0" fontId="23" fillId="0" borderId="115" xfId="0" applyFont="1" applyBorder="1" applyAlignment="1">
      <alignment horizontal="center" vertical="center" wrapText="1"/>
    </xf>
    <xf numFmtId="0" fontId="23" fillId="0" borderId="88" xfId="0" applyFont="1" applyBorder="1" applyAlignment="1">
      <alignment horizontal="center" vertical="center" wrapText="1"/>
    </xf>
    <xf numFmtId="0" fontId="23" fillId="0" borderId="91" xfId="0" applyFont="1" applyBorder="1" applyAlignment="1">
      <alignment horizontal="center" vertical="center" wrapText="1"/>
    </xf>
    <xf numFmtId="0" fontId="23" fillId="0" borderId="116" xfId="0" applyFont="1" applyBorder="1" applyAlignment="1">
      <alignment horizontal="center" vertical="center" wrapText="1"/>
    </xf>
    <xf numFmtId="0" fontId="23" fillId="0" borderId="119" xfId="0" applyFont="1" applyBorder="1" applyAlignment="1">
      <alignment horizontal="center" vertical="center" wrapText="1"/>
    </xf>
    <xf numFmtId="0" fontId="23" fillId="0" borderId="131" xfId="0" applyFont="1" applyBorder="1" applyAlignment="1">
      <alignment horizontal="center" vertical="center" wrapText="1"/>
    </xf>
    <xf numFmtId="0" fontId="23" fillId="0" borderId="138" xfId="0" applyFont="1" applyBorder="1" applyAlignment="1">
      <alignment horizontal="center" vertical="center" wrapText="1"/>
    </xf>
    <xf numFmtId="0" fontId="23" fillId="0" borderId="140" xfId="0" applyFont="1" applyBorder="1" applyAlignment="1">
      <alignment horizontal="center" vertical="center" wrapText="1"/>
    </xf>
    <xf numFmtId="0" fontId="23" fillId="0" borderId="142" xfId="0" applyFont="1" applyBorder="1" applyAlignment="1">
      <alignment horizontal="center" vertical="center" wrapText="1"/>
    </xf>
    <xf numFmtId="0" fontId="23" fillId="0" borderId="144" xfId="0" applyFont="1" applyBorder="1" applyAlignment="1">
      <alignment horizontal="center" vertical="center" wrapText="1"/>
    </xf>
    <xf numFmtId="0" fontId="7" fillId="6" borderId="2" xfId="0" applyFont="1" applyFill="1" applyBorder="1" applyAlignment="1">
      <alignment horizontal="center" vertical="center"/>
    </xf>
    <xf numFmtId="0" fontId="7" fillId="6" borderId="14" xfId="0" applyFont="1" applyFill="1" applyBorder="1" applyAlignment="1">
      <alignment horizontal="center" vertical="center"/>
    </xf>
    <xf numFmtId="0" fontId="23" fillId="0" borderId="122" xfId="0" applyFont="1" applyBorder="1" applyAlignment="1">
      <alignment horizontal="center" vertical="center" wrapText="1"/>
    </xf>
    <xf numFmtId="0" fontId="23" fillId="0" borderId="126" xfId="0" applyFont="1" applyBorder="1" applyAlignment="1">
      <alignment horizontal="center" vertical="center" wrapText="1"/>
    </xf>
    <xf numFmtId="0" fontId="23" fillId="0" borderId="150" xfId="0" applyFont="1" applyBorder="1" applyAlignment="1">
      <alignment horizontal="center" vertical="center"/>
    </xf>
    <xf numFmtId="0" fontId="23" fillId="0" borderId="60" xfId="0" applyFont="1" applyBorder="1" applyAlignment="1">
      <alignment horizontal="center" vertical="center"/>
    </xf>
    <xf numFmtId="0" fontId="23" fillId="0" borderId="105" xfId="0" applyFont="1" applyBorder="1" applyAlignment="1">
      <alignment horizontal="center" vertical="center" wrapText="1"/>
    </xf>
    <xf numFmtId="0" fontId="23" fillId="0" borderId="104" xfId="0" applyFont="1" applyBorder="1" applyAlignment="1">
      <alignment horizontal="center" vertical="center" wrapText="1"/>
    </xf>
    <xf numFmtId="0" fontId="23" fillId="0" borderId="103" xfId="0" applyFont="1" applyBorder="1" applyAlignment="1">
      <alignment horizontal="center" vertical="center" wrapText="1"/>
    </xf>
    <xf numFmtId="0" fontId="23" fillId="0" borderId="99" xfId="0" applyFont="1" applyBorder="1" applyAlignment="1">
      <alignment horizontal="center" vertical="center" wrapText="1"/>
    </xf>
    <xf numFmtId="0" fontId="18" fillId="6" borderId="2" xfId="0" applyFont="1" applyFill="1" applyBorder="1" applyAlignment="1">
      <alignment horizontal="center" vertical="center" wrapText="1"/>
    </xf>
    <xf numFmtId="0" fontId="32" fillId="10" borderId="24" xfId="0" applyFont="1" applyFill="1" applyBorder="1" applyAlignment="1">
      <alignment horizontal="center" vertical="center" wrapText="1"/>
    </xf>
    <xf numFmtId="0" fontId="23" fillId="0" borderId="130" xfId="0" applyFont="1" applyBorder="1" applyAlignment="1">
      <alignment horizontal="center" vertical="center" wrapText="1"/>
    </xf>
    <xf numFmtId="0" fontId="23" fillId="0" borderId="120" xfId="0" applyFont="1" applyBorder="1" applyAlignment="1">
      <alignment horizontal="center" vertical="center" wrapText="1"/>
    </xf>
    <xf numFmtId="0" fontId="23" fillId="0" borderId="123" xfId="0" applyFont="1" applyBorder="1" applyAlignment="1">
      <alignment horizontal="center" vertical="center" wrapText="1"/>
    </xf>
    <xf numFmtId="0" fontId="23" fillId="0" borderId="128" xfId="0" applyFont="1" applyBorder="1" applyAlignment="1">
      <alignment horizontal="center" vertical="center" wrapText="1"/>
    </xf>
    <xf numFmtId="0" fontId="23" fillId="0" borderId="121" xfId="0" applyFont="1" applyBorder="1" applyAlignment="1">
      <alignment horizontal="center" vertical="center" wrapText="1"/>
    </xf>
    <xf numFmtId="0" fontId="23" fillId="0" borderId="129" xfId="0" applyFont="1" applyBorder="1" applyAlignment="1">
      <alignment horizontal="center" vertical="center" wrapText="1"/>
    </xf>
    <xf numFmtId="0" fontId="23" fillId="0" borderId="127" xfId="0" applyFont="1" applyBorder="1" applyAlignment="1">
      <alignment horizontal="center" vertical="center" wrapText="1"/>
    </xf>
    <xf numFmtId="0" fontId="23" fillId="0" borderId="124" xfId="0" applyFont="1" applyBorder="1" applyAlignment="1">
      <alignment horizontal="center" vertical="center" wrapText="1"/>
    </xf>
    <xf numFmtId="0" fontId="23" fillId="0" borderId="125" xfId="0" applyFont="1" applyBorder="1" applyAlignment="1">
      <alignment horizontal="center" vertical="center" wrapText="1"/>
    </xf>
    <xf numFmtId="0" fontId="23" fillId="0" borderId="117" xfId="0" applyFont="1" applyBorder="1" applyAlignment="1">
      <alignment horizontal="center" vertical="center" wrapText="1"/>
    </xf>
    <xf numFmtId="0" fontId="23" fillId="0" borderId="118" xfId="0" applyFont="1" applyBorder="1" applyAlignment="1">
      <alignment horizontal="center" vertical="center" wrapText="1"/>
    </xf>
    <xf numFmtId="0" fontId="23" fillId="0" borderId="133" xfId="0" applyFont="1" applyBorder="1" applyAlignment="1">
      <alignment horizontal="center" vertical="center" wrapText="1"/>
    </xf>
    <xf numFmtId="0" fontId="23" fillId="0" borderId="136" xfId="0" applyFont="1" applyBorder="1" applyAlignment="1">
      <alignment horizontal="center" vertical="center" wrapText="1"/>
    </xf>
    <xf numFmtId="0" fontId="23" fillId="0" borderId="143" xfId="0" applyFont="1" applyBorder="1" applyAlignment="1">
      <alignment horizontal="center" vertical="center" wrapText="1"/>
    </xf>
    <xf numFmtId="0" fontId="23" fillId="0" borderId="146" xfId="0" applyFont="1" applyBorder="1" applyAlignment="1">
      <alignment horizontal="center" vertical="center" wrapText="1"/>
    </xf>
    <xf numFmtId="0" fontId="23" fillId="0" borderId="147" xfId="0" applyFont="1" applyBorder="1" applyAlignment="1">
      <alignment horizontal="center" vertical="center" wrapText="1"/>
    </xf>
    <xf numFmtId="0" fontId="23" fillId="0" borderId="148" xfId="0" applyFont="1" applyBorder="1" applyAlignment="1">
      <alignment horizontal="center" vertical="center" wrapText="1"/>
    </xf>
    <xf numFmtId="0" fontId="23" fillId="0" borderId="150" xfId="0" applyFont="1" applyBorder="1" applyAlignment="1">
      <alignment horizontal="center" vertical="center" wrapText="1"/>
    </xf>
    <xf numFmtId="0" fontId="23" fillId="0" borderId="151" xfId="0" applyFont="1" applyBorder="1" applyAlignment="1">
      <alignment horizontal="center" vertical="center" wrapText="1"/>
    </xf>
    <xf numFmtId="0" fontId="46" fillId="6" borderId="216" xfId="0" applyFont="1" applyFill="1" applyBorder="1" applyAlignment="1">
      <alignment horizontal="center" vertical="center"/>
    </xf>
    <xf numFmtId="0" fontId="46" fillId="6" borderId="217" xfId="0" applyFont="1" applyFill="1" applyBorder="1" applyAlignment="1">
      <alignment horizontal="center" vertical="center"/>
    </xf>
    <xf numFmtId="0" fontId="46" fillId="6" borderId="218" xfId="0" applyFont="1" applyFill="1" applyBorder="1" applyAlignment="1">
      <alignment horizontal="center" vertical="center"/>
    </xf>
    <xf numFmtId="0" fontId="46" fillId="6" borderId="0" xfId="0" applyFont="1" applyFill="1" applyAlignment="1">
      <alignment horizontal="center" vertical="center" wrapText="1"/>
    </xf>
    <xf numFmtId="0" fontId="46" fillId="6" borderId="94" xfId="0" applyFont="1" applyFill="1" applyBorder="1" applyAlignment="1">
      <alignment horizontal="center" vertical="center" wrapText="1"/>
    </xf>
    <xf numFmtId="0" fontId="46" fillId="6" borderId="95" xfId="0" applyFont="1" applyFill="1" applyBorder="1" applyAlignment="1">
      <alignment horizontal="center" vertical="center" wrapText="1"/>
    </xf>
    <xf numFmtId="0" fontId="55" fillId="0" borderId="126" xfId="0" applyFont="1" applyBorder="1" applyAlignment="1">
      <alignment horizontal="center" vertical="center" wrapText="1"/>
    </xf>
    <xf numFmtId="0" fontId="55" fillId="0" borderId="119" xfId="0" applyFont="1" applyBorder="1" applyAlignment="1">
      <alignment horizontal="center" vertical="center" wrapText="1"/>
    </xf>
    <xf numFmtId="0" fontId="55" fillId="0" borderId="122" xfId="0" applyFont="1" applyBorder="1" applyAlignment="1">
      <alignment horizontal="center" vertical="center" wrapText="1"/>
    </xf>
    <xf numFmtId="0" fontId="55" fillId="0" borderId="117" xfId="0" applyFont="1" applyBorder="1" applyAlignment="1">
      <alignment horizontal="center" vertical="center" wrapText="1"/>
    </xf>
    <xf numFmtId="0" fontId="55" fillId="0" borderId="120" xfId="0" applyFont="1" applyBorder="1" applyAlignment="1">
      <alignment horizontal="center" vertical="center" wrapText="1"/>
    </xf>
    <xf numFmtId="0" fontId="55" fillId="0" borderId="124" xfId="0" applyFont="1" applyBorder="1" applyAlignment="1">
      <alignment horizontal="center" vertical="center" wrapText="1"/>
    </xf>
    <xf numFmtId="0" fontId="55" fillId="0" borderId="128" xfId="0" applyFont="1" applyBorder="1" applyAlignment="1">
      <alignment horizontal="center" vertical="center" wrapText="1"/>
    </xf>
    <xf numFmtId="0" fontId="55" fillId="0" borderId="121" xfId="0" applyFont="1" applyBorder="1" applyAlignment="1">
      <alignment horizontal="center" vertical="center" wrapText="1"/>
    </xf>
    <xf numFmtId="0" fontId="55" fillId="0" borderId="129"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3" xfId="0" applyFont="1" applyBorder="1" applyAlignment="1">
      <alignment horizontal="center" vertical="center" wrapText="1"/>
    </xf>
    <xf numFmtId="0" fontId="55" fillId="0" borderId="117" xfId="0" applyFont="1" applyBorder="1" applyAlignment="1">
      <alignment horizontal="center" vertical="center"/>
    </xf>
    <xf numFmtId="0" fontId="55" fillId="0" borderId="120" xfId="0" applyFont="1" applyBorder="1" applyAlignment="1">
      <alignment horizontal="center" vertical="center"/>
    </xf>
    <xf numFmtId="0" fontId="55" fillId="0" borderId="124" xfId="0" applyFont="1" applyBorder="1" applyAlignment="1">
      <alignment horizontal="center" vertical="center"/>
    </xf>
    <xf numFmtId="0" fontId="55" fillId="0" borderId="118" xfId="0" applyFont="1" applyBorder="1" applyAlignment="1">
      <alignment horizontal="center" vertical="center" wrapText="1"/>
    </xf>
    <xf numFmtId="0" fontId="55" fillId="0" borderId="125" xfId="0" applyFont="1" applyBorder="1" applyAlignment="1">
      <alignment horizontal="center" vertical="center" wrapText="1"/>
    </xf>
    <xf numFmtId="0" fontId="55" fillId="0" borderId="232" xfId="0" applyFont="1" applyBorder="1" applyAlignment="1">
      <alignment horizontal="center" vertical="center" wrapText="1"/>
    </xf>
    <xf numFmtId="0" fontId="55" fillId="0" borderId="236" xfId="0" applyFont="1" applyBorder="1" applyAlignment="1">
      <alignment horizontal="center" vertical="center" wrapText="1"/>
    </xf>
    <xf numFmtId="0" fontId="55" fillId="0" borderId="238" xfId="0" applyFont="1" applyBorder="1" applyAlignment="1">
      <alignment horizontal="center" vertical="center" wrapText="1"/>
    </xf>
    <xf numFmtId="0" fontId="55" fillId="0" borderId="233" xfId="0" applyFont="1" applyBorder="1" applyAlignment="1">
      <alignment horizontal="center" vertical="center" wrapText="1"/>
    </xf>
    <xf numFmtId="0" fontId="55" fillId="0" borderId="239" xfId="0" applyFont="1" applyBorder="1" applyAlignment="1">
      <alignment horizontal="center" vertical="center" wrapText="1"/>
    </xf>
    <xf numFmtId="0" fontId="55" fillId="0" borderId="233" xfId="0" applyFont="1" applyBorder="1" applyAlignment="1">
      <alignment horizontal="center" vertical="center"/>
    </xf>
    <xf numFmtId="0" fontId="55" fillId="0" borderId="239" xfId="0" applyFont="1" applyBorder="1" applyAlignment="1">
      <alignment horizontal="center" vertical="center"/>
    </xf>
    <xf numFmtId="0" fontId="55" fillId="0" borderId="234" xfId="0" applyFont="1" applyBorder="1" applyAlignment="1">
      <alignment horizontal="center" vertical="center" wrapText="1"/>
    </xf>
    <xf numFmtId="0" fontId="55" fillId="0" borderId="240" xfId="0" applyFont="1" applyBorder="1" applyAlignment="1">
      <alignment horizontal="center" vertical="center" wrapText="1"/>
    </xf>
    <xf numFmtId="0" fontId="55" fillId="0" borderId="130" xfId="0" applyFont="1" applyBorder="1" applyAlignment="1">
      <alignment horizontal="center" vertical="center" wrapText="1"/>
    </xf>
    <xf numFmtId="0" fontId="24" fillId="0" borderId="2" xfId="0" applyFont="1" applyBorder="1" applyAlignment="1">
      <alignment horizontal="center" vertical="center"/>
    </xf>
    <xf numFmtId="0" fontId="32" fillId="12" borderId="23" xfId="0" applyFont="1" applyFill="1" applyBorder="1" applyAlignment="1">
      <alignment horizontal="center" vertical="center"/>
    </xf>
    <xf numFmtId="0" fontId="32" fillId="10" borderId="23" xfId="0" applyFont="1" applyFill="1" applyBorder="1" applyAlignment="1">
      <alignment horizontal="center" vertical="center"/>
    </xf>
    <xf numFmtId="0" fontId="32" fillId="12" borderId="23" xfId="0" applyFont="1" applyFill="1" applyBorder="1" applyAlignment="1">
      <alignment horizontal="center" vertical="center" wrapText="1"/>
    </xf>
    <xf numFmtId="0" fontId="26" fillId="13" borderId="3" xfId="0" applyFont="1" applyFill="1" applyBorder="1" applyAlignment="1">
      <alignment horizontal="center" vertical="center"/>
    </xf>
    <xf numFmtId="0" fontId="26" fillId="13" borderId="12" xfId="0" applyFont="1" applyFill="1" applyBorder="1" applyAlignment="1">
      <alignment horizontal="center" vertical="center"/>
    </xf>
    <xf numFmtId="0" fontId="26" fillId="13" borderId="13" xfId="0" applyFont="1" applyFill="1" applyBorder="1" applyAlignment="1">
      <alignment horizontal="center" vertical="center"/>
    </xf>
    <xf numFmtId="0" fontId="26" fillId="13" borderId="14" xfId="0" applyFont="1" applyFill="1" applyBorder="1" applyAlignment="1">
      <alignment horizontal="center" vertical="center"/>
    </xf>
    <xf numFmtId="0" fontId="26" fillId="13" borderId="21" xfId="0" applyFont="1" applyFill="1" applyBorder="1" applyAlignment="1">
      <alignment horizontal="center" vertical="center"/>
    </xf>
    <xf numFmtId="0" fontId="24" fillId="0" borderId="53" xfId="0" applyFont="1" applyBorder="1" applyAlignment="1">
      <alignment horizontal="center" vertical="center"/>
    </xf>
    <xf numFmtId="0" fontId="24" fillId="0" borderId="45" xfId="0" applyFont="1" applyBorder="1" applyAlignment="1">
      <alignment horizontal="center" vertical="center"/>
    </xf>
    <xf numFmtId="0" fontId="24" fillId="0" borderId="244" xfId="0" applyFont="1" applyBorder="1" applyAlignment="1">
      <alignment horizontal="center" vertical="center"/>
    </xf>
    <xf numFmtId="0" fontId="6" fillId="0" borderId="0" xfId="0" applyFont="1" applyAlignment="1">
      <alignment horizontal="center" wrapText="1"/>
    </xf>
    <xf numFmtId="0" fontId="24" fillId="0" borderId="51" xfId="0" applyFont="1" applyBorder="1" applyAlignment="1">
      <alignment horizontal="center" vertical="center"/>
    </xf>
    <xf numFmtId="0" fontId="24" fillId="0" borderId="52" xfId="0" applyFont="1" applyBorder="1" applyAlignment="1">
      <alignment horizontal="center" vertical="center"/>
    </xf>
    <xf numFmtId="0" fontId="26" fillId="0" borderId="0" xfId="0" applyFont="1" applyAlignment="1">
      <alignment horizontal="center" vertical="center"/>
    </xf>
    <xf numFmtId="10" fontId="7" fillId="0" borderId="9" xfId="8" applyNumberFormat="1" applyFont="1" applyBorder="1" applyAlignment="1">
      <alignment horizontal="center"/>
    </xf>
    <xf numFmtId="10" fontId="7" fillId="0" borderId="10" xfId="8" applyNumberFormat="1" applyFont="1" applyBorder="1" applyAlignment="1">
      <alignment horizontal="center"/>
    </xf>
    <xf numFmtId="10" fontId="7" fillId="0" borderId="11" xfId="8" applyNumberFormat="1" applyFont="1" applyBorder="1" applyAlignment="1">
      <alignment horizontal="center"/>
    </xf>
    <xf numFmtId="0" fontId="7" fillId="5" borderId="3"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0" fillId="0" borderId="0" xfId="0" applyAlignment="1">
      <alignment horizontal="center"/>
    </xf>
    <xf numFmtId="0" fontId="35" fillId="0" borderId="219" xfId="0" applyFont="1" applyBorder="1" applyAlignment="1">
      <alignment horizontal="center" vertical="center" wrapText="1"/>
    </xf>
    <xf numFmtId="0" fontId="35" fillId="0" borderId="88" xfId="0" applyFont="1" applyBorder="1" applyAlignment="1">
      <alignment horizontal="center" vertical="center"/>
    </xf>
    <xf numFmtId="0" fontId="35" fillId="0" borderId="220" xfId="0" applyFont="1" applyBorder="1" applyAlignment="1">
      <alignment horizontal="center" vertical="center" wrapText="1"/>
    </xf>
    <xf numFmtId="0" fontId="35" fillId="0" borderId="152" xfId="0" applyFont="1" applyBorder="1" applyAlignment="1">
      <alignment horizontal="center" vertical="center"/>
    </xf>
    <xf numFmtId="2" fontId="35" fillId="0" borderId="88" xfId="0" applyNumberFormat="1" applyFont="1" applyBorder="1" applyAlignment="1">
      <alignment horizontal="center" vertical="center"/>
    </xf>
    <xf numFmtId="2" fontId="35" fillId="0" borderId="97" xfId="0" applyNumberFormat="1" applyFont="1" applyBorder="1" applyAlignment="1">
      <alignment horizontal="center" vertical="center"/>
    </xf>
    <xf numFmtId="0" fontId="35" fillId="0" borderId="114" xfId="0" applyFont="1" applyBorder="1" applyAlignment="1">
      <alignment horizontal="center" vertical="center" wrapText="1"/>
    </xf>
    <xf numFmtId="0" fontId="35" fillId="0" borderId="61" xfId="0" applyFont="1" applyBorder="1" applyAlignment="1">
      <alignment horizontal="center" vertical="center"/>
    </xf>
    <xf numFmtId="0" fontId="35" fillId="0" borderId="76" xfId="0" applyFont="1" applyBorder="1" applyAlignment="1">
      <alignment horizontal="center" vertical="center" wrapText="1"/>
    </xf>
    <xf numFmtId="0" fontId="35" fillId="0" borderId="73" xfId="0" applyFont="1" applyBorder="1" applyAlignment="1">
      <alignment horizontal="center" vertical="center"/>
    </xf>
    <xf numFmtId="2" fontId="35" fillId="0" borderId="61" xfId="0" applyNumberFormat="1" applyFont="1" applyBorder="1" applyAlignment="1">
      <alignment horizontal="center" vertical="center"/>
    </xf>
    <xf numFmtId="2" fontId="35" fillId="0" borderId="98" xfId="0" applyNumberFormat="1" applyFont="1" applyBorder="1" applyAlignment="1">
      <alignment horizontal="center" vertical="center"/>
    </xf>
    <xf numFmtId="0" fontId="35" fillId="0" borderId="149" xfId="0" applyFont="1" applyBorder="1" applyAlignment="1">
      <alignment horizontal="center" vertical="center" wrapText="1"/>
    </xf>
    <xf numFmtId="0" fontId="35" fillId="0" borderId="91" xfId="0" applyFont="1" applyBorder="1" applyAlignment="1">
      <alignment horizontal="center" vertical="center"/>
    </xf>
    <xf numFmtId="0" fontId="35" fillId="0" borderId="221" xfId="0" applyFont="1" applyBorder="1" applyAlignment="1">
      <alignment horizontal="center" vertical="center" wrapText="1"/>
    </xf>
    <xf numFmtId="0" fontId="35" fillId="0" borderId="153" xfId="0" applyFont="1" applyBorder="1" applyAlignment="1">
      <alignment horizontal="center" vertical="center"/>
    </xf>
    <xf numFmtId="2" fontId="35" fillId="0" borderId="91" xfId="0" applyNumberFormat="1" applyFont="1" applyBorder="1" applyAlignment="1">
      <alignment horizontal="center" vertical="center"/>
    </xf>
    <xf numFmtId="2" fontId="35" fillId="0" borderId="99" xfId="0" applyNumberFormat="1" applyFont="1" applyBorder="1" applyAlignment="1">
      <alignment horizontal="center" vertical="center"/>
    </xf>
    <xf numFmtId="0" fontId="35" fillId="0" borderId="109" xfId="0" applyFont="1" applyBorder="1" applyAlignment="1">
      <alignment horizontal="center" vertical="center"/>
    </xf>
    <xf numFmtId="0" fontId="35" fillId="0" borderId="60" xfId="0" applyFont="1" applyBorder="1" applyAlignment="1">
      <alignment horizontal="center" vertical="center"/>
    </xf>
    <xf numFmtId="0" fontId="35" fillId="0" borderId="80" xfId="0" applyFont="1" applyBorder="1" applyAlignment="1">
      <alignment horizontal="center" vertical="center" wrapText="1"/>
    </xf>
    <xf numFmtId="0" fontId="35" fillId="0" borderId="83" xfId="0" applyFont="1" applyBorder="1" applyAlignment="1">
      <alignment horizontal="center" vertical="center"/>
    </xf>
    <xf numFmtId="2" fontId="35" fillId="0" borderId="60" xfId="0" applyNumberFormat="1" applyFont="1" applyBorder="1" applyAlignment="1">
      <alignment horizontal="center" vertical="center"/>
    </xf>
    <xf numFmtId="2" fontId="35" fillId="0" borderId="80" xfId="0" applyNumberFormat="1" applyFont="1" applyBorder="1" applyAlignment="1">
      <alignment horizontal="center" vertical="center"/>
    </xf>
    <xf numFmtId="0" fontId="35" fillId="0" borderId="63" xfId="0" applyFont="1" applyBorder="1" applyAlignment="1">
      <alignment horizontal="center" vertical="center"/>
    </xf>
    <xf numFmtId="2" fontId="35" fillId="0" borderId="76" xfId="0" applyNumberFormat="1" applyFont="1" applyBorder="1" applyAlignment="1">
      <alignment horizontal="center" vertical="center"/>
    </xf>
    <xf numFmtId="0" fontId="35" fillId="0" borderId="93" xfId="0" applyFont="1" applyBorder="1" applyAlignment="1">
      <alignment horizontal="center" vertical="center"/>
    </xf>
    <xf numFmtId="0" fontId="35" fillId="0" borderId="77" xfId="0" applyFont="1" applyBorder="1" applyAlignment="1">
      <alignment horizontal="center" vertical="center"/>
    </xf>
    <xf numFmtId="0" fontId="35" fillId="0" borderId="78" xfId="0" applyFont="1" applyBorder="1" applyAlignment="1">
      <alignment horizontal="center" vertical="center" wrapText="1"/>
    </xf>
    <xf numFmtId="0" fontId="35" fillId="0" borderId="82" xfId="0" applyFont="1" applyBorder="1" applyAlignment="1">
      <alignment horizontal="center" vertical="center"/>
    </xf>
    <xf numFmtId="2" fontId="35" fillId="0" borderId="77" xfId="0" applyNumberFormat="1" applyFont="1" applyBorder="1" applyAlignment="1">
      <alignment horizontal="center" vertical="center"/>
    </xf>
    <xf numFmtId="2" fontId="35" fillId="0" borderId="78" xfId="0" applyNumberFormat="1" applyFont="1" applyBorder="1" applyAlignment="1">
      <alignment horizontal="center" vertical="center"/>
    </xf>
    <xf numFmtId="0" fontId="35" fillId="0" borderId="86" xfId="0" applyFont="1" applyBorder="1" applyAlignment="1">
      <alignment horizontal="center" vertical="center"/>
    </xf>
    <xf numFmtId="0" fontId="35" fillId="0" borderId="74" xfId="0" applyFont="1" applyBorder="1" applyAlignment="1">
      <alignment horizontal="center" vertical="center" wrapText="1"/>
    </xf>
    <xf numFmtId="0" fontId="35" fillId="0" borderId="81" xfId="0" applyFont="1" applyBorder="1" applyAlignment="1">
      <alignment horizontal="center" vertical="center"/>
    </xf>
    <xf numFmtId="2" fontId="35" fillId="0" borderId="74" xfId="0" applyNumberFormat="1" applyFont="1" applyBorder="1" applyAlignment="1">
      <alignment horizontal="center" vertical="center"/>
    </xf>
    <xf numFmtId="2" fontId="35" fillId="0" borderId="75" xfId="0" applyNumberFormat="1" applyFont="1" applyBorder="1" applyAlignment="1">
      <alignment horizontal="center" vertical="center"/>
    </xf>
    <xf numFmtId="0" fontId="35" fillId="0" borderId="61" xfId="0" applyFont="1" applyBorder="1" applyAlignment="1">
      <alignment horizontal="center" vertical="center" wrapText="1"/>
    </xf>
    <xf numFmtId="0" fontId="35" fillId="0" borderId="62" xfId="0" applyFont="1" applyBorder="1" applyAlignment="1">
      <alignment horizontal="center" vertical="center" wrapText="1"/>
    </xf>
    <xf numFmtId="0" fontId="35" fillId="0" borderId="65" xfId="0" applyFont="1" applyBorder="1" applyAlignment="1">
      <alignment horizontal="center" vertical="center"/>
    </xf>
    <xf numFmtId="2" fontId="35" fillId="0" borderId="62" xfId="0" applyNumberFormat="1" applyFont="1" applyBorder="1" applyAlignment="1">
      <alignment horizontal="center" vertical="center"/>
    </xf>
    <xf numFmtId="2" fontId="35" fillId="0" borderId="79" xfId="0" applyNumberFormat="1" applyFont="1" applyBorder="1" applyAlignment="1">
      <alignment horizontal="center" vertical="center"/>
    </xf>
    <xf numFmtId="0" fontId="35" fillId="0" borderId="74" xfId="0" applyFont="1" applyBorder="1" applyAlignment="1">
      <alignment horizontal="center" vertical="center"/>
    </xf>
    <xf numFmtId="0" fontId="35" fillId="0" borderId="77" xfId="0" applyFont="1" applyBorder="1" applyAlignment="1">
      <alignment horizontal="center" vertical="center" wrapText="1"/>
    </xf>
    <xf numFmtId="0" fontId="35" fillId="0" borderId="60" xfId="0" applyFont="1" applyBorder="1" applyAlignment="1">
      <alignment horizontal="center" vertical="center" wrapText="1"/>
    </xf>
    <xf numFmtId="0" fontId="35" fillId="0" borderId="62" xfId="0" applyFont="1" applyBorder="1" applyAlignment="1">
      <alignment horizontal="center" vertical="center"/>
    </xf>
    <xf numFmtId="0" fontId="35" fillId="0" borderId="79" xfId="0" applyFont="1" applyBorder="1" applyAlignment="1">
      <alignment horizontal="center" vertical="center" wrapText="1"/>
    </xf>
    <xf numFmtId="0" fontId="35" fillId="0" borderId="222" xfId="0" applyFont="1" applyBorder="1" applyAlignment="1">
      <alignment horizontal="center" vertical="center"/>
    </xf>
    <xf numFmtId="0" fontId="35" fillId="0" borderId="223" xfId="0" applyFont="1" applyBorder="1" applyAlignment="1">
      <alignment horizontal="center" vertical="center" wrapText="1"/>
    </xf>
    <xf numFmtId="0" fontId="35" fillId="0" borderId="224" xfId="0" applyFont="1" applyBorder="1" applyAlignment="1">
      <alignment horizontal="center" vertical="center"/>
    </xf>
    <xf numFmtId="0" fontId="35" fillId="0" borderId="222" xfId="0" applyFont="1" applyBorder="1" applyAlignment="1">
      <alignment horizontal="center" vertical="center"/>
    </xf>
    <xf numFmtId="0" fontId="35" fillId="0" borderId="60" xfId="0" applyFont="1" applyBorder="1" applyAlignment="1">
      <alignment horizontal="center" vertical="center"/>
    </xf>
    <xf numFmtId="0" fontId="35" fillId="0" borderId="226" xfId="0" applyFont="1" applyBorder="1" applyAlignment="1">
      <alignment horizontal="center" vertical="center"/>
    </xf>
    <xf numFmtId="0" fontId="35" fillId="0" borderId="227" xfId="0" applyFont="1" applyBorder="1" applyAlignment="1">
      <alignment horizontal="center" vertical="center" wrapText="1"/>
    </xf>
    <xf numFmtId="0" fontId="35" fillId="0" borderId="228" xfId="0" applyFont="1" applyBorder="1" applyAlignment="1">
      <alignment horizontal="center" vertical="center"/>
    </xf>
    <xf numFmtId="0" fontId="35" fillId="0" borderId="229" xfId="0" applyFont="1" applyBorder="1" applyAlignment="1">
      <alignment horizontal="center" vertical="center"/>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E3A297BE-88D1-47B4-9CC7-92D381D7BAD0}"/>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78787"/>
      <color rgb="FF919191"/>
      <color rgb="FFA6A6A6"/>
      <color rgb="FFFF9900"/>
      <color rgb="FF001132"/>
      <color rgb="FFCCCCFF"/>
      <color rgb="FF8238BA"/>
      <color rgb="FFFFEBCD"/>
      <color rgb="FF002F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3.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4.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5.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6.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7.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8.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9.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0.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1.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2.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3.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4.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5.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6.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7.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8.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9.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40.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41.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DEER</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9"/>
          <c:order val="0"/>
          <c:tx>
            <c:strRef>
              <c:f>Equipment!$K$120</c:f>
              <c:strCache>
                <c:ptCount val="1"/>
                <c:pt idx="0">
                  <c:v>DEER-Weekday</c:v>
                </c:pt>
              </c:strCache>
            </c:strRef>
          </c:tx>
          <c:spPr>
            <a:ln w="28575" cap="rnd">
              <a:solidFill>
                <a:schemeClr val="accent4">
                  <a:lumMod val="60000"/>
                </a:schemeClr>
              </a:solidFill>
              <a:round/>
            </a:ln>
            <a:effectLst/>
          </c:spPr>
          <c:marker>
            <c:symbol val="none"/>
          </c:marker>
          <c:cat>
            <c:multiLvlStrRef>
              <c:f>Equipment!$A$121:$A$144</c:f>
            </c:multiLvlStrRef>
          </c:cat>
          <c:val>
            <c:numRef>
              <c:f>Equipment!$K$121:$K$144</c:f>
            </c:numRef>
          </c:val>
          <c:smooth val="0"/>
          <c:extLst>
            <c:ext xmlns:c16="http://schemas.microsoft.com/office/drawing/2014/chart" uri="{C3380CC4-5D6E-409C-BE32-E72D297353CC}">
              <c16:uniqueId val="{00000009-5C34-41FF-86F5-2A6EAFC8C138}"/>
            </c:ext>
          </c:extLst>
        </c:ser>
        <c:ser>
          <c:idx val="10"/>
          <c:order val="1"/>
          <c:tx>
            <c:strRef>
              <c:f>Equipment!$L$120</c:f>
              <c:strCache>
                <c:ptCount val="1"/>
                <c:pt idx="0">
                  <c:v>DEER-Saturday</c:v>
                </c:pt>
              </c:strCache>
            </c:strRef>
          </c:tx>
          <c:spPr>
            <a:ln w="28575" cap="rnd">
              <a:solidFill>
                <a:schemeClr val="accent5">
                  <a:lumMod val="60000"/>
                </a:schemeClr>
              </a:solidFill>
              <a:round/>
            </a:ln>
            <a:effectLst/>
          </c:spPr>
          <c:marker>
            <c:symbol val="none"/>
          </c:marker>
          <c:cat>
            <c:multiLvlStrRef>
              <c:f>Equipment!$A$121:$A$144</c:f>
            </c:multiLvlStrRef>
          </c:cat>
          <c:val>
            <c:numRef>
              <c:f>Equipment!$L$121:$L$144</c:f>
            </c:numRef>
          </c:val>
          <c:smooth val="0"/>
          <c:extLst>
            <c:ext xmlns:c16="http://schemas.microsoft.com/office/drawing/2014/chart" uri="{C3380CC4-5D6E-409C-BE32-E72D297353CC}">
              <c16:uniqueId val="{0000000A-5C34-41FF-86F5-2A6EAFC8C138}"/>
            </c:ext>
          </c:extLst>
        </c:ser>
        <c:ser>
          <c:idx val="11"/>
          <c:order val="2"/>
          <c:tx>
            <c:strRef>
              <c:f>Equipment!$M$120</c:f>
              <c:strCache>
                <c:ptCount val="1"/>
                <c:pt idx="0">
                  <c:v>DEER-OtherDays</c:v>
                </c:pt>
              </c:strCache>
            </c:strRef>
          </c:tx>
          <c:spPr>
            <a:ln w="28575" cap="rnd">
              <a:solidFill>
                <a:schemeClr val="accent6">
                  <a:lumMod val="60000"/>
                </a:schemeClr>
              </a:solidFill>
              <a:round/>
            </a:ln>
            <a:effectLst/>
          </c:spPr>
          <c:marker>
            <c:symbol val="none"/>
          </c:marker>
          <c:cat>
            <c:multiLvlStrRef>
              <c:f>Equipment!$A$121:$A$144</c:f>
            </c:multiLvlStrRef>
          </c:cat>
          <c:val>
            <c:numRef>
              <c:f>Equipment!$M$121:$M$144</c:f>
            </c:numRef>
          </c:val>
          <c:smooth val="0"/>
          <c:extLst>
            <c:ext xmlns:c16="http://schemas.microsoft.com/office/drawing/2014/chart" uri="{C3380CC4-5D6E-409C-BE32-E72D297353CC}">
              <c16:uniqueId val="{0000000B-5C34-41FF-86F5-2A6EAFC8C13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CEC</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Equipment!$B$120</c:f>
              <c:strCache>
                <c:ptCount val="1"/>
                <c:pt idx="0">
                  <c:v>CEC-Weekday</c:v>
                </c:pt>
              </c:strCache>
            </c:strRef>
          </c:tx>
          <c:spPr>
            <a:ln w="28575" cap="rnd">
              <a:solidFill>
                <a:schemeClr val="accent1"/>
              </a:solidFill>
              <a:round/>
            </a:ln>
            <a:effectLst/>
          </c:spPr>
          <c:marker>
            <c:symbol val="none"/>
          </c:marker>
          <c:val>
            <c:numRef>
              <c:f>Equipment!$B$121:$B$144</c:f>
            </c:numRef>
          </c:val>
          <c:smooth val="0"/>
          <c:extLst>
            <c:ext xmlns:c16="http://schemas.microsoft.com/office/drawing/2014/chart" uri="{C3380CC4-5D6E-409C-BE32-E72D297353CC}">
              <c16:uniqueId val="{00000003-43A7-47E5-8440-F55F846E6419}"/>
            </c:ext>
          </c:extLst>
        </c:ser>
        <c:ser>
          <c:idx val="1"/>
          <c:order val="1"/>
          <c:tx>
            <c:strRef>
              <c:f>Equipment!$C$120</c:f>
              <c:strCache>
                <c:ptCount val="1"/>
                <c:pt idx="0">
                  <c:v>CEC-Saturday</c:v>
                </c:pt>
              </c:strCache>
            </c:strRef>
          </c:tx>
          <c:spPr>
            <a:ln w="28575" cap="rnd">
              <a:solidFill>
                <a:schemeClr val="accent2"/>
              </a:solidFill>
              <a:round/>
            </a:ln>
            <a:effectLst/>
          </c:spPr>
          <c:marker>
            <c:symbol val="none"/>
          </c:marker>
          <c:val>
            <c:numRef>
              <c:f>Equipment!$C$121:$C$144</c:f>
            </c:numRef>
          </c:val>
          <c:smooth val="0"/>
          <c:extLst>
            <c:ext xmlns:c16="http://schemas.microsoft.com/office/drawing/2014/chart" uri="{C3380CC4-5D6E-409C-BE32-E72D297353CC}">
              <c16:uniqueId val="{00000004-43A7-47E5-8440-F55F846E6419}"/>
            </c:ext>
          </c:extLst>
        </c:ser>
        <c:ser>
          <c:idx val="2"/>
          <c:order val="2"/>
          <c:tx>
            <c:strRef>
              <c:f>Equipment!$D$120</c:f>
              <c:strCache>
                <c:ptCount val="1"/>
                <c:pt idx="0">
                  <c:v>CEC-Sunday</c:v>
                </c:pt>
              </c:strCache>
            </c:strRef>
          </c:tx>
          <c:spPr>
            <a:ln w="28575" cap="rnd">
              <a:solidFill>
                <a:schemeClr val="accent3"/>
              </a:solidFill>
              <a:round/>
            </a:ln>
            <a:effectLst/>
          </c:spPr>
          <c:marker>
            <c:symbol val="none"/>
          </c:marker>
          <c:val>
            <c:numRef>
              <c:f>Equipment!$D$121:$D$144</c:f>
            </c:numRef>
          </c:val>
          <c:smooth val="0"/>
          <c:extLst>
            <c:ext xmlns:c16="http://schemas.microsoft.com/office/drawing/2014/chart" uri="{C3380CC4-5D6E-409C-BE32-E72D297353CC}">
              <c16:uniqueId val="{00000000-8986-4927-A516-ECB8353560CD}"/>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ysClr val="windowText" lastClr="000000"/>
                </a:solidFill>
              </a:rPr>
              <a:t>PNNL</a:t>
            </a:r>
            <a:r>
              <a:rPr lang="en-US" sz="1400" b="0" i="0" u="none" strike="noStrike" kern="1200" spc="0" baseline="0">
                <a:solidFill>
                  <a:sysClr val="windowText" lastClr="000000"/>
                </a:solidFill>
              </a:rPr>
              <a:t>: </a:t>
            </a:r>
            <a:r>
              <a:rPr lang="en-US" sz="1400" b="0" i="0" u="none" strike="noStrike" kern="1200" spc="0" baseline="0">
                <a:solidFill>
                  <a:sysClr val="windowText" lastClr="000000">
                    <a:lumMod val="65000"/>
                    <a:lumOff val="35000"/>
                  </a:sysClr>
                </a:solidFill>
              </a:rPr>
              <a:t>Equipment- Small office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5"/>
          <c:order val="0"/>
          <c:tx>
            <c:strRef>
              <c:f>Equipment!$F$120</c:f>
              <c:strCache>
                <c:ptCount val="1"/>
                <c:pt idx="0">
                  <c:v>PNNL-Weekday</c:v>
                </c:pt>
              </c:strCache>
              <c:extLst xmlns:c15="http://schemas.microsoft.com/office/drawing/2012/chart"/>
            </c:strRef>
          </c:tx>
          <c:spPr>
            <a:ln w="28575" cap="rnd">
              <a:solidFill>
                <a:schemeClr val="accent6"/>
              </a:solidFill>
              <a:round/>
            </a:ln>
            <a:effectLst/>
          </c:spPr>
          <c:marker>
            <c:symbol val="none"/>
          </c:marker>
          <c:cat>
            <c:multiLvlStrRef>
              <c:f>Equipment!$A$121:$A$144</c:f>
            </c:multiLvlStrRef>
          </c:cat>
          <c:val>
            <c:numRef>
              <c:f>Equipment!$F$121:$F$144</c:f>
              <c:extLst xmlns:c15="http://schemas.microsoft.com/office/drawing/2012/chart"/>
            </c:numRef>
          </c:val>
          <c:smooth val="0"/>
          <c:extLst>
            <c:ext xmlns:c16="http://schemas.microsoft.com/office/drawing/2014/chart" uri="{C3380CC4-5D6E-409C-BE32-E72D297353CC}">
              <c16:uniqueId val="{00000008-FE65-413B-A578-C2B1178F7F78}"/>
            </c:ext>
          </c:extLst>
        </c:ser>
        <c:ser>
          <c:idx val="6"/>
          <c:order val="1"/>
          <c:tx>
            <c:strRef>
              <c:f>Equipment!$G$120</c:f>
              <c:strCache>
                <c:ptCount val="1"/>
                <c:pt idx="0">
                  <c:v>PNNL-Saturday</c:v>
                </c:pt>
              </c:strCache>
              <c:extLst xmlns:c15="http://schemas.microsoft.com/office/drawing/2012/chart"/>
            </c:strRef>
          </c:tx>
          <c:spPr>
            <a:ln w="28575" cap="rnd">
              <a:solidFill>
                <a:schemeClr val="accent1">
                  <a:lumMod val="60000"/>
                </a:schemeClr>
              </a:solidFill>
              <a:round/>
            </a:ln>
            <a:effectLst/>
          </c:spPr>
          <c:marker>
            <c:symbol val="none"/>
          </c:marker>
          <c:cat>
            <c:multiLvlStrRef>
              <c:f>Equipment!$A$121:$A$144</c:f>
            </c:multiLvlStrRef>
          </c:cat>
          <c:val>
            <c:numRef>
              <c:f>Equipment!$G$121:$G$144</c:f>
              <c:extLst xmlns:c15="http://schemas.microsoft.com/office/drawing/2012/chart"/>
            </c:numRef>
          </c:val>
          <c:smooth val="0"/>
          <c:extLst>
            <c:ext xmlns:c16="http://schemas.microsoft.com/office/drawing/2014/chart" uri="{C3380CC4-5D6E-409C-BE32-E72D297353CC}">
              <c16:uniqueId val="{00000009-FE65-413B-A578-C2B1178F7F78}"/>
            </c:ext>
          </c:extLst>
        </c:ser>
        <c:ser>
          <c:idx val="7"/>
          <c:order val="2"/>
          <c:tx>
            <c:strRef>
              <c:f>Equipment!$I$120</c:f>
              <c:strCache>
                <c:ptCount val="1"/>
                <c:pt idx="0">
                  <c:v>PNNL-Sunday</c:v>
                </c:pt>
              </c:strCache>
              <c:extLst xmlns:c15="http://schemas.microsoft.com/office/drawing/2012/chart"/>
            </c:strRef>
          </c:tx>
          <c:spPr>
            <a:ln w="28575" cap="rnd">
              <a:solidFill>
                <a:schemeClr val="accent2">
                  <a:lumMod val="60000"/>
                </a:schemeClr>
              </a:solidFill>
              <a:round/>
            </a:ln>
            <a:effectLst/>
          </c:spPr>
          <c:marker>
            <c:symbol val="none"/>
          </c:marker>
          <c:cat>
            <c:multiLvlStrRef>
              <c:f>Equipment!$A$121:$A$144</c:f>
            </c:multiLvlStrRef>
          </c:cat>
          <c:val>
            <c:numRef>
              <c:f>Equipment!$I$121:$I$144</c:f>
              <c:extLst xmlns:c15="http://schemas.microsoft.com/office/drawing/2012/chart"/>
            </c:numRef>
          </c:val>
          <c:smooth val="0"/>
          <c:extLst>
            <c:ext xmlns:c16="http://schemas.microsoft.com/office/drawing/2014/chart" uri="{C3380CC4-5D6E-409C-BE32-E72D297353CC}">
              <c16:uniqueId val="{0000000A-FE65-413B-A578-C2B1178F7F78}"/>
            </c:ext>
          </c:extLst>
        </c:ser>
        <c:dLbls>
          <c:showLegendKey val="0"/>
          <c:showVal val="0"/>
          <c:showCatName val="0"/>
          <c:showSerName val="0"/>
          <c:showPercent val="0"/>
          <c:showBubbleSize val="0"/>
        </c:dLbls>
        <c:marker val="1"/>
        <c:smooth val="0"/>
        <c:axId val="640206912"/>
        <c:axId val="640210272"/>
        <c:extLst/>
      </c:lineChart>
      <c:catAx>
        <c:axId val="64020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10272"/>
        <c:crosses val="autoZero"/>
        <c:auto val="1"/>
        <c:lblAlgn val="ctr"/>
        <c:lblOffset val="100"/>
        <c:noMultiLvlLbl val="0"/>
      </c:catAx>
      <c:valAx>
        <c:axId val="6402102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206912"/>
        <c:crosses val="autoZero"/>
        <c:crossBetween val="between"/>
        <c:minorUnit val="0.1"/>
      </c:valAx>
      <c:spPr>
        <a:noFill/>
        <a:ln>
          <a:noFill/>
        </a:ln>
        <a:effectLst/>
      </c:spPr>
    </c:plotArea>
    <c:legend>
      <c:legendPos val="b"/>
      <c:layout>
        <c:manualLayout>
          <c:xMode val="edge"/>
          <c:yMode val="edge"/>
          <c:x val="0.11827820943808745"/>
          <c:y val="0.87772650689406195"/>
          <c:w val="0.77545728336610698"/>
          <c:h val="8.73389952893442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0.8</c:v>
                </c:pt>
                <c:pt idx="12">
                  <c:v>0.8</c:v>
                </c:pt>
                <c:pt idx="13">
                  <c:v>0.8</c:v>
                </c:pt>
                <c:pt idx="14">
                  <c:v>0.8</c:v>
                </c:pt>
                <c:pt idx="15">
                  <c:v>0.8</c:v>
                </c:pt>
                <c:pt idx="16">
                  <c:v>0.8</c:v>
                </c:pt>
                <c:pt idx="17">
                  <c:v>0.8</c:v>
                </c:pt>
                <c:pt idx="18">
                  <c:v>0.2</c:v>
                </c:pt>
                <c:pt idx="19">
                  <c:v>0.2</c:v>
                </c:pt>
                <c:pt idx="20">
                  <c:v>0.2</c:v>
                </c:pt>
                <c:pt idx="21">
                  <c:v>0.2</c:v>
                </c:pt>
                <c:pt idx="22">
                  <c:v>0.1</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0.6</c:v>
                </c:pt>
                <c:pt idx="12">
                  <c:v>0.6</c:v>
                </c:pt>
                <c:pt idx="13">
                  <c:v>0.6</c:v>
                </c:pt>
                <c:pt idx="14">
                  <c:v>0.6</c:v>
                </c:pt>
                <c:pt idx="15">
                  <c:v>0.6</c:v>
                </c:pt>
                <c:pt idx="16">
                  <c:v>0.6</c:v>
                </c:pt>
                <c:pt idx="17">
                  <c:v>0.6</c:v>
                </c:pt>
                <c:pt idx="18">
                  <c:v>0.6</c:v>
                </c:pt>
                <c:pt idx="19">
                  <c:v>0.6</c:v>
                </c:pt>
                <c:pt idx="20">
                  <c:v>0.6</c:v>
                </c:pt>
                <c:pt idx="21">
                  <c:v>0.8</c:v>
                </c:pt>
                <c:pt idx="22">
                  <c:v>0.1</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0.7</c:v>
                </c:pt>
                <c:pt idx="14">
                  <c:v>0.7</c:v>
                </c:pt>
                <c:pt idx="15">
                  <c:v>0.7</c:v>
                </c:pt>
                <c:pt idx="16">
                  <c:v>0.7</c:v>
                </c:pt>
                <c:pt idx="17">
                  <c:v>0.7</c:v>
                </c:pt>
                <c:pt idx="18">
                  <c:v>0.7</c:v>
                </c:pt>
                <c:pt idx="19">
                  <c:v>0.7</c:v>
                </c:pt>
                <c:pt idx="20">
                  <c:v>0.7</c:v>
                </c:pt>
                <c:pt idx="21">
                  <c:v>0.7</c:v>
                </c:pt>
                <c:pt idx="22">
                  <c:v>0.2</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Schedules!$E$14</c:f>
              <c:strCache>
                <c:ptCount val="1"/>
                <c:pt idx="0">
                  <c:v>Saturday</c:v>
                </c:pt>
              </c:strCache>
            </c:strRef>
          </c:tx>
          <c:spPr>
            <a:ln w="28575" cap="rnd">
              <a:solidFill>
                <a:schemeClr val="accent1"/>
              </a:solidFill>
              <a:round/>
            </a:ln>
            <a:effectLst/>
          </c:spPr>
          <c:marker>
            <c:symbol val="none"/>
          </c:marker>
          <c:val>
            <c:numRef>
              <c:f>Schedules!$F$14:$AC$14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8C2E-4FDC-8DAB-7FCF7BC63644}"/>
            </c:ext>
          </c:extLst>
        </c:ser>
        <c:ser>
          <c:idx val="1"/>
          <c:order val="1"/>
          <c:tx>
            <c:strRef>
              <c:f>Schedules!$E$15</c:f>
              <c:strCache>
                <c:ptCount val="1"/>
                <c:pt idx="0">
                  <c:v>Sunday</c:v>
                </c:pt>
              </c:strCache>
            </c:strRef>
          </c:tx>
          <c:spPr>
            <a:ln w="28575" cap="rnd">
              <a:solidFill>
                <a:schemeClr val="accent2"/>
              </a:solidFill>
              <a:round/>
            </a:ln>
            <a:effectLst/>
          </c:spPr>
          <c:marker>
            <c:symbol val="none"/>
          </c:marker>
          <c:val>
            <c:numRef>
              <c:f>Schedules!$F$15:$AC$15</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8C2E-4FDC-8DAB-7FCF7BC63644}"/>
            </c:ext>
          </c:extLst>
        </c:ser>
        <c:ser>
          <c:idx val="2"/>
          <c:order val="2"/>
          <c:tx>
            <c:strRef>
              <c:f>Schedules!$E$13</c:f>
              <c:strCache>
                <c:ptCount val="1"/>
                <c:pt idx="0">
                  <c:v>Weekday</c:v>
                </c:pt>
              </c:strCache>
            </c:strRef>
          </c:tx>
          <c:spPr>
            <a:ln w="28575" cap="rnd">
              <a:solidFill>
                <a:schemeClr val="accent3"/>
              </a:solidFill>
              <a:round/>
            </a:ln>
            <a:effectLst/>
          </c:spPr>
          <c:marker>
            <c:symbol val="none"/>
          </c:marker>
          <c:val>
            <c:numRef>
              <c:f>Schedules!$F$13:$AC$13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A123-4A84-816A-0D1564E1666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633278399"/>
          <c:h val="0.166438240229018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Schedules!$E$17</c:f>
              <c:strCache>
                <c:ptCount val="1"/>
                <c:pt idx="0">
                  <c:v>Saturday</c:v>
                </c:pt>
              </c:strCache>
            </c:strRef>
          </c:tx>
          <c:spPr>
            <a:ln w="28575" cap="rnd">
              <a:solidFill>
                <a:schemeClr val="accent1"/>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0-08C4-4E32-A5AC-4CF15D51F2DA}"/>
            </c:ext>
          </c:extLst>
        </c:ser>
        <c:ser>
          <c:idx val="1"/>
          <c:order val="1"/>
          <c:tx>
            <c:strRef>
              <c:f>Schedules!$E$18</c:f>
              <c:strCache>
                <c:ptCount val="1"/>
                <c:pt idx="0">
                  <c:v>Sunday</c:v>
                </c:pt>
              </c:strCache>
            </c:strRef>
          </c:tx>
          <c:spPr>
            <a:ln w="28575" cap="rnd">
              <a:solidFill>
                <a:schemeClr val="accent2"/>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08C4-4E32-A5AC-4CF15D51F2DA}"/>
            </c:ext>
          </c:extLst>
        </c:ser>
        <c:ser>
          <c:idx val="2"/>
          <c:order val="2"/>
          <c:tx>
            <c:strRef>
              <c:f>Schedules!$E$16</c:f>
              <c:strCache>
                <c:ptCount val="1"/>
                <c:pt idx="0">
                  <c:v>Weekday</c:v>
                </c:pt>
              </c:strCache>
            </c:strRef>
          </c:tx>
          <c:spPr>
            <a:ln w="28575" cap="rnd">
              <a:solidFill>
                <a:schemeClr val="accent3"/>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8C4-4E32-A5AC-4CF15D51F2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3E93-4EF9-8BEB-14F006E84E7B}"/>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3E93-4EF9-8BEB-14F006E84E7B}"/>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3E93-4EF9-8BEB-14F006E84E7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Schedules!#REF!</c:f>
          <c:strCache>
            <c:ptCount val="1"/>
            <c:pt idx="0">
              <c:v>#REF!</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Schedules!$E$17</c:f>
              <c:strCache>
                <c:ptCount val="1"/>
                <c:pt idx="0">
                  <c:v>Saturday</c:v>
                </c:pt>
              </c:strCache>
            </c:strRef>
          </c:tx>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0-EEEC-449D-A1CE-ED571BDF6D86}"/>
            </c:ext>
          </c:extLst>
        </c:ser>
        <c:ser>
          <c:idx val="1"/>
          <c:order val="1"/>
          <c:tx>
            <c:strRef>
              <c:f>Schedules!$E$18</c:f>
              <c:strCache>
                <c:ptCount val="1"/>
                <c:pt idx="0">
                  <c:v>Sunday</c:v>
                </c:pt>
              </c:strCache>
            </c:strRef>
          </c:tx>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1-EEEC-449D-A1CE-ED571BDF6D86}"/>
            </c:ext>
          </c:extLst>
        </c:ser>
        <c:ser>
          <c:idx val="2"/>
          <c:order val="2"/>
          <c:tx>
            <c:strRef>
              <c:f>Schedules!$E$16</c:f>
              <c:strCache>
                <c:ptCount val="1"/>
                <c:pt idx="0">
                  <c:v>Weekday</c:v>
                </c:pt>
              </c:strCache>
            </c:strRef>
          </c:tx>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6="http://schemas.microsoft.com/office/drawing/2014/chart" uri="{C3380CC4-5D6E-409C-BE32-E72D297353CC}">
              <c16:uniqueId val="{00000002-EEEC-449D-A1CE-ED571BDF6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3"/>
          <c:order val="0"/>
          <c:tx>
            <c:strRef>
              <c:f>Schedules!$E$17</c:f>
              <c:strCache>
                <c:ptCount val="1"/>
                <c:pt idx="0">
                  <c:v>Saturday</c:v>
                </c:pt>
              </c:strCache>
            </c:strRef>
          </c:tx>
          <c:marker>
            <c:symbol val="none"/>
          </c:marker>
          <c:val>
            <c:numRef>
              <c:f>Schedules!$F$20:$AC$20</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9-16F9-4F01-A12E-1DE007ECA4FE}"/>
            </c:ext>
          </c:extLst>
        </c:ser>
        <c:ser>
          <c:idx val="4"/>
          <c:order val="1"/>
          <c:tx>
            <c:strRef>
              <c:f>Schedules!$E$18</c:f>
              <c:strCache>
                <c:ptCount val="1"/>
                <c:pt idx="0">
                  <c:v>Sunday</c:v>
                </c:pt>
              </c:strCache>
            </c:strRef>
          </c:tx>
          <c:marker>
            <c:symbol val="none"/>
          </c:marker>
          <c:val>
            <c:numRef>
              <c:f>Schedules!$F$21:$AC$21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A-16F9-4F01-A12E-1DE007ECA4FE}"/>
            </c:ext>
          </c:extLst>
        </c:ser>
        <c:ser>
          <c:idx val="5"/>
          <c:order val="2"/>
          <c:tx>
            <c:strRef>
              <c:f>Schedules!$E$16</c:f>
              <c:strCache>
                <c:ptCount val="1"/>
                <c:pt idx="0">
                  <c:v>Weekday</c:v>
                </c:pt>
              </c:strCache>
            </c:strRef>
          </c:tx>
          <c:marker>
            <c:symbol val="none"/>
          </c:marker>
          <c:val>
            <c:numRef>
              <c:f>Schedules!$F$19:$AC$19</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B-16F9-4F01-A12E-1DE007ECA4FE}"/>
            </c:ext>
          </c:extLst>
        </c:ser>
        <c:ser>
          <c:idx val="0"/>
          <c:order val="3"/>
          <c:tx>
            <c:strRef>
              <c:f>Schedules!$E$17</c:f>
              <c:strCache>
                <c:ptCount val="1"/>
                <c:pt idx="0">
                  <c:v>Saturday</c:v>
                </c:pt>
              </c:strCache>
            </c:strRef>
          </c:tx>
          <c:spPr>
            <a:ln w="28575" cap="rnd">
              <a:solidFill>
                <a:schemeClr val="accent1"/>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4-16F9-4F01-A12E-1DE007ECA4FE}"/>
            </c:ext>
          </c:extLst>
        </c:ser>
        <c:ser>
          <c:idx val="1"/>
          <c:order val="4"/>
          <c:tx>
            <c:strRef>
              <c:f>Schedules!$E$18</c:f>
              <c:strCache>
                <c:ptCount val="1"/>
                <c:pt idx="0">
                  <c:v>Sunday</c:v>
                </c:pt>
              </c:strCache>
            </c:strRef>
          </c:tx>
          <c:spPr>
            <a:ln w="28575" cap="rnd">
              <a:solidFill>
                <a:schemeClr val="accent2"/>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6-16F9-4F01-A12E-1DE007ECA4FE}"/>
            </c:ext>
          </c:extLst>
        </c:ser>
        <c:ser>
          <c:idx val="2"/>
          <c:order val="5"/>
          <c:tx>
            <c:strRef>
              <c:f>Schedules!$E$16</c:f>
              <c:strCache>
                <c:ptCount val="1"/>
                <c:pt idx="0">
                  <c:v>Weekday</c:v>
                </c:pt>
              </c:strCache>
            </c:strRef>
          </c:tx>
          <c:spPr>
            <a:ln w="28575" cap="rnd">
              <a:solidFill>
                <a:schemeClr val="accent3"/>
              </a:solidFill>
              <a:round/>
            </a:ln>
            <a:effectLst/>
          </c:spPr>
          <c:marker>
            <c:symbol val="none"/>
          </c:marker>
          <c:val>
            <c:numRef>
              <c:f>Schedules!$F$19:$AC$19</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8-16F9-4F01-A12E-1DE007ECA4F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GasEquipment</c:v>
            </c:pt>
          </c:strCache>
        </c:strRef>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spc="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3"/>
          <c:order val="0"/>
          <c:tx>
            <c:strRef>
              <c:f>Schedules!$E$17</c:f>
              <c:strCache>
                <c:ptCount val="1"/>
                <c:pt idx="0">
                  <c:v>Saturday</c:v>
                </c:pt>
              </c:strCache>
            </c:strRef>
          </c:tx>
          <c:spPr>
            <a:ln>
              <a:solidFill>
                <a:schemeClr val="accent1"/>
              </a:solidFill>
            </a:ln>
          </c:spPr>
          <c:marker>
            <c:symbol val="none"/>
          </c:marker>
          <c:val>
            <c:numRef>
              <c:f>Schedules!$F$23:$AC$23</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0.7</c:v>
                </c:pt>
                <c:pt idx="12">
                  <c:v>0.7</c:v>
                </c:pt>
                <c:pt idx="13">
                  <c:v>0.7</c:v>
                </c:pt>
                <c:pt idx="14">
                  <c:v>0.2</c:v>
                </c:pt>
                <c:pt idx="15">
                  <c:v>0.2</c:v>
                </c:pt>
                <c:pt idx="16">
                  <c:v>0.2</c:v>
                </c:pt>
                <c:pt idx="17">
                  <c:v>0.4</c:v>
                </c:pt>
                <c:pt idx="18">
                  <c:v>0.4</c:v>
                </c:pt>
                <c:pt idx="19">
                  <c:v>0.1</c:v>
                </c:pt>
                <c:pt idx="20">
                  <c:v>0.1</c:v>
                </c:pt>
                <c:pt idx="21">
                  <c:v>0.1</c:v>
                </c:pt>
                <c:pt idx="22">
                  <c:v>0</c:v>
                </c:pt>
                <c:pt idx="23">
                  <c:v>0</c:v>
                </c:pt>
              </c:numCache>
            </c:numRef>
          </c:val>
          <c:smooth val="0"/>
          <c:extLst>
            <c:ext xmlns:c16="http://schemas.microsoft.com/office/drawing/2014/chart" uri="{C3380CC4-5D6E-409C-BE32-E72D297353CC}">
              <c16:uniqueId val="{00000000-7419-40AB-95F7-07776E40DAF7}"/>
            </c:ext>
          </c:extLst>
        </c:ser>
        <c:ser>
          <c:idx val="4"/>
          <c:order val="1"/>
          <c:tx>
            <c:strRef>
              <c:f>Schedules!$E$18</c:f>
              <c:strCache>
                <c:ptCount val="1"/>
                <c:pt idx="0">
                  <c:v>Sunday</c:v>
                </c:pt>
              </c:strCache>
            </c:strRef>
          </c:tx>
          <c:spPr>
            <a:ln>
              <a:solidFill>
                <a:schemeClr val="accent2"/>
              </a:solidFill>
            </a:ln>
          </c:spPr>
          <c:marker>
            <c:symbol val="none"/>
          </c:marker>
          <c:val>
            <c:numRef>
              <c:f>Schedules!$F$24:$AC$24</c:f>
              <c:numCache>
                <c:formatCode>0.00</c:formatCode>
                <c:ptCount val="24"/>
                <c:pt idx="0">
                  <c:v>0</c:v>
                </c:pt>
                <c:pt idx="1">
                  <c:v>0</c:v>
                </c:pt>
                <c:pt idx="2">
                  <c:v>0</c:v>
                </c:pt>
                <c:pt idx="3">
                  <c:v>0</c:v>
                </c:pt>
                <c:pt idx="4">
                  <c:v>0</c:v>
                </c:pt>
                <c:pt idx="5">
                  <c:v>0</c:v>
                </c:pt>
                <c:pt idx="6">
                  <c:v>0</c:v>
                </c:pt>
                <c:pt idx="7">
                  <c:v>0</c:v>
                </c:pt>
                <c:pt idx="8">
                  <c:v>0.2</c:v>
                </c:pt>
                <c:pt idx="9">
                  <c:v>0.2</c:v>
                </c:pt>
                <c:pt idx="10">
                  <c:v>0.1</c:v>
                </c:pt>
                <c:pt idx="11">
                  <c:v>0.1</c:v>
                </c:pt>
                <c:pt idx="12">
                  <c:v>0.3</c:v>
                </c:pt>
                <c:pt idx="13">
                  <c:v>0.8</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1-7419-40AB-95F7-07776E40DAF7}"/>
            </c:ext>
          </c:extLst>
        </c:ser>
        <c:ser>
          <c:idx val="5"/>
          <c:order val="2"/>
          <c:tx>
            <c:strRef>
              <c:f>Schedules!$E$16</c:f>
              <c:strCache>
                <c:ptCount val="1"/>
                <c:pt idx="0">
                  <c:v>Weekday</c:v>
                </c:pt>
              </c:strCache>
            </c:strRef>
          </c:tx>
          <c:spPr>
            <a:ln>
              <a:solidFill>
                <a:schemeClr val="accent3"/>
              </a:solidFill>
            </a:ln>
          </c:spPr>
          <c:marker>
            <c:symbol val="none"/>
          </c:marker>
          <c:val>
            <c:numRef>
              <c:f>Schedules!$F$22:$AC$22</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0.9</c:v>
                </c:pt>
                <c:pt idx="12">
                  <c:v>0.9</c:v>
                </c:pt>
                <c:pt idx="13">
                  <c:v>0.9</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2-7419-40AB-95F7-07776E40DAF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
          <c:y val="0.90720805818114503"/>
          <c:w val="1"/>
          <c:h val="9.13431634279527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143-4ACE-AADC-2C0F16C167CB}"/>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143-4ACE-AADC-2C0F16C167CB}"/>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143-4ACE-AADC-2C0F16C167C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1143-4ACE-AADC-2C0F16C167CB}"/>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1143-4ACE-AADC-2C0F16C167CB}"/>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Schedules!$F$40:$AD$40</c:f>
              <c:numCache>
                <c:formatCode>0.00</c:formatCode>
                <c:ptCount val="25"/>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1143-4ACE-AADC-2C0F16C167C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973-4031-867D-68EC4AC69E76}"/>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973-4031-867D-68EC4AC69E76}"/>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973-4031-867D-68EC4AC69E7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3"/>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4-DBA7-469E-AB71-EA2AFB9B8C85}"/>
            </c:ext>
          </c:extLst>
        </c:ser>
        <c:ser>
          <c:idx val="1"/>
          <c:order val="4"/>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6-DBA7-469E-AB71-EA2AFB9B8C85}"/>
            </c:ext>
          </c:extLst>
        </c:ser>
        <c:ser>
          <c:idx val="2"/>
          <c:order val="5"/>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8-DBA7-469E-AB71-EA2AFB9B8C85}"/>
            </c:ext>
          </c:extLst>
        </c:ser>
        <c:dLbls>
          <c:showLegendKey val="0"/>
          <c:showVal val="0"/>
          <c:showCatName val="0"/>
          <c:showSerName val="0"/>
          <c:showPercent val="0"/>
          <c:showBubbleSize val="0"/>
        </c:dLbls>
        <c:smooth val="0"/>
        <c:axId val="1801622976"/>
        <c:axId val="1801623456"/>
        <c:extLst>
          <c:ext xmlns:c15="http://schemas.microsoft.com/office/drawing/2012/chart" uri="{02D57815-91ED-43cb-92C2-25804820EDAC}">
            <c15:filteredLineSeries>
              <c15:ser>
                <c:idx val="3"/>
                <c:order val="0"/>
                <c:tx>
                  <c:strRef>
                    <c:extLst>
                      <c:ext uri="{02D57815-91ED-43cb-92C2-25804820EDAC}">
                        <c15:formulaRef>
                          <c15:sqref>Schedules!$E$44</c15:sqref>
                        </c15:formulaRef>
                      </c:ext>
                    </c:extLst>
                    <c:strCache>
                      <c:ptCount val="1"/>
                      <c:pt idx="0">
                        <c:v>Weekday</c:v>
                      </c:pt>
                    </c:strCache>
                  </c:strRef>
                </c:tx>
                <c:marker>
                  <c:symbol val="none"/>
                </c:marker>
                <c:val>
                  <c:numRef>
                    <c:extLst>
                      <c:ext uri="{02D57815-91ED-43cb-92C2-25804820EDAC}">
                        <c15:formulaRef>
                          <c15:sqref>Schedules!$F$44:$AC$44</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c:ext xmlns:c16="http://schemas.microsoft.com/office/drawing/2014/chart" uri="{C3380CC4-5D6E-409C-BE32-E72D297353CC}">
                    <c16:uniqueId val="{00000009-DBA7-469E-AB71-EA2AFB9B8C85}"/>
                  </c:ext>
                </c:extLst>
              </c15:ser>
            </c15:filteredLineSeries>
            <c15:filteredLineSeries>
              <c15:ser>
                <c:idx val="4"/>
                <c:order val="1"/>
                <c:tx>
                  <c:strRef>
                    <c:extLst xmlns:c15="http://schemas.microsoft.com/office/drawing/2012/chart">
                      <c:ext xmlns:c15="http://schemas.microsoft.com/office/drawing/2012/chart" uri="{02D57815-91ED-43cb-92C2-25804820EDAC}">
                        <c15:formulaRef>
                          <c15:sqref>Schedules!$E$45</c15:sqref>
                        </c15:formulaRef>
                      </c:ext>
                    </c:extLst>
                    <c:strCache>
                      <c:ptCount val="1"/>
                      <c:pt idx="0">
                        <c:v>Saturday</c:v>
                      </c:pt>
                    </c:strCache>
                  </c:strRef>
                </c:tx>
                <c:marker>
                  <c:symbol val="none"/>
                </c:marker>
                <c:val>
                  <c:numRef>
                    <c:extLst xmlns:c15="http://schemas.microsoft.com/office/drawing/2012/chart">
                      <c:ext xmlns:c15="http://schemas.microsoft.com/office/drawing/2012/chart" uri="{02D57815-91ED-43cb-92C2-25804820EDAC}">
                        <c15:formulaRef>
                          <c15:sqref>Schedules!$F$45:$AC$45</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xmlns:c15="http://schemas.microsoft.com/office/drawing/2012/chart">
                  <c:ext xmlns:c16="http://schemas.microsoft.com/office/drawing/2014/chart" uri="{C3380CC4-5D6E-409C-BE32-E72D297353CC}">
                    <c16:uniqueId val="{0000000A-DBA7-469E-AB71-EA2AFB9B8C85}"/>
                  </c:ext>
                </c:extLst>
              </c15:ser>
            </c15:filteredLineSeries>
            <c15:filteredLineSeries>
              <c15:ser>
                <c:idx val="5"/>
                <c:order val="2"/>
                <c:tx>
                  <c:strRef>
                    <c:extLst xmlns:c15="http://schemas.microsoft.com/office/drawing/2012/chart">
                      <c:ext xmlns:c15="http://schemas.microsoft.com/office/drawing/2012/chart" uri="{02D57815-91ED-43cb-92C2-25804820EDAC}">
                        <c15:formulaRef>
                          <c15:sqref>Schedules!$E$46</c15:sqref>
                        </c15:formulaRef>
                      </c:ext>
                    </c:extLst>
                    <c:strCache>
                      <c:ptCount val="1"/>
                      <c:pt idx="0">
                        <c:v>Sunday</c:v>
                      </c:pt>
                    </c:strCache>
                  </c:strRef>
                </c:tx>
                <c:marker>
                  <c:symbol val="none"/>
                </c:marker>
                <c:val>
                  <c:numRef>
                    <c:extLst xmlns:c15="http://schemas.microsoft.com/office/drawing/2012/chart">
                      <c:ext xmlns:c15="http://schemas.microsoft.com/office/drawing/2012/chart" uri="{02D57815-91ED-43cb-92C2-25804820EDAC}">
                        <c15:formulaRef>
                          <c15:sqref>Schedules!$F$46:$AC$46</c15:sqref>
                        </c15:formulaRef>
                      </c:ext>
                    </c:extLst>
                    <c:numCache>
                      <c:formatCode>0.00</c:formatCode>
                      <c:ptCount val="24"/>
                      <c:pt idx="0">
                        <c:v>0</c:v>
                      </c:pt>
                      <c:pt idx="1">
                        <c:v>0</c:v>
                      </c:pt>
                      <c:pt idx="2">
                        <c:v>0</c:v>
                      </c:pt>
                      <c:pt idx="3">
                        <c:v>0.05</c:v>
                      </c:pt>
                      <c:pt idx="4">
                        <c:v>0.05</c:v>
                      </c:pt>
                      <c:pt idx="5">
                        <c:v>0.05</c:v>
                      </c:pt>
                      <c:pt idx="6">
                        <c:v>0.8</c:v>
                      </c:pt>
                      <c:pt idx="7">
                        <c:v>0.7</c:v>
                      </c:pt>
                      <c:pt idx="8">
                        <c:v>0.5</c:v>
                      </c:pt>
                      <c:pt idx="9">
                        <c:v>0.4</c:v>
                      </c:pt>
                      <c:pt idx="10">
                        <c:v>0.25</c:v>
                      </c:pt>
                      <c:pt idx="11">
                        <c:v>0.25</c:v>
                      </c:pt>
                      <c:pt idx="12">
                        <c:v>0.25</c:v>
                      </c:pt>
                      <c:pt idx="13">
                        <c:v>0.25</c:v>
                      </c:pt>
                      <c:pt idx="14">
                        <c:v>0.5</c:v>
                      </c:pt>
                      <c:pt idx="15">
                        <c:v>0.6</c:v>
                      </c:pt>
                      <c:pt idx="16">
                        <c:v>0.7</c:v>
                      </c:pt>
                      <c:pt idx="17">
                        <c:v>0.7</c:v>
                      </c:pt>
                      <c:pt idx="18">
                        <c:v>0.4</c:v>
                      </c:pt>
                      <c:pt idx="19">
                        <c:v>0.25</c:v>
                      </c:pt>
                      <c:pt idx="20">
                        <c:v>0.2</c:v>
                      </c:pt>
                      <c:pt idx="21">
                        <c:v>0.2</c:v>
                      </c:pt>
                      <c:pt idx="22">
                        <c:v>0.05</c:v>
                      </c:pt>
                      <c:pt idx="23">
                        <c:v>0.05</c:v>
                      </c:pt>
                    </c:numCache>
                  </c:numRef>
                </c:val>
                <c:smooth val="0"/>
                <c:extLst xmlns:c15="http://schemas.microsoft.com/office/drawing/2012/chart">
                  <c:ext xmlns:c16="http://schemas.microsoft.com/office/drawing/2014/chart" uri="{C3380CC4-5D6E-409C-BE32-E72D297353CC}">
                    <c16:uniqueId val="{0000000B-DBA7-469E-AB71-EA2AFB9B8C85}"/>
                  </c:ext>
                </c:extLst>
              </c15:ser>
            </c15:filteredLineSeries>
          </c:ext>
        </c:extLst>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Schedules!$C$57</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Schedules!$E$57</c:f>
              <c:strCache>
                <c:ptCount val="1"/>
                <c:pt idx="0">
                  <c:v>Weekday</c:v>
                </c:pt>
              </c:strCache>
            </c:strRef>
          </c:tx>
          <c:spPr>
            <a:ln w="28575" cap="rnd">
              <a:solidFill>
                <a:schemeClr val="accent1"/>
              </a:solidFill>
              <a:round/>
            </a:ln>
            <a:effectLst/>
          </c:spPr>
          <c:marker>
            <c:symbol val="none"/>
          </c:marker>
          <c:val>
            <c:numRef>
              <c:f>Schedules!$F$57:$AC$57</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0-D9E6-4C9F-8369-4DC707E881C5}"/>
            </c:ext>
          </c:extLst>
        </c:ser>
        <c:ser>
          <c:idx val="1"/>
          <c:order val="1"/>
          <c:tx>
            <c:strRef>
              <c:f>Schedules!$E$58</c:f>
              <c:strCache>
                <c:ptCount val="1"/>
                <c:pt idx="0">
                  <c:v>Saturday</c:v>
                </c:pt>
              </c:strCache>
            </c:strRef>
          </c:tx>
          <c:spPr>
            <a:ln w="28575" cap="rnd">
              <a:solidFill>
                <a:schemeClr val="accent2"/>
              </a:solidFill>
              <a:round/>
            </a:ln>
            <a:effectLst/>
          </c:spPr>
          <c:marker>
            <c:symbol val="none"/>
          </c:marker>
          <c:val>
            <c:numRef>
              <c:f>Schedules!$F$58:$AC$58</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1-D9E6-4C9F-8369-4DC707E881C5}"/>
            </c:ext>
          </c:extLst>
        </c:ser>
        <c:ser>
          <c:idx val="2"/>
          <c:order val="2"/>
          <c:tx>
            <c:strRef>
              <c:f>Schedules!$E$59</c:f>
              <c:strCache>
                <c:ptCount val="1"/>
                <c:pt idx="0">
                  <c:v>Sunday</c:v>
                </c:pt>
              </c:strCache>
            </c:strRef>
          </c:tx>
          <c:spPr>
            <a:ln w="28575" cap="rnd">
              <a:solidFill>
                <a:schemeClr val="accent3"/>
              </a:solidFill>
              <a:round/>
            </a:ln>
            <a:effectLst/>
          </c:spPr>
          <c:marker>
            <c:symbol val="none"/>
          </c:marker>
          <c:val>
            <c:numRef>
              <c:f>Schedules!$F$59:$AC$59</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2-D9E6-4C9F-8369-4DC707E881C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Schedules!$E$60</c:f>
              <c:strCache>
                <c:ptCount val="1"/>
                <c:pt idx="0">
                  <c:v>Weekday</c:v>
                </c:pt>
              </c:strCache>
            </c:strRef>
          </c:tx>
          <c:spPr>
            <a:ln w="28575" cap="rnd">
              <a:solidFill>
                <a:schemeClr val="accent1"/>
              </a:solidFill>
              <a:round/>
            </a:ln>
            <a:effectLst/>
          </c:spPr>
          <c:marker>
            <c:symbol val="none"/>
          </c:marker>
          <c:val>
            <c:numRef>
              <c:f>Schedules!$F$60:$AC$60</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06E6-4A1D-9019-F3DA23A7A0EF}"/>
            </c:ext>
          </c:extLst>
        </c:ser>
        <c:ser>
          <c:idx val="1"/>
          <c:order val="1"/>
          <c:tx>
            <c:strRef>
              <c:f>Schedules!$E$61</c:f>
              <c:strCache>
                <c:ptCount val="1"/>
                <c:pt idx="0">
                  <c:v>Saturday</c:v>
                </c:pt>
              </c:strCache>
            </c:strRef>
          </c:tx>
          <c:spPr>
            <a:ln w="28575" cap="rnd">
              <a:solidFill>
                <a:schemeClr val="accent2"/>
              </a:solidFill>
              <a:round/>
            </a:ln>
            <a:effectLst/>
          </c:spPr>
          <c:marker>
            <c:symbol val="none"/>
          </c:marker>
          <c:val>
            <c:numRef>
              <c:f>Schedules!$F$61:$AC$61</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06E6-4A1D-9019-F3DA23A7A0EF}"/>
            </c:ext>
          </c:extLst>
        </c:ser>
        <c:ser>
          <c:idx val="2"/>
          <c:order val="2"/>
          <c:tx>
            <c:strRef>
              <c:f>Schedules!$E$62</c:f>
              <c:strCache>
                <c:ptCount val="1"/>
                <c:pt idx="0">
                  <c:v>Sunday</c:v>
                </c:pt>
              </c:strCache>
            </c:strRef>
          </c:tx>
          <c:spPr>
            <a:ln w="28575" cap="rnd">
              <a:solidFill>
                <a:schemeClr val="accent3"/>
              </a:solidFill>
              <a:round/>
            </a:ln>
            <a:effectLst/>
          </c:spPr>
          <c:marker>
            <c:symbol val="none"/>
          </c:marker>
          <c:val>
            <c:numRef>
              <c:f>Schedules!$F$62:$AC$62</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06E6-4A1D-9019-F3DA23A7A0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Schedules!$C$63</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Schedules!$E$63</c:f>
              <c:strCache>
                <c:ptCount val="1"/>
                <c:pt idx="0">
                  <c:v>Weekday</c:v>
                </c:pt>
              </c:strCache>
            </c:strRef>
          </c:tx>
          <c:spPr>
            <a:ln w="28575" cap="rnd">
              <a:solidFill>
                <a:schemeClr val="accent1"/>
              </a:solidFill>
              <a:round/>
            </a:ln>
            <a:effectLst/>
          </c:spPr>
          <c:marker>
            <c:symbol val="none"/>
          </c:marker>
          <c:val>
            <c:numRef>
              <c:f>Schedules!$F$63:$AC$63</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0-FFCB-438C-9218-1E8F9C77762F}"/>
            </c:ext>
          </c:extLst>
        </c:ser>
        <c:ser>
          <c:idx val="1"/>
          <c:order val="1"/>
          <c:tx>
            <c:strRef>
              <c:f>Schedules!$E$64</c:f>
              <c:strCache>
                <c:ptCount val="1"/>
                <c:pt idx="0">
                  <c:v>Saturday</c:v>
                </c:pt>
              </c:strCache>
            </c:strRef>
          </c:tx>
          <c:spPr>
            <a:ln w="28575" cap="rnd">
              <a:solidFill>
                <a:schemeClr val="accent2"/>
              </a:solidFill>
              <a:round/>
            </a:ln>
            <a:effectLst/>
          </c:spPr>
          <c:marker>
            <c:symbol val="none"/>
          </c:marker>
          <c:val>
            <c:numRef>
              <c:f>Schedules!$F$64:$AC$64</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1-FFCB-438C-9218-1E8F9C77762F}"/>
            </c:ext>
          </c:extLst>
        </c:ser>
        <c:ser>
          <c:idx val="2"/>
          <c:order val="2"/>
          <c:tx>
            <c:strRef>
              <c:f>Schedules!$E$65</c:f>
              <c:strCache>
                <c:ptCount val="1"/>
                <c:pt idx="0">
                  <c:v>Sunday</c:v>
                </c:pt>
              </c:strCache>
            </c:strRef>
          </c:tx>
          <c:spPr>
            <a:ln w="28575" cap="rnd">
              <a:solidFill>
                <a:schemeClr val="accent3"/>
              </a:solidFill>
              <a:round/>
            </a:ln>
            <a:effectLst/>
          </c:spPr>
          <c:marker>
            <c:symbol val="none"/>
          </c:marker>
          <c:val>
            <c:numRef>
              <c:f>Schedules!$F$65:$AC$65</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2-FFCB-438C-9218-1E8F9C77762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Schedules!$C$66</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2141-48AA-907D-1B006F25571A}"/>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2141-48AA-907D-1B006F25571A}"/>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2141-48AA-907D-1B006F25571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81CA-4D8E-B0F0-733D44A8929F}"/>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0.05</c:v>
                </c:pt>
                <c:pt idx="1">
                  <c:v>0.05</c:v>
                </c:pt>
                <c:pt idx="2">
                  <c:v>0.05</c:v>
                </c:pt>
                <c:pt idx="3">
                  <c:v>0.05</c:v>
                </c:pt>
                <c:pt idx="4">
                  <c:v>0.05</c:v>
                </c:pt>
                <c:pt idx="5">
                  <c:v>0.08</c:v>
                </c:pt>
                <c:pt idx="6">
                  <c:v>7.0000000000000007E-2</c:v>
                </c:pt>
                <c:pt idx="7">
                  <c:v>0.11</c:v>
                </c:pt>
                <c:pt idx="8">
                  <c:v>0.15</c:v>
                </c:pt>
                <c:pt idx="9">
                  <c:v>0.21</c:v>
                </c:pt>
                <c:pt idx="10">
                  <c:v>0.19</c:v>
                </c:pt>
                <c:pt idx="11">
                  <c:v>0.23</c:v>
                </c:pt>
                <c:pt idx="12">
                  <c:v>0.2</c:v>
                </c:pt>
                <c:pt idx="13">
                  <c:v>0.19</c:v>
                </c:pt>
                <c:pt idx="14">
                  <c:v>0.15</c:v>
                </c:pt>
                <c:pt idx="15">
                  <c:v>0.12</c:v>
                </c:pt>
                <c:pt idx="16">
                  <c:v>0.14000000000000001</c:v>
                </c:pt>
                <c:pt idx="17">
                  <c:v>7.0000000000000007E-2</c:v>
                </c:pt>
                <c:pt idx="18">
                  <c:v>7.0000000000000007E-2</c:v>
                </c:pt>
                <c:pt idx="19">
                  <c:v>7.0000000000000007E-2</c:v>
                </c:pt>
                <c:pt idx="20">
                  <c:v>7.0000000000000007E-2</c:v>
                </c:pt>
                <c:pt idx="21">
                  <c:v>0.09</c:v>
                </c:pt>
                <c:pt idx="22">
                  <c:v>0.05</c:v>
                </c:pt>
                <c:pt idx="23">
                  <c:v>0.05</c:v>
                </c:pt>
              </c:numCache>
            </c:numRef>
          </c:val>
          <c:smooth val="0"/>
          <c:extLst>
            <c:ext xmlns:c16="http://schemas.microsoft.com/office/drawing/2014/chart" uri="{C3380CC4-5D6E-409C-BE32-E72D297353CC}">
              <c16:uniqueId val="{00000001-81CA-4D8E-B0F0-733D44A8929F}"/>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81CA-4D8E-B0F0-733D44A8929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marker>
            <c:symbol val="none"/>
          </c:marker>
          <c:val>
            <c:numRef>
              <c:f>Schedules!$F$47:$AC$47</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3CC1-4D04-9F29-2A49C1CF1BC8}"/>
            </c:ext>
          </c:extLst>
        </c:ser>
        <c:ser>
          <c:idx val="1"/>
          <c:order val="1"/>
          <c:tx>
            <c:strRef>
              <c:f>Schedules!$E$48</c:f>
              <c:strCache>
                <c:ptCount val="1"/>
                <c:pt idx="0">
                  <c:v>Saturday</c:v>
                </c:pt>
              </c:strCache>
            </c:strRef>
          </c:tx>
          <c:marker>
            <c:symbol val="none"/>
          </c:marker>
          <c:val>
            <c:numRef>
              <c:f>Schedules!$F$48:$AC$48</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1-3CC1-4D04-9F29-2A49C1CF1BC8}"/>
            </c:ext>
          </c:extLst>
        </c:ser>
        <c:ser>
          <c:idx val="2"/>
          <c:order val="2"/>
          <c:tx>
            <c:strRef>
              <c:f>Schedules!$E$49</c:f>
              <c:strCache>
                <c:ptCount val="1"/>
                <c:pt idx="0">
                  <c:v>Sunday</c:v>
                </c:pt>
              </c:strCache>
            </c:strRef>
          </c:tx>
          <c:marker>
            <c:symbol val="none"/>
          </c:marker>
          <c:val>
            <c:numRef>
              <c:f>Schedules!$F$49:$AC$49</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2-3CC1-4D04-9F29-2A49C1CF1BC8}"/>
            </c:ext>
          </c:extLst>
        </c:ser>
        <c:dLbls>
          <c:showLegendKey val="0"/>
          <c:showVal val="0"/>
          <c:showCatName val="0"/>
          <c:showSerName val="0"/>
          <c:showPercent val="0"/>
          <c:showBubbleSize val="0"/>
        </c:dLbls>
        <c:smooth val="0"/>
        <c:axId val="1801622976"/>
        <c:axId val="1801623456"/>
        <c:extLst/>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4214-49F4-B281-0C43D8DEA1E0}"/>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4214-49F4-B281-0C43D8DEA1E0}"/>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4214-49F4-B281-0C43D8DEA1E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Schedules!$E$75</c:f>
              <c:strCache>
                <c:ptCount val="1"/>
                <c:pt idx="0">
                  <c:v>Weekday</c:v>
                </c:pt>
              </c:strCache>
            </c:strRef>
          </c:tx>
          <c:spPr>
            <a:ln w="28575" cap="rnd">
              <a:solidFill>
                <a:schemeClr val="accent1"/>
              </a:solidFill>
              <a:round/>
            </a:ln>
            <a:effectLst/>
          </c:spPr>
          <c:marker>
            <c:symbol val="none"/>
          </c:marker>
          <c:val>
            <c:numRef>
              <c:f>Schedules!$F$75:$AC$75</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A6D3-432B-AA2D-D4ABA9259678}"/>
            </c:ext>
          </c:extLst>
        </c:ser>
        <c:ser>
          <c:idx val="1"/>
          <c:order val="1"/>
          <c:tx>
            <c:strRef>
              <c:f>Schedules!$E$76</c:f>
              <c:strCache>
                <c:ptCount val="1"/>
                <c:pt idx="0">
                  <c:v>Saturday</c:v>
                </c:pt>
              </c:strCache>
            </c:strRef>
          </c:tx>
          <c:spPr>
            <a:ln w="28575" cap="rnd">
              <a:solidFill>
                <a:schemeClr val="accent2"/>
              </a:solidFill>
              <a:round/>
            </a:ln>
            <a:effectLst/>
          </c:spPr>
          <c:marker>
            <c:symbol val="none"/>
          </c:marker>
          <c:val>
            <c:numRef>
              <c:f>Schedules!$F$76:$AC$76</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1-A6D3-432B-AA2D-D4ABA9259678}"/>
            </c:ext>
          </c:extLst>
        </c:ser>
        <c:ser>
          <c:idx val="2"/>
          <c:order val="2"/>
          <c:tx>
            <c:strRef>
              <c:f>Schedules!$E$77</c:f>
              <c:strCache>
                <c:ptCount val="1"/>
                <c:pt idx="0">
                  <c:v>Sunday</c:v>
                </c:pt>
              </c:strCache>
            </c:strRef>
          </c:tx>
          <c:spPr>
            <a:ln w="28575" cap="rnd">
              <a:solidFill>
                <a:schemeClr val="accent3"/>
              </a:solidFill>
              <a:round/>
            </a:ln>
            <a:effectLst/>
          </c:spPr>
          <c:marker>
            <c:symbol val="none"/>
          </c:marker>
          <c:val>
            <c:numRef>
              <c:f>Schedules!$F$77:$AC$77</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2-A6D3-432B-AA2D-D4ABA925967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Schedules!$E$78</c:f>
              <c:strCache>
                <c:ptCount val="1"/>
                <c:pt idx="0">
                  <c:v>Weekday</c:v>
                </c:pt>
              </c:strCache>
            </c:strRef>
          </c:tx>
          <c:spPr>
            <a:ln w="28575" cap="rnd">
              <a:solidFill>
                <a:schemeClr val="accent1"/>
              </a:solidFill>
              <a:round/>
            </a:ln>
            <a:effectLst/>
          </c:spPr>
          <c:marker>
            <c:symbol val="none"/>
          </c:marker>
          <c:val>
            <c:numRef>
              <c:f>Schedules!$F$78:$AC$78</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0-D914-4D44-9F97-0A04844C1DA6}"/>
            </c:ext>
          </c:extLst>
        </c:ser>
        <c:ser>
          <c:idx val="1"/>
          <c:order val="1"/>
          <c:tx>
            <c:strRef>
              <c:f>Schedules!$E$79</c:f>
              <c:strCache>
                <c:ptCount val="1"/>
                <c:pt idx="0">
                  <c:v>Saturday</c:v>
                </c:pt>
              </c:strCache>
            </c:strRef>
          </c:tx>
          <c:spPr>
            <a:ln w="28575" cap="rnd">
              <a:solidFill>
                <a:schemeClr val="accent2"/>
              </a:solidFill>
              <a:round/>
            </a:ln>
            <a:effectLst/>
          </c:spPr>
          <c:marker>
            <c:symbol val="none"/>
          </c:marker>
          <c:val>
            <c:numRef>
              <c:f>Schedules!$F$79:$AC$79</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1-D914-4D44-9F97-0A04844C1DA6}"/>
            </c:ext>
          </c:extLst>
        </c:ser>
        <c:ser>
          <c:idx val="2"/>
          <c:order val="2"/>
          <c:tx>
            <c:strRef>
              <c:f>Schedules!$E$80</c:f>
              <c:strCache>
                <c:ptCount val="1"/>
                <c:pt idx="0">
                  <c:v>Sunday</c:v>
                </c:pt>
              </c:strCache>
            </c:strRef>
          </c:tx>
          <c:spPr>
            <a:ln w="28575" cap="rnd">
              <a:solidFill>
                <a:schemeClr val="accent3"/>
              </a:solidFill>
              <a:round/>
            </a:ln>
            <a:effectLst/>
          </c:spPr>
          <c:marker>
            <c:symbol val="none"/>
          </c:marker>
          <c:val>
            <c:numRef>
              <c:f>Schedules!$F$80:$AC$80</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2-D914-4D44-9F97-0A04844C1DA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0-F9F4-4048-98E8-10830EF85B94}"/>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1-F9F4-4048-98E8-10830EF85B94}"/>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2-F9F4-4048-98E8-10830EF85B9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F63C-40C3-BEEF-4FB81B287376}"/>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F63C-40C3-BEEF-4FB81B287376}"/>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F63C-40C3-BEEF-4FB81B28737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5FFB-47F9-8486-632F80C77395}"/>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5FFB-47F9-8486-632F80C77395}"/>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5FFB-47F9-8486-632F80C7739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Schedules!$C$28</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3768-49DC-8623-4AE45202DB86}"/>
            </c:ext>
          </c:extLst>
        </c:ser>
        <c:ser>
          <c:idx val="1"/>
          <c:order val="1"/>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3768-49DC-8623-4AE45202DB86}"/>
            </c:ext>
          </c:extLst>
        </c:ser>
        <c:ser>
          <c:idx val="2"/>
          <c:order val="2"/>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3768-49DC-8623-4AE45202DB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Schedules!$C$107</c:f>
          <c:strCache>
            <c:ptCount val="1"/>
            <c:pt idx="0">
              <c:v>Elevator</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Schedules!$E$107</c:f>
              <c:strCache>
                <c:ptCount val="1"/>
                <c:pt idx="0">
                  <c:v>Weekday</c:v>
                </c:pt>
              </c:strCache>
            </c:strRef>
          </c:tx>
          <c:spPr>
            <a:ln w="28575" cap="rnd">
              <a:solidFill>
                <a:schemeClr val="accent1"/>
              </a:solidFill>
              <a:round/>
            </a:ln>
            <a:effectLst/>
          </c:spPr>
          <c:marker>
            <c:symbol val="none"/>
          </c:marker>
          <c:val>
            <c:numRef>
              <c:f>Schedules!$F$107:$AC$107</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0-0A3B-4659-8B65-2C88E4628059}"/>
            </c:ext>
          </c:extLst>
        </c:ser>
        <c:ser>
          <c:idx val="1"/>
          <c:order val="1"/>
          <c:tx>
            <c:strRef>
              <c:f>Schedules!$E$108</c:f>
              <c:strCache>
                <c:ptCount val="1"/>
                <c:pt idx="0">
                  <c:v>Saturday</c:v>
                </c:pt>
              </c:strCache>
            </c:strRef>
          </c:tx>
          <c:spPr>
            <a:ln w="28575" cap="rnd">
              <a:solidFill>
                <a:schemeClr val="accent2"/>
              </a:solidFill>
              <a:round/>
            </a:ln>
            <a:effectLst/>
          </c:spPr>
          <c:marker>
            <c:symbol val="none"/>
          </c:marker>
          <c:val>
            <c:numRef>
              <c:f>Schedules!$F$108:$AC$108</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1-0A3B-4659-8B65-2C88E4628059}"/>
            </c:ext>
          </c:extLst>
        </c:ser>
        <c:ser>
          <c:idx val="2"/>
          <c:order val="2"/>
          <c:tx>
            <c:strRef>
              <c:f>Schedules!$E$109</c:f>
              <c:strCache>
                <c:ptCount val="1"/>
                <c:pt idx="0">
                  <c:v>Sunday</c:v>
                </c:pt>
              </c:strCache>
            </c:strRef>
          </c:tx>
          <c:spPr>
            <a:ln w="28575" cap="rnd">
              <a:solidFill>
                <a:schemeClr val="accent3"/>
              </a:solidFill>
              <a:round/>
            </a:ln>
            <a:effectLst/>
          </c:spPr>
          <c:marker>
            <c:symbol val="none"/>
          </c:marker>
          <c:val>
            <c:numRef>
              <c:f>Schedules!$F$109:$AC$109</c:f>
              <c:numCache>
                <c:formatCode>0.00</c:formatCode>
                <c:ptCount val="24"/>
                <c:pt idx="0">
                  <c:v>0</c:v>
                </c:pt>
                <c:pt idx="1">
                  <c:v>0</c:v>
                </c:pt>
                <c:pt idx="2">
                  <c:v>0</c:v>
                </c:pt>
                <c:pt idx="3">
                  <c:v>0</c:v>
                </c:pt>
                <c:pt idx="4">
                  <c:v>0</c:v>
                </c:pt>
                <c:pt idx="5">
                  <c:v>0</c:v>
                </c:pt>
                <c:pt idx="6">
                  <c:v>0</c:v>
                </c:pt>
                <c:pt idx="7">
                  <c:v>0.35</c:v>
                </c:pt>
                <c:pt idx="8">
                  <c:v>0.69</c:v>
                </c:pt>
                <c:pt idx="9">
                  <c:v>0.43</c:v>
                </c:pt>
                <c:pt idx="10">
                  <c:v>0.37</c:v>
                </c:pt>
                <c:pt idx="11">
                  <c:v>0.43</c:v>
                </c:pt>
                <c:pt idx="12">
                  <c:v>0.57999999999999996</c:v>
                </c:pt>
                <c:pt idx="13">
                  <c:v>0.48</c:v>
                </c:pt>
                <c:pt idx="14">
                  <c:v>0.37</c:v>
                </c:pt>
                <c:pt idx="15">
                  <c:v>0.37</c:v>
                </c:pt>
                <c:pt idx="16">
                  <c:v>0.46</c:v>
                </c:pt>
                <c:pt idx="17">
                  <c:v>0.62</c:v>
                </c:pt>
                <c:pt idx="18">
                  <c:v>0.2</c:v>
                </c:pt>
                <c:pt idx="19">
                  <c:v>0.12</c:v>
                </c:pt>
                <c:pt idx="20">
                  <c:v>0.04</c:v>
                </c:pt>
                <c:pt idx="21">
                  <c:v>0.04</c:v>
                </c:pt>
                <c:pt idx="22">
                  <c:v>0</c:v>
                </c:pt>
                <c:pt idx="23">
                  <c:v>0</c:v>
                </c:pt>
              </c:numCache>
            </c:numRef>
          </c:val>
          <c:smooth val="0"/>
          <c:extLst>
            <c:ext xmlns:c16="http://schemas.microsoft.com/office/drawing/2014/chart" uri="{C3380CC4-5D6E-409C-BE32-E72D297353CC}">
              <c16:uniqueId val="{00000002-0A3B-4659-8B65-2C88E462805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Schedules!$E$82</c:f>
              <c:strCache>
                <c:ptCount val="1"/>
                <c:pt idx="0">
                  <c:v>Weekday</c:v>
                </c:pt>
              </c:strCache>
            </c:strRef>
          </c:tx>
          <c:spPr>
            <a:ln w="28575" cap="rnd">
              <a:solidFill>
                <a:schemeClr val="accent1"/>
              </a:solidFill>
              <a:round/>
            </a:ln>
            <a:effectLst/>
          </c:spPr>
          <c:marker>
            <c:symbol val="none"/>
          </c:marker>
          <c:val>
            <c:numRef>
              <c:f>Schedules!$F$82:$AC$82</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EFF8-4C07-AA49-2705591C7F5F}"/>
            </c:ext>
          </c:extLst>
        </c:ser>
        <c:ser>
          <c:idx val="1"/>
          <c:order val="1"/>
          <c:tx>
            <c:strRef>
              <c:f>Schedules!$E$83</c:f>
              <c:strCache>
                <c:ptCount val="1"/>
                <c:pt idx="0">
                  <c:v>Saturday</c:v>
                </c:pt>
              </c:strCache>
            </c:strRef>
          </c:tx>
          <c:spPr>
            <a:ln w="28575" cap="rnd">
              <a:solidFill>
                <a:schemeClr val="accent2"/>
              </a:solidFill>
              <a:round/>
            </a:ln>
            <a:effectLst/>
          </c:spPr>
          <c:marker>
            <c:symbol val="none"/>
          </c:marker>
          <c:val>
            <c:numRef>
              <c:f>Schedules!$F$83:$AC$83</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FF8-4C07-AA49-2705591C7F5F}"/>
            </c:ext>
          </c:extLst>
        </c:ser>
        <c:ser>
          <c:idx val="2"/>
          <c:order val="2"/>
          <c:tx>
            <c:strRef>
              <c:f>Schedules!$E$84</c:f>
              <c:strCache>
                <c:ptCount val="1"/>
                <c:pt idx="0">
                  <c:v>Sunday</c:v>
                </c:pt>
              </c:strCache>
            </c:strRef>
          </c:tx>
          <c:spPr>
            <a:ln w="28575" cap="rnd">
              <a:solidFill>
                <a:schemeClr val="accent3"/>
              </a:solidFill>
              <a:round/>
            </a:ln>
            <a:effectLst/>
          </c:spPr>
          <c:marker>
            <c:symbol val="none"/>
          </c:marker>
          <c:val>
            <c:numRef>
              <c:f>Schedules!$F$84:$AC$84</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FF8-4C07-AA49-2705591C7F5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Schedules!$E$85</c:f>
              <c:strCache>
                <c:ptCount val="1"/>
                <c:pt idx="0">
                  <c:v>Weekday</c:v>
                </c:pt>
              </c:strCache>
            </c:strRef>
          </c:tx>
          <c:spPr>
            <a:ln w="28575" cap="rnd">
              <a:solidFill>
                <a:schemeClr val="accent1"/>
              </a:solidFill>
              <a:round/>
            </a:ln>
            <a:effectLst/>
          </c:spPr>
          <c:marker>
            <c:symbol val="none"/>
          </c:marker>
          <c:val>
            <c:numRef>
              <c:f>Schedules!$F$85:$AC$85</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FF4A-474C-B386-372E94D35E36}"/>
            </c:ext>
          </c:extLst>
        </c:ser>
        <c:ser>
          <c:idx val="1"/>
          <c:order val="1"/>
          <c:tx>
            <c:strRef>
              <c:f>Schedules!$E$86</c:f>
              <c:strCache>
                <c:ptCount val="1"/>
                <c:pt idx="0">
                  <c:v>Saturday</c:v>
                </c:pt>
              </c:strCache>
            </c:strRef>
          </c:tx>
          <c:spPr>
            <a:ln w="28575" cap="rnd">
              <a:solidFill>
                <a:schemeClr val="accent2"/>
              </a:solidFill>
              <a:round/>
            </a:ln>
            <a:effectLst/>
          </c:spPr>
          <c:marker>
            <c:symbol val="none"/>
          </c:marker>
          <c:val>
            <c:numRef>
              <c:f>Schedules!$F$86:$AC$86</c:f>
              <c:numCache>
                <c:formatCode>0.00</c:formatCode>
                <c:ptCount val="24"/>
                <c:pt idx="0">
                  <c:v>0.05</c:v>
                </c:pt>
                <c:pt idx="1">
                  <c:v>0.05</c:v>
                </c:pt>
                <c:pt idx="2">
                  <c:v>0.05</c:v>
                </c:pt>
                <c:pt idx="3">
                  <c:v>0.05</c:v>
                </c:pt>
                <c:pt idx="4">
                  <c:v>0.05</c:v>
                </c:pt>
                <c:pt idx="5">
                  <c:v>0.05</c:v>
                </c:pt>
                <c:pt idx="6">
                  <c:v>0.1</c:v>
                </c:pt>
                <c:pt idx="7">
                  <c:v>0.1</c:v>
                </c:pt>
                <c:pt idx="8">
                  <c:v>0.3</c:v>
                </c:pt>
                <c:pt idx="9">
                  <c:v>0.3</c:v>
                </c:pt>
                <c:pt idx="10">
                  <c:v>0.3</c:v>
                </c:pt>
                <c:pt idx="11">
                  <c:v>0.3</c:v>
                </c:pt>
                <c:pt idx="12">
                  <c:v>0.15</c:v>
                </c:pt>
                <c:pt idx="13">
                  <c:v>0.15</c:v>
                </c:pt>
                <c:pt idx="14">
                  <c:v>0.15</c:v>
                </c:pt>
                <c:pt idx="15">
                  <c:v>0.15</c:v>
                </c:pt>
                <c:pt idx="16">
                  <c:v>0.15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FF4A-474C-B386-372E94D35E36}"/>
            </c:ext>
          </c:extLst>
        </c:ser>
        <c:ser>
          <c:idx val="2"/>
          <c:order val="2"/>
          <c:tx>
            <c:strRef>
              <c:f>Schedules!$E$87</c:f>
              <c:strCache>
                <c:ptCount val="1"/>
                <c:pt idx="0">
                  <c:v>Sunday</c:v>
                </c:pt>
              </c:strCache>
            </c:strRef>
          </c:tx>
          <c:spPr>
            <a:ln w="28575" cap="rnd">
              <a:solidFill>
                <a:schemeClr val="accent3"/>
              </a:solidFill>
              <a:round/>
            </a:ln>
            <a:effectLst/>
          </c:spPr>
          <c:marker>
            <c:symbol val="none"/>
          </c:marker>
          <c:val>
            <c:numRef>
              <c:f>Schedules!$F$87:$AC$87</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FF4A-474C-B386-372E94D35E3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Schedules!$C$88</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Schedules!$E$88</c:f>
              <c:strCache>
                <c:ptCount val="1"/>
                <c:pt idx="0">
                  <c:v>Weekday</c:v>
                </c:pt>
              </c:strCache>
            </c:strRef>
          </c:tx>
          <c:spPr>
            <a:ln w="28575" cap="rnd">
              <a:solidFill>
                <a:schemeClr val="accent1"/>
              </a:solidFill>
              <a:round/>
            </a:ln>
            <a:effectLst/>
          </c:spPr>
          <c:marker>
            <c:symbol val="none"/>
          </c:marker>
          <c:val>
            <c:numRef>
              <c:f>Schedules!$F$88:$AC$88</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C718-4333-808B-510BB4234104}"/>
            </c:ext>
          </c:extLst>
        </c:ser>
        <c:ser>
          <c:idx val="1"/>
          <c:order val="1"/>
          <c:tx>
            <c:strRef>
              <c:f>Schedules!$E$89</c:f>
              <c:strCache>
                <c:ptCount val="1"/>
                <c:pt idx="0">
                  <c:v>Saturday</c:v>
                </c:pt>
              </c:strCache>
            </c:strRef>
          </c:tx>
          <c:spPr>
            <a:ln w="28575" cap="rnd">
              <a:solidFill>
                <a:schemeClr val="accent2"/>
              </a:solidFill>
              <a:round/>
            </a:ln>
            <a:effectLst/>
          </c:spPr>
          <c:marker>
            <c:symbol val="none"/>
          </c:marker>
          <c:val>
            <c:numRef>
              <c:f>Schedules!$F$89:$AC$89</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C718-4333-808B-510BB4234104}"/>
            </c:ext>
          </c:extLst>
        </c:ser>
        <c:ser>
          <c:idx val="2"/>
          <c:order val="2"/>
          <c:tx>
            <c:strRef>
              <c:f>Schedules!$E$90</c:f>
              <c:strCache>
                <c:ptCount val="1"/>
                <c:pt idx="0">
                  <c:v>Sunday</c:v>
                </c:pt>
              </c:strCache>
            </c:strRef>
          </c:tx>
          <c:spPr>
            <a:ln w="28575" cap="rnd">
              <a:solidFill>
                <a:schemeClr val="accent3"/>
              </a:solidFill>
              <a:round/>
            </a:ln>
            <a:effectLst/>
          </c:spPr>
          <c:marker>
            <c:symbol val="none"/>
          </c:marker>
          <c:val>
            <c:numRef>
              <c:f>Schedules!$F$90:$AC$90</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C718-4333-808B-510BB423410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Schedules!$E$66</c:f>
              <c:strCache>
                <c:ptCount val="1"/>
                <c:pt idx="0">
                  <c:v>Weekday</c:v>
                </c:pt>
              </c:strCache>
            </c:strRef>
          </c:tx>
          <c:spPr>
            <a:ln w="28575" cap="rnd">
              <a:solidFill>
                <a:schemeClr val="accent1"/>
              </a:solidFill>
              <a:round/>
            </a:ln>
            <a:effectLst/>
          </c:spPr>
          <c:marker>
            <c:symbol val="none"/>
          </c:marker>
          <c:val>
            <c:numRef>
              <c:f>Schedules!$F$66:$AC$66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D7AA-4F4C-BB75-08E79407C85E}"/>
            </c:ext>
          </c:extLst>
        </c:ser>
        <c:ser>
          <c:idx val="1"/>
          <c:order val="1"/>
          <c:tx>
            <c:strRef>
              <c:f>Schedules!$E$67</c:f>
              <c:strCache>
                <c:ptCount val="1"/>
                <c:pt idx="0">
                  <c:v>Saturday</c:v>
                </c:pt>
              </c:strCache>
            </c:strRef>
          </c:tx>
          <c:spPr>
            <a:ln w="28575" cap="rnd">
              <a:solidFill>
                <a:schemeClr val="accent2"/>
              </a:solidFill>
              <a:round/>
            </a:ln>
            <a:effectLst/>
          </c:spPr>
          <c:marker>
            <c:symbol val="none"/>
          </c:marker>
          <c:val>
            <c:numRef>
              <c:f>Schedules!$F$67:$AC$67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D7AA-4F4C-BB75-08E79407C85E}"/>
            </c:ext>
          </c:extLst>
        </c:ser>
        <c:ser>
          <c:idx val="2"/>
          <c:order val="2"/>
          <c:tx>
            <c:strRef>
              <c:f>Schedules!$E$68</c:f>
              <c:strCache>
                <c:ptCount val="1"/>
                <c:pt idx="0">
                  <c:v>Sunday</c:v>
                </c:pt>
              </c:strCache>
            </c:strRef>
          </c:tx>
          <c:spPr>
            <a:ln w="28575" cap="rnd">
              <a:solidFill>
                <a:schemeClr val="accent3"/>
              </a:solidFill>
              <a:round/>
            </a:ln>
            <a:effectLst/>
          </c:spPr>
          <c:marker>
            <c:symbol val="none"/>
          </c:marker>
          <c:val>
            <c:numRef>
              <c:f>Schedules!$F$68:$AC$68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D7AA-4F4C-BB75-08E79407C85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6859-4C2B-AE9E-ADFE4A4DDFB7}"/>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6859-4C2B-AE9E-ADFE4A4DDFB7}"/>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6859-4C2B-AE9E-ADFE4A4DDFB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Schedules!$E$97</c:f>
              <c:strCache>
                <c:ptCount val="1"/>
                <c:pt idx="0">
                  <c:v>Weekday</c:v>
                </c:pt>
              </c:strCache>
            </c:strRef>
          </c:tx>
          <c:spPr>
            <a:ln w="28575" cap="rnd">
              <a:solidFill>
                <a:schemeClr val="accent1"/>
              </a:solidFill>
              <a:round/>
            </a:ln>
            <a:effectLst/>
          </c:spPr>
          <c:marker>
            <c:symbol val="none"/>
          </c:marker>
          <c:val>
            <c:numRef>
              <c:f>Schedules!$F$97:$AC$97</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F956-4494-AB32-2D815DDEBD35}"/>
            </c:ext>
          </c:extLst>
        </c:ser>
        <c:ser>
          <c:idx val="1"/>
          <c:order val="1"/>
          <c:tx>
            <c:strRef>
              <c:f>Schedules!$E$98</c:f>
              <c:strCache>
                <c:ptCount val="1"/>
                <c:pt idx="0">
                  <c:v>Saturday</c:v>
                </c:pt>
              </c:strCache>
            </c:strRef>
          </c:tx>
          <c:spPr>
            <a:ln w="28575" cap="rnd">
              <a:solidFill>
                <a:schemeClr val="accent2"/>
              </a:solidFill>
              <a:round/>
            </a:ln>
            <a:effectLst/>
          </c:spPr>
          <c:marker>
            <c:symbol val="none"/>
          </c:marker>
          <c:val>
            <c:numRef>
              <c:f>Schedules!$F$98:$AC$98</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1</c:v>
                </c:pt>
                <c:pt idx="20">
                  <c:v>1</c:v>
                </c:pt>
                <c:pt idx="21">
                  <c:v>1</c:v>
                </c:pt>
                <c:pt idx="22">
                  <c:v>1</c:v>
                </c:pt>
                <c:pt idx="23">
                  <c:v>1</c:v>
                </c:pt>
              </c:numCache>
            </c:numRef>
          </c:val>
          <c:smooth val="0"/>
          <c:extLst>
            <c:ext xmlns:c16="http://schemas.microsoft.com/office/drawing/2014/chart" uri="{C3380CC4-5D6E-409C-BE32-E72D297353CC}">
              <c16:uniqueId val="{00000001-F956-4494-AB32-2D815DDEBD35}"/>
            </c:ext>
          </c:extLst>
        </c:ser>
        <c:ser>
          <c:idx val="2"/>
          <c:order val="2"/>
          <c:tx>
            <c:strRef>
              <c:f>Schedules!$E$99</c:f>
              <c:strCache>
                <c:ptCount val="1"/>
                <c:pt idx="0">
                  <c:v>Sunday</c:v>
                </c:pt>
              </c:strCache>
            </c:strRef>
          </c:tx>
          <c:spPr>
            <a:ln w="28575" cap="rnd">
              <a:solidFill>
                <a:schemeClr val="accent3"/>
              </a:solidFill>
              <a:round/>
            </a:ln>
            <a:effectLst/>
          </c:spPr>
          <c:marker>
            <c:symbol val="none"/>
          </c:marker>
          <c:val>
            <c:numRef>
              <c:f>Schedules!$F$99:$AC$99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F956-4494-AB32-2D815DDEBD3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Schedules!$C$100</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Schedules!$E$100</c:f>
              <c:strCache>
                <c:ptCount val="1"/>
                <c:pt idx="0">
                  <c:v>Weekday</c:v>
                </c:pt>
              </c:strCache>
            </c:strRef>
          </c:tx>
          <c:spPr>
            <a:ln w="28575" cap="rnd">
              <a:solidFill>
                <a:schemeClr val="accent1"/>
              </a:solidFill>
              <a:round/>
            </a:ln>
            <a:effectLst/>
          </c:spPr>
          <c:marker>
            <c:symbol val="none"/>
          </c:marker>
          <c:val>
            <c:numRef>
              <c:f>Schedules!$F$100:$AC$100</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4CB5-482A-9BDE-3CD29B8BF81E}"/>
            </c:ext>
          </c:extLst>
        </c:ser>
        <c:ser>
          <c:idx val="1"/>
          <c:order val="1"/>
          <c:tx>
            <c:strRef>
              <c:f>Schedules!$E$101</c:f>
              <c:strCache>
                <c:ptCount val="1"/>
                <c:pt idx="0">
                  <c:v>Saturday</c:v>
                </c:pt>
              </c:strCache>
            </c:strRef>
          </c:tx>
          <c:spPr>
            <a:ln w="28575" cap="rnd">
              <a:solidFill>
                <a:schemeClr val="accent2"/>
              </a:solidFill>
              <a:round/>
            </a:ln>
            <a:effectLst/>
          </c:spPr>
          <c:marker>
            <c:symbol val="none"/>
          </c:marker>
          <c:val>
            <c:numRef>
              <c:f>Schedules!$F$101:$AC$101</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60</c:v>
                </c:pt>
                <c:pt idx="20">
                  <c:v>60</c:v>
                </c:pt>
                <c:pt idx="21">
                  <c:v>60</c:v>
                </c:pt>
                <c:pt idx="22">
                  <c:v>60</c:v>
                </c:pt>
                <c:pt idx="23">
                  <c:v>60</c:v>
                </c:pt>
              </c:numCache>
            </c:numRef>
          </c:val>
          <c:smooth val="0"/>
          <c:extLst>
            <c:ext xmlns:c16="http://schemas.microsoft.com/office/drawing/2014/chart" uri="{C3380CC4-5D6E-409C-BE32-E72D297353CC}">
              <c16:uniqueId val="{00000001-4CB5-482A-9BDE-3CD29B8BF81E}"/>
            </c:ext>
          </c:extLst>
        </c:ser>
        <c:ser>
          <c:idx val="2"/>
          <c:order val="2"/>
          <c:tx>
            <c:strRef>
              <c:f>Schedules!$E$102</c:f>
              <c:strCache>
                <c:ptCount val="1"/>
                <c:pt idx="0">
                  <c:v>Sunday</c:v>
                </c:pt>
              </c:strCache>
            </c:strRef>
          </c:tx>
          <c:spPr>
            <a:ln w="28575" cap="rnd">
              <a:solidFill>
                <a:schemeClr val="accent3"/>
              </a:solidFill>
              <a:round/>
            </a:ln>
            <a:effectLst/>
          </c:spPr>
          <c:marker>
            <c:symbol val="none"/>
          </c:marker>
          <c:val>
            <c:numRef>
              <c:f>Schedules!$F$102:$AC$102</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4CB5-482A-9BDE-3CD29B8BF81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Schedules!$C$103</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Schedules!$E$103</c:f>
              <c:strCache>
                <c:ptCount val="1"/>
                <c:pt idx="0">
                  <c:v>Weekday</c:v>
                </c:pt>
              </c:strCache>
            </c:strRef>
          </c:tx>
          <c:spPr>
            <a:ln w="28575" cap="rnd">
              <a:solidFill>
                <a:schemeClr val="accent1"/>
              </a:solidFill>
              <a:round/>
            </a:ln>
            <a:effectLst/>
          </c:spPr>
          <c:marker>
            <c:symbol val="none"/>
          </c:marker>
          <c:val>
            <c:numRef>
              <c:f>Schedules!$F$103:$AC$103</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9E01-44C3-8F0A-05952BD9C37E}"/>
            </c:ext>
          </c:extLst>
        </c:ser>
        <c:ser>
          <c:idx val="1"/>
          <c:order val="1"/>
          <c:tx>
            <c:strRef>
              <c:f>Schedules!$E$104</c:f>
              <c:strCache>
                <c:ptCount val="1"/>
                <c:pt idx="0">
                  <c:v>Saturday</c:v>
                </c:pt>
              </c:strCache>
            </c:strRef>
          </c:tx>
          <c:spPr>
            <a:ln w="28575" cap="rnd">
              <a:solidFill>
                <a:schemeClr val="accent2"/>
              </a:solidFill>
              <a:round/>
            </a:ln>
            <a:effectLst/>
          </c:spPr>
          <c:marker>
            <c:symbol val="none"/>
          </c:marker>
          <c:val>
            <c:numRef>
              <c:f>Schedules!$F$104:$AC$104</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85</c:v>
                </c:pt>
                <c:pt idx="20">
                  <c:v>85</c:v>
                </c:pt>
                <c:pt idx="21">
                  <c:v>85</c:v>
                </c:pt>
                <c:pt idx="22">
                  <c:v>85</c:v>
                </c:pt>
                <c:pt idx="23">
                  <c:v>85</c:v>
                </c:pt>
              </c:numCache>
            </c:numRef>
          </c:val>
          <c:smooth val="0"/>
          <c:extLst>
            <c:ext xmlns:c16="http://schemas.microsoft.com/office/drawing/2014/chart" uri="{C3380CC4-5D6E-409C-BE32-E72D297353CC}">
              <c16:uniqueId val="{00000001-9E01-44C3-8F0A-05952BD9C37E}"/>
            </c:ext>
          </c:extLst>
        </c:ser>
        <c:ser>
          <c:idx val="2"/>
          <c:order val="2"/>
          <c:tx>
            <c:strRef>
              <c:f>Schedules!$E$105</c:f>
              <c:strCache>
                <c:ptCount val="1"/>
                <c:pt idx="0">
                  <c:v>Sunday</c:v>
                </c:pt>
              </c:strCache>
            </c:strRef>
          </c:tx>
          <c:spPr>
            <a:ln w="28575" cap="rnd">
              <a:solidFill>
                <a:schemeClr val="accent3"/>
              </a:solidFill>
              <a:round/>
            </a:ln>
            <a:effectLst/>
          </c:spPr>
          <c:marker>
            <c:symbol val="none"/>
          </c:marker>
          <c:val>
            <c:numRef>
              <c:f>Schedules!$F$105:$AC$105</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9E01-44C3-8F0A-05952BD9C37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Small Hotel CalBEM Prototype vs. CEUS 2022</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852916320173568"/>
          <c:y val="0.13702235994960596"/>
          <c:w val="0.83351058960687763"/>
          <c:h val="0.59930303446257949"/>
        </c:manualLayout>
      </c:layout>
      <c:barChart>
        <c:barDir val="col"/>
        <c:grouping val="clustered"/>
        <c:varyColors val="0"/>
        <c:ser>
          <c:idx val="2"/>
          <c:order val="0"/>
          <c:tx>
            <c:strRef>
              <c:f>'Energy Usage'!$T$2</c:f>
              <c:strCache>
                <c:ptCount val="1"/>
                <c:pt idx="0">
                  <c:v>Acceptable Range (25% Higher)</c:v>
                </c:pt>
              </c:strCache>
            </c:strRef>
          </c:tx>
          <c:spPr>
            <a:solidFill>
              <a:schemeClr val="accent3"/>
            </a:solidFill>
            <a:ln>
              <a:noFill/>
            </a:ln>
            <a:effectLst/>
          </c:spPr>
          <c:invertIfNegative val="0"/>
          <c:val>
            <c:numRef>
              <c:f>'Energy Usage'!$T$3:$T$18</c:f>
              <c:numCache>
                <c:formatCode>0.0</c:formatCode>
                <c:ptCount val="16"/>
                <c:pt idx="0">
                  <c:v>70.287199999999999</c:v>
                </c:pt>
                <c:pt idx="1">
                  <c:v>61.970449999999992</c:v>
                </c:pt>
                <c:pt idx="2">
                  <c:v>69.988650000000007</c:v>
                </c:pt>
                <c:pt idx="3">
                  <c:v>67.301699999999997</c:v>
                </c:pt>
                <c:pt idx="4">
                  <c:v>84.447000000000003</c:v>
                </c:pt>
                <c:pt idx="5">
                  <c:v>83.721949999999993</c:v>
                </c:pt>
                <c:pt idx="6">
                  <c:v>88.157550000000015</c:v>
                </c:pt>
                <c:pt idx="7">
                  <c:v>82.271849999999986</c:v>
                </c:pt>
                <c:pt idx="8">
                  <c:v>80.69380000000001</c:v>
                </c:pt>
                <c:pt idx="9">
                  <c:v>100.90989999999999</c:v>
                </c:pt>
                <c:pt idx="10">
                  <c:v>108.6722</c:v>
                </c:pt>
                <c:pt idx="11">
                  <c:v>99.331850000000003</c:v>
                </c:pt>
                <c:pt idx="12">
                  <c:v>88.754649999999998</c:v>
                </c:pt>
                <c:pt idx="13">
                  <c:v>99.715700000000012</c:v>
                </c:pt>
                <c:pt idx="14">
                  <c:v>96.900800000000004</c:v>
                </c:pt>
                <c:pt idx="15">
                  <c:v>110.5488</c:v>
                </c:pt>
              </c:numCache>
            </c:numRef>
          </c:val>
          <c:extLst>
            <c:ext xmlns:c16="http://schemas.microsoft.com/office/drawing/2014/chart" uri="{C3380CC4-5D6E-409C-BE32-E72D297353CC}">
              <c16:uniqueId val="{00000003-1642-4914-9665-D4DD8C11D107}"/>
            </c:ext>
          </c:extLst>
        </c:ser>
        <c:ser>
          <c:idx val="0"/>
          <c:order val="1"/>
          <c:tx>
            <c:strRef>
              <c:f>'Energy Usage'!$E$2</c:f>
              <c:strCache>
                <c:ptCount val="1"/>
                <c:pt idx="0">
                  <c:v>CalBEM Total  EUI (KBTU/ft²)</c:v>
                </c:pt>
              </c:strCache>
            </c:strRef>
          </c:tx>
          <c:spPr>
            <a:solidFill>
              <a:schemeClr val="accent1"/>
            </a:solidFill>
            <a:ln>
              <a:noFill/>
            </a:ln>
            <a:effectLst/>
          </c:spPr>
          <c:invertIfNegative val="0"/>
          <c:cat>
            <c:numRef>
              <c:f>'Energy Usage'!$B$3:$B$18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Usage'!$E$3:$E$18</c:f>
              <c:numCache>
                <c:formatCode>General</c:formatCode>
                <c:ptCount val="16"/>
              </c:numCache>
            </c:numRef>
          </c:val>
          <c:extLst>
            <c:ext xmlns:c16="http://schemas.microsoft.com/office/drawing/2014/chart" uri="{C3380CC4-5D6E-409C-BE32-E72D297353CC}">
              <c16:uniqueId val="{00000000-1642-4914-9665-D4DD8C11D107}"/>
            </c:ext>
          </c:extLst>
        </c:ser>
        <c:ser>
          <c:idx val="1"/>
          <c:order val="2"/>
          <c:tx>
            <c:strRef>
              <c:f>'Energy Usage'!$S$2</c:f>
              <c:strCache>
                <c:ptCount val="1"/>
                <c:pt idx="0">
                  <c:v>CEUS 2023 Total EUI (kBtu/ft²)</c:v>
                </c:pt>
              </c:strCache>
            </c:strRef>
          </c:tx>
          <c:spPr>
            <a:solidFill>
              <a:schemeClr val="accent2"/>
            </a:solidFill>
            <a:ln>
              <a:noFill/>
            </a:ln>
            <a:effectLst/>
          </c:spPr>
          <c:invertIfNegative val="0"/>
          <c:cat>
            <c:numRef>
              <c:f>'Energy Usage'!$B$3:$B$18</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cat>
          <c:val>
            <c:numRef>
              <c:f>'Energy Usage'!$S$3:$S$18</c:f>
              <c:numCache>
                <c:formatCode>0.0</c:formatCode>
                <c:ptCount val="16"/>
                <c:pt idx="0">
                  <c:v>56.229759999999999</c:v>
                </c:pt>
                <c:pt idx="1">
                  <c:v>49.576359999999994</c:v>
                </c:pt>
                <c:pt idx="2">
                  <c:v>55.990920000000003</c:v>
                </c:pt>
                <c:pt idx="3">
                  <c:v>53.841360000000002</c:v>
                </c:pt>
                <c:pt idx="4">
                  <c:v>67.557600000000008</c:v>
                </c:pt>
                <c:pt idx="5">
                  <c:v>66.977559999999997</c:v>
                </c:pt>
                <c:pt idx="6">
                  <c:v>70.526040000000009</c:v>
                </c:pt>
                <c:pt idx="7">
                  <c:v>65.817479999999989</c:v>
                </c:pt>
                <c:pt idx="8">
                  <c:v>64.555040000000005</c:v>
                </c:pt>
                <c:pt idx="9">
                  <c:v>80.727919999999997</c:v>
                </c:pt>
                <c:pt idx="10">
                  <c:v>86.937759999999997</c:v>
                </c:pt>
                <c:pt idx="11">
                  <c:v>79.465479999999999</c:v>
                </c:pt>
                <c:pt idx="12">
                  <c:v>71.003720000000001</c:v>
                </c:pt>
                <c:pt idx="13">
                  <c:v>79.772560000000013</c:v>
                </c:pt>
                <c:pt idx="14">
                  <c:v>77.52064</c:v>
                </c:pt>
                <c:pt idx="15">
                  <c:v>88.439040000000006</c:v>
                </c:pt>
              </c:numCache>
            </c:numRef>
          </c:val>
          <c:extLst>
            <c:ext xmlns:c16="http://schemas.microsoft.com/office/drawing/2014/chart" uri="{C3380CC4-5D6E-409C-BE32-E72D297353CC}">
              <c16:uniqueId val="{00000001-1642-4914-9665-D4DD8C11D107}"/>
            </c:ext>
          </c:extLst>
        </c:ser>
        <c:ser>
          <c:idx val="3"/>
          <c:order val="3"/>
          <c:tx>
            <c:strRef>
              <c:f>'Energy Usage'!$U$2</c:f>
              <c:strCache>
                <c:ptCount val="1"/>
                <c:pt idx="0">
                  <c:v>Acceptable Range (25% Lower)</c:v>
                </c:pt>
              </c:strCache>
            </c:strRef>
          </c:tx>
          <c:spPr>
            <a:solidFill>
              <a:schemeClr val="accent4"/>
            </a:solidFill>
            <a:ln>
              <a:noFill/>
            </a:ln>
            <a:effectLst/>
          </c:spPr>
          <c:invertIfNegative val="0"/>
          <c:val>
            <c:numRef>
              <c:f>'Energy Usage'!$U$3:$U$18</c:f>
              <c:numCache>
                <c:formatCode>0.0</c:formatCode>
                <c:ptCount val="16"/>
                <c:pt idx="0">
                  <c:v>42.172319999999999</c:v>
                </c:pt>
                <c:pt idx="1">
                  <c:v>37.182269999999995</c:v>
                </c:pt>
                <c:pt idx="2">
                  <c:v>41.993189999999998</c:v>
                </c:pt>
                <c:pt idx="3">
                  <c:v>40.381019999999999</c:v>
                </c:pt>
                <c:pt idx="4">
                  <c:v>50.668200000000006</c:v>
                </c:pt>
                <c:pt idx="5">
                  <c:v>50.233170000000001</c:v>
                </c:pt>
                <c:pt idx="6">
                  <c:v>52.894530000000003</c:v>
                </c:pt>
                <c:pt idx="7">
                  <c:v>49.363109999999992</c:v>
                </c:pt>
                <c:pt idx="8">
                  <c:v>48.41628</c:v>
                </c:pt>
                <c:pt idx="9">
                  <c:v>60.545940000000002</c:v>
                </c:pt>
                <c:pt idx="10">
                  <c:v>65.203319999999991</c:v>
                </c:pt>
                <c:pt idx="11">
                  <c:v>59.599109999999996</c:v>
                </c:pt>
                <c:pt idx="12">
                  <c:v>53.252790000000005</c:v>
                </c:pt>
                <c:pt idx="13">
                  <c:v>59.829420000000013</c:v>
                </c:pt>
                <c:pt idx="14">
                  <c:v>58.140479999999997</c:v>
                </c:pt>
                <c:pt idx="15">
                  <c:v>66.329280000000011</c:v>
                </c:pt>
              </c:numCache>
            </c:numRef>
          </c:val>
          <c:extLst>
            <c:ext xmlns:c16="http://schemas.microsoft.com/office/drawing/2014/chart" uri="{C3380CC4-5D6E-409C-BE32-E72D297353CC}">
              <c16:uniqueId val="{00000004-1642-4914-9665-D4DD8C11D107}"/>
            </c:ext>
          </c:extLst>
        </c:ser>
        <c:dLbls>
          <c:showLegendKey val="0"/>
          <c:showVal val="0"/>
          <c:showCatName val="0"/>
          <c:showSerName val="0"/>
          <c:showPercent val="0"/>
          <c:showBubbleSize val="0"/>
        </c:dLbls>
        <c:gapWidth val="150"/>
        <c:axId val="1566017407"/>
        <c:axId val="1566017887"/>
      </c:barChart>
      <c:catAx>
        <c:axId val="1566017407"/>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Climate Zone</a:t>
                </a:r>
              </a:p>
            </c:rich>
          </c:tx>
          <c:layout>
            <c:manualLayout>
              <c:xMode val="edge"/>
              <c:yMode val="edge"/>
              <c:x val="0.43954576187222388"/>
              <c:y val="0.8097799015254496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566017887"/>
        <c:crosses val="autoZero"/>
        <c:auto val="1"/>
        <c:lblAlgn val="ctr"/>
        <c:lblOffset val="100"/>
        <c:noMultiLvlLbl val="0"/>
      </c:catAx>
      <c:valAx>
        <c:axId val="1566017887"/>
        <c:scaling>
          <c:orientation val="minMax"/>
          <c:min val="5"/>
        </c:scaling>
        <c:delete val="0"/>
        <c:axPos val="l"/>
        <c:majorGridlines>
          <c:spPr>
            <a:ln w="9525" cap="flat" cmpd="sng" algn="ctr">
              <a:solidFill>
                <a:schemeClr val="tx1">
                  <a:lumMod val="15000"/>
                  <a:lumOff val="85000"/>
                </a:schemeClr>
              </a:solidFill>
              <a:prstDash val="sysDot"/>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Total EUI (kBtu/ft²)</a:t>
                </a:r>
              </a:p>
            </c:rich>
          </c:tx>
          <c:layout>
            <c:manualLayout>
              <c:xMode val="edge"/>
              <c:yMode val="edge"/>
              <c:x val="1.7562070310921583E-2"/>
              <c:y val="0.33110876739126421"/>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566017407"/>
        <c:crosses val="autoZero"/>
        <c:crossBetween val="between"/>
      </c:valAx>
      <c:spPr>
        <a:noFill/>
        <a:ln>
          <a:solidFill>
            <a:schemeClr val="bg1">
              <a:lumMod val="75000"/>
            </a:schemeClr>
          </a:solidFill>
        </a:ln>
        <a:effectLst/>
      </c:spPr>
    </c:plotArea>
    <c:legend>
      <c:legendPos val="b"/>
      <c:layout>
        <c:manualLayout>
          <c:xMode val="edge"/>
          <c:yMode val="edge"/>
          <c:x val="1.7424455069849291E-2"/>
          <c:y val="0.84992179401248036"/>
          <c:w val="0.9581370984655263"/>
          <c:h val="0.1182086073512373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sz="1100"/>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HotelSmall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42.172319999999999</c:v>
                </c:pt>
                <c:pt idx="1">
                  <c:v>37.182269999999995</c:v>
                </c:pt>
                <c:pt idx="2">
                  <c:v>41.993189999999998</c:v>
                </c:pt>
                <c:pt idx="3">
                  <c:v>40.381019999999999</c:v>
                </c:pt>
                <c:pt idx="4">
                  <c:v>50.668200000000006</c:v>
                </c:pt>
                <c:pt idx="5">
                  <c:v>50.233170000000001</c:v>
                </c:pt>
                <c:pt idx="6">
                  <c:v>52.894530000000003</c:v>
                </c:pt>
                <c:pt idx="7">
                  <c:v>49.363109999999992</c:v>
                </c:pt>
                <c:pt idx="8">
                  <c:v>48.41628</c:v>
                </c:pt>
                <c:pt idx="9">
                  <c:v>60.545940000000002</c:v>
                </c:pt>
                <c:pt idx="10">
                  <c:v>65.203319999999991</c:v>
                </c:pt>
                <c:pt idx="11">
                  <c:v>59.599109999999996</c:v>
                </c:pt>
                <c:pt idx="12">
                  <c:v>53.252790000000005</c:v>
                </c:pt>
                <c:pt idx="13">
                  <c:v>59.829420000000013</c:v>
                </c:pt>
                <c:pt idx="14">
                  <c:v>58.140479999999997</c:v>
                </c:pt>
                <c:pt idx="15">
                  <c:v>66.329280000000011</c:v>
                </c:pt>
              </c:numCache>
            </c:numRef>
          </c:val>
          <c:extLst>
            <c:ext xmlns:c16="http://schemas.microsoft.com/office/drawing/2014/chart" uri="{C3380CC4-5D6E-409C-BE32-E72D297353CC}">
              <c16:uniqueId val="{00000000-FBA5-4D14-9BE8-DFB7D674B4A5}"/>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28.114879999999999</c:v>
                </c:pt>
                <c:pt idx="1">
                  <c:v>24.788179999999997</c:v>
                </c:pt>
                <c:pt idx="2">
                  <c:v>27.995460000000008</c:v>
                </c:pt>
                <c:pt idx="3">
                  <c:v>26.920679999999997</c:v>
                </c:pt>
                <c:pt idx="4">
                  <c:v>33.778799999999997</c:v>
                </c:pt>
                <c:pt idx="5">
                  <c:v>33.488779999999991</c:v>
                </c:pt>
                <c:pt idx="6">
                  <c:v>35.263020000000012</c:v>
                </c:pt>
                <c:pt idx="7">
                  <c:v>32.908739999999995</c:v>
                </c:pt>
                <c:pt idx="8">
                  <c:v>32.27752000000001</c:v>
                </c:pt>
                <c:pt idx="9">
                  <c:v>40.363959999999992</c:v>
                </c:pt>
                <c:pt idx="10">
                  <c:v>43.468880000000013</c:v>
                </c:pt>
                <c:pt idx="11">
                  <c:v>39.732740000000007</c:v>
                </c:pt>
                <c:pt idx="12">
                  <c:v>35.501859999999994</c:v>
                </c:pt>
                <c:pt idx="13">
                  <c:v>39.886279999999999</c:v>
                </c:pt>
                <c:pt idx="14">
                  <c:v>38.760320000000007</c:v>
                </c:pt>
                <c:pt idx="15">
                  <c:v>44.219519999999989</c:v>
                </c:pt>
              </c:numCache>
            </c:numRef>
          </c:val>
          <c:extLst>
            <c:ext xmlns:c16="http://schemas.microsoft.com/office/drawing/2014/chart" uri="{C3380CC4-5D6E-409C-BE32-E72D297353CC}">
              <c16:uniqueId val="{00000001-FBA5-4D14-9BE8-DFB7D674B4A5}"/>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FBA5-4D14-9BE8-DFB7D674B4A5}"/>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FBA5-4D14-9BE8-DFB7D674B4A5}"/>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HotelSmall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47.924999999999997</c:v>
                </c:pt>
                <c:pt idx="1">
                  <c:v>44.474999999999994</c:v>
                </c:pt>
                <c:pt idx="2">
                  <c:v>42.974999999999994</c:v>
                </c:pt>
                <c:pt idx="3">
                  <c:v>45.974999999999994</c:v>
                </c:pt>
                <c:pt idx="4">
                  <c:v>42.224999999999994</c:v>
                </c:pt>
                <c:pt idx="5">
                  <c:v>41.775000000000006</c:v>
                </c:pt>
                <c:pt idx="6">
                  <c:v>41.924999999999997</c:v>
                </c:pt>
                <c:pt idx="7">
                  <c:v>43.875</c:v>
                </c:pt>
                <c:pt idx="8">
                  <c:v>44.174999999999997</c:v>
                </c:pt>
                <c:pt idx="9">
                  <c:v>45.45</c:v>
                </c:pt>
                <c:pt idx="10">
                  <c:v>48.525000000000006</c:v>
                </c:pt>
                <c:pt idx="11">
                  <c:v>46.5</c:v>
                </c:pt>
                <c:pt idx="12">
                  <c:v>48.824999999999996</c:v>
                </c:pt>
                <c:pt idx="13">
                  <c:v>49.199999999999996</c:v>
                </c:pt>
                <c:pt idx="14">
                  <c:v>52.800000000000004</c:v>
                </c:pt>
                <c:pt idx="15">
                  <c:v>49.949999999999996</c:v>
                </c:pt>
              </c:numCache>
            </c:numRef>
          </c:val>
          <c:extLst>
            <c:ext xmlns:c16="http://schemas.microsoft.com/office/drawing/2014/chart" uri="{C3380CC4-5D6E-409C-BE32-E72D297353CC}">
              <c16:uniqueId val="{00000000-9731-4538-A5A8-732607D3F36D}"/>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31.950000000000003</c:v>
                </c:pt>
                <c:pt idx="1">
                  <c:v>29.650000000000006</c:v>
                </c:pt>
                <c:pt idx="2">
                  <c:v>28.650000000000006</c:v>
                </c:pt>
                <c:pt idx="3">
                  <c:v>30.650000000000006</c:v>
                </c:pt>
                <c:pt idx="4">
                  <c:v>28.150000000000006</c:v>
                </c:pt>
                <c:pt idx="5">
                  <c:v>27.849999999999994</c:v>
                </c:pt>
                <c:pt idx="6">
                  <c:v>27.950000000000003</c:v>
                </c:pt>
                <c:pt idx="7">
                  <c:v>29.25</c:v>
                </c:pt>
                <c:pt idx="8">
                  <c:v>29.450000000000003</c:v>
                </c:pt>
                <c:pt idx="9">
                  <c:v>30.299999999999997</c:v>
                </c:pt>
                <c:pt idx="10">
                  <c:v>32.349999999999994</c:v>
                </c:pt>
                <c:pt idx="11">
                  <c:v>31</c:v>
                </c:pt>
                <c:pt idx="12">
                  <c:v>32.550000000000004</c:v>
                </c:pt>
                <c:pt idx="13">
                  <c:v>32.800000000000004</c:v>
                </c:pt>
                <c:pt idx="14">
                  <c:v>35.199999999999996</c:v>
                </c:pt>
                <c:pt idx="15">
                  <c:v>33.300000000000004</c:v>
                </c:pt>
              </c:numCache>
            </c:numRef>
          </c:val>
          <c:extLst>
            <c:ext xmlns:c16="http://schemas.microsoft.com/office/drawing/2014/chart" uri="{C3380CC4-5D6E-409C-BE32-E72D297353CC}">
              <c16:uniqueId val="{00000001-9731-4538-A5A8-732607D3F36D}"/>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General</c:formatCode>
                <c:ptCount val="16"/>
              </c:numCache>
            </c:numRef>
          </c:yVal>
          <c:smooth val="0"/>
          <c:extLst>
            <c:ext xmlns:c16="http://schemas.microsoft.com/office/drawing/2014/chart" uri="{C3380CC4-5D6E-409C-BE32-E72D297353CC}">
              <c16:uniqueId val="{00000002-9731-4538-A5A8-732607D3F36D}"/>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9731-4538-A5A8-732607D3F36D}"/>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tmp"/><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7.xml.rels><?xml version="1.0" encoding="UTF-8" standalone="yes"?>
<Relationships xmlns="http://schemas.openxmlformats.org/package/2006/relationships"><Relationship Id="rId13" Type="http://schemas.openxmlformats.org/officeDocument/2006/relationships/chart" Target="../charts/chart16.xml"/><Relationship Id="rId18" Type="http://schemas.openxmlformats.org/officeDocument/2006/relationships/chart" Target="../charts/chart21.xml"/><Relationship Id="rId26" Type="http://schemas.openxmlformats.org/officeDocument/2006/relationships/chart" Target="../charts/chart29.xml"/><Relationship Id="rId3" Type="http://schemas.openxmlformats.org/officeDocument/2006/relationships/chart" Target="../charts/chart6.xml"/><Relationship Id="rId21" Type="http://schemas.openxmlformats.org/officeDocument/2006/relationships/chart" Target="../charts/chart24.xml"/><Relationship Id="rId34" Type="http://schemas.openxmlformats.org/officeDocument/2006/relationships/chart" Target="../charts/chart37.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5" Type="http://schemas.openxmlformats.org/officeDocument/2006/relationships/chart" Target="../charts/chart28.xml"/><Relationship Id="rId33" Type="http://schemas.openxmlformats.org/officeDocument/2006/relationships/chart" Target="../charts/chart36.xml"/><Relationship Id="rId2" Type="http://schemas.openxmlformats.org/officeDocument/2006/relationships/chart" Target="../charts/chart5.xml"/><Relationship Id="rId16" Type="http://schemas.openxmlformats.org/officeDocument/2006/relationships/chart" Target="../charts/chart19.xml"/><Relationship Id="rId20" Type="http://schemas.openxmlformats.org/officeDocument/2006/relationships/chart" Target="../charts/chart23.xml"/><Relationship Id="rId29" Type="http://schemas.openxmlformats.org/officeDocument/2006/relationships/chart" Target="../charts/chart32.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24" Type="http://schemas.openxmlformats.org/officeDocument/2006/relationships/chart" Target="../charts/chart27.xml"/><Relationship Id="rId32" Type="http://schemas.openxmlformats.org/officeDocument/2006/relationships/chart" Target="../charts/chart35.xml"/><Relationship Id="rId5" Type="http://schemas.openxmlformats.org/officeDocument/2006/relationships/chart" Target="../charts/chart8.xml"/><Relationship Id="rId15" Type="http://schemas.openxmlformats.org/officeDocument/2006/relationships/chart" Target="../charts/chart18.xml"/><Relationship Id="rId23" Type="http://schemas.openxmlformats.org/officeDocument/2006/relationships/chart" Target="../charts/chart26.xml"/><Relationship Id="rId28" Type="http://schemas.openxmlformats.org/officeDocument/2006/relationships/chart" Target="../charts/chart31.xml"/><Relationship Id="rId10" Type="http://schemas.openxmlformats.org/officeDocument/2006/relationships/chart" Target="../charts/chart13.xml"/><Relationship Id="rId19" Type="http://schemas.openxmlformats.org/officeDocument/2006/relationships/chart" Target="../charts/chart22.xml"/><Relationship Id="rId31" Type="http://schemas.openxmlformats.org/officeDocument/2006/relationships/chart" Target="../charts/chart34.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 Id="rId22" Type="http://schemas.openxmlformats.org/officeDocument/2006/relationships/chart" Target="../charts/chart25.xml"/><Relationship Id="rId27" Type="http://schemas.openxmlformats.org/officeDocument/2006/relationships/chart" Target="../charts/chart30.xml"/><Relationship Id="rId30" Type="http://schemas.openxmlformats.org/officeDocument/2006/relationships/chart" Target="../charts/chart33.xml"/><Relationship Id="rId35" Type="http://schemas.openxmlformats.org/officeDocument/2006/relationships/chart" Target="../charts/chart38.xml"/><Relationship Id="rId8"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3" Type="http://schemas.openxmlformats.org/officeDocument/2006/relationships/chart" Target="../charts/chart41.xml"/><Relationship Id="rId2" Type="http://schemas.openxmlformats.org/officeDocument/2006/relationships/chart" Target="../charts/chart40.xml"/><Relationship Id="rId1"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editAs="oneCell">
    <xdr:from>
      <xdr:col>1</xdr:col>
      <xdr:colOff>19050</xdr:colOff>
      <xdr:row>35</xdr:row>
      <xdr:rowOff>152400</xdr:rowOff>
    </xdr:from>
    <xdr:to>
      <xdr:col>2</xdr:col>
      <xdr:colOff>1698018</xdr:colOff>
      <xdr:row>46</xdr:row>
      <xdr:rowOff>55343</xdr:rowOff>
    </xdr:to>
    <xdr:pic>
      <xdr:nvPicPr>
        <xdr:cNvPr id="3" name="Picture 2">
          <a:extLst>
            <a:ext uri="{FF2B5EF4-FFF2-40B4-BE49-F238E27FC236}">
              <a16:creationId xmlns:a16="http://schemas.microsoft.com/office/drawing/2014/main" id="{8A0C853D-FB98-CC8B-9D8B-442FB148F30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28700" y="3257550"/>
          <a:ext cx="7768590" cy="1788892"/>
        </a:xfrm>
        <a:prstGeom prst="rect">
          <a:avLst/>
        </a:prstGeom>
      </xdr:spPr>
    </xdr:pic>
    <xdr:clientData/>
  </xdr:twoCellAnchor>
  <xdr:twoCellAnchor editAs="oneCell">
    <xdr:from>
      <xdr:col>1</xdr:col>
      <xdr:colOff>6031006</xdr:colOff>
      <xdr:row>65</xdr:row>
      <xdr:rowOff>938492</xdr:rowOff>
    </xdr:from>
    <xdr:to>
      <xdr:col>5</xdr:col>
      <xdr:colOff>638511</xdr:colOff>
      <xdr:row>83</xdr:row>
      <xdr:rowOff>49529</xdr:rowOff>
    </xdr:to>
    <xdr:pic>
      <xdr:nvPicPr>
        <xdr:cNvPr id="7" name="Picture 4" descr="A bar chart showing lodging buildings by square footage category. Approximately 42% of lodging buildings were between 1,001 square feet and 10,000 square feet.">
          <a:extLst>
            <a:ext uri="{FF2B5EF4-FFF2-40B4-BE49-F238E27FC236}">
              <a16:creationId xmlns:a16="http://schemas.microsoft.com/office/drawing/2014/main" id="{708EB15A-01BD-1554-878C-11B2C50CFAD9}"/>
            </a:ext>
            <a:ext uri="{147F2762-F138-4A5C-976F-8EAC2B608ADB}">
              <a16:predDERef xmlns:a16="http://schemas.microsoft.com/office/drawing/2014/main" pred="{8A0C853D-FB98-CC8B-9D8B-442FB148F3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35053" y="8379198"/>
          <a:ext cx="6066080" cy="30353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11430</xdr:colOff>
      <xdr:row>66</xdr:row>
      <xdr:rowOff>9525</xdr:rowOff>
    </xdr:from>
    <xdr:to>
      <xdr:col>1</xdr:col>
      <xdr:colOff>5505450</xdr:colOff>
      <xdr:row>77</xdr:row>
      <xdr:rowOff>1905</xdr:rowOff>
    </xdr:to>
    <xdr:pic>
      <xdr:nvPicPr>
        <xdr:cNvPr id="6" name="Picture 5" descr="A bar chart showing lodging buildings by square footage category. Approximately 42% of lodging buildings were between 1,001 square feet and 10,000 square feet.">
          <a:extLst>
            <a:ext uri="{FF2B5EF4-FFF2-40B4-BE49-F238E27FC236}">
              <a16:creationId xmlns:a16="http://schemas.microsoft.com/office/drawing/2014/main" id="{DF516A54-A0DE-31DB-31E9-72F6F00EE1D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21080" y="6457950"/>
          <a:ext cx="5480685" cy="19640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893445</xdr:colOff>
      <xdr:row>49</xdr:row>
      <xdr:rowOff>20955</xdr:rowOff>
    </xdr:from>
    <xdr:to>
      <xdr:col>2</xdr:col>
      <xdr:colOff>664509</xdr:colOff>
      <xdr:row>62</xdr:row>
      <xdr:rowOff>1905</xdr:rowOff>
    </xdr:to>
    <xdr:pic>
      <xdr:nvPicPr>
        <xdr:cNvPr id="2" name="Picture 1">
          <a:extLst>
            <a:ext uri="{FF2B5EF4-FFF2-40B4-BE49-F238E27FC236}">
              <a16:creationId xmlns:a16="http://schemas.microsoft.com/office/drawing/2014/main" id="{C94509F1-5CD3-8403-6F92-82B6746D4E0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93445" y="11717655"/>
          <a:ext cx="6886653" cy="22174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85725</xdr:colOff>
      <xdr:row>22</xdr:row>
      <xdr:rowOff>66675</xdr:rowOff>
    </xdr:from>
    <xdr:to>
      <xdr:col>1</xdr:col>
      <xdr:colOff>2933700</xdr:colOff>
      <xdr:row>22</xdr:row>
      <xdr:rowOff>1430655</xdr:rowOff>
    </xdr:to>
    <xdr:pic>
      <xdr:nvPicPr>
        <xdr:cNvPr id="2" name="Picture 1">
          <a:extLst>
            <a:ext uri="{FF2B5EF4-FFF2-40B4-BE49-F238E27FC236}">
              <a16:creationId xmlns:a16="http://schemas.microsoft.com/office/drawing/2014/main" id="{D49C1239-9273-43B4-8DDF-2A6D618B40CF}"/>
            </a:ext>
            <a:ext uri="{147F2762-F138-4A5C-976F-8EAC2B608ADB}">
              <a16:predDERef xmlns:a16="http://schemas.microsoft.com/office/drawing/2014/main" pred="{D6196E4A-412B-8EEA-F46F-671E3FD3D331}"/>
            </a:ext>
          </a:extLst>
        </xdr:cNvPr>
        <xdr:cNvPicPr>
          <a:picLocks noChangeAspect="1"/>
        </xdr:cNvPicPr>
      </xdr:nvPicPr>
      <xdr:blipFill>
        <a:blip xmlns:r="http://schemas.openxmlformats.org/officeDocument/2006/relationships" r:embed="rId1"/>
        <a:stretch>
          <a:fillRect/>
        </a:stretch>
      </xdr:blipFill>
      <xdr:spPr>
        <a:xfrm>
          <a:off x="1752600" y="6448425"/>
          <a:ext cx="2847975" cy="1371600"/>
        </a:xfrm>
        <a:prstGeom prst="rect">
          <a:avLst/>
        </a:prstGeom>
      </xdr:spPr>
    </xdr:pic>
    <xdr:clientData/>
  </xdr:twoCellAnchor>
  <xdr:twoCellAnchor>
    <xdr:from>
      <xdr:col>4</xdr:col>
      <xdr:colOff>95250</xdr:colOff>
      <xdr:row>22</xdr:row>
      <xdr:rowOff>57150</xdr:rowOff>
    </xdr:from>
    <xdr:to>
      <xdr:col>4</xdr:col>
      <xdr:colOff>2686050</xdr:colOff>
      <xdr:row>22</xdr:row>
      <xdr:rowOff>1501140</xdr:rowOff>
    </xdr:to>
    <xdr:pic>
      <xdr:nvPicPr>
        <xdr:cNvPr id="6" name="Picture 5">
          <a:extLst>
            <a:ext uri="{FF2B5EF4-FFF2-40B4-BE49-F238E27FC236}">
              <a16:creationId xmlns:a16="http://schemas.microsoft.com/office/drawing/2014/main" id="{25415024-A4B3-8F30-5A4B-AD265E4FFB8A}"/>
            </a:ext>
            <a:ext uri="{147F2762-F138-4A5C-976F-8EAC2B608ADB}">
              <a16:predDERef xmlns:a16="http://schemas.microsoft.com/office/drawing/2014/main" pred="{ECBFBBBC-7A4A-406A-87B0-02B912FD6922}"/>
            </a:ext>
          </a:extLst>
        </xdr:cNvPr>
        <xdr:cNvPicPr>
          <a:picLocks noChangeAspect="1"/>
        </xdr:cNvPicPr>
      </xdr:nvPicPr>
      <xdr:blipFill>
        <a:blip xmlns:r="http://schemas.openxmlformats.org/officeDocument/2006/relationships" r:embed="rId2"/>
        <a:stretch>
          <a:fillRect/>
        </a:stretch>
      </xdr:blipFill>
      <xdr:spPr>
        <a:xfrm>
          <a:off x="10772775" y="6438900"/>
          <a:ext cx="2581275" cy="1447800"/>
        </a:xfrm>
        <a:prstGeom prst="rect">
          <a:avLst/>
        </a:prstGeom>
      </xdr:spPr>
    </xdr:pic>
    <xdr:clientData/>
  </xdr:twoCellAnchor>
  <xdr:twoCellAnchor>
    <xdr:from>
      <xdr:col>2</xdr:col>
      <xdr:colOff>19050</xdr:colOff>
      <xdr:row>22</xdr:row>
      <xdr:rowOff>66675</xdr:rowOff>
    </xdr:from>
    <xdr:to>
      <xdr:col>2</xdr:col>
      <xdr:colOff>2971800</xdr:colOff>
      <xdr:row>22</xdr:row>
      <xdr:rowOff>1424940</xdr:rowOff>
    </xdr:to>
    <xdr:pic>
      <xdr:nvPicPr>
        <xdr:cNvPr id="7" name="Picture 6">
          <a:extLst>
            <a:ext uri="{FF2B5EF4-FFF2-40B4-BE49-F238E27FC236}">
              <a16:creationId xmlns:a16="http://schemas.microsoft.com/office/drawing/2014/main" id="{28956179-E189-BE8A-B1C9-A5E1235A6ABD}"/>
            </a:ext>
            <a:ext uri="{147F2762-F138-4A5C-976F-8EAC2B608ADB}">
              <a16:predDERef xmlns:a16="http://schemas.microsoft.com/office/drawing/2014/main" pred="{25415024-A4B3-8F30-5A4B-AD265E4FFB8A}"/>
            </a:ext>
          </a:extLst>
        </xdr:cNvPr>
        <xdr:cNvPicPr>
          <a:picLocks noChangeAspect="1"/>
        </xdr:cNvPicPr>
      </xdr:nvPicPr>
      <xdr:blipFill>
        <a:blip xmlns:r="http://schemas.openxmlformats.org/officeDocument/2006/relationships" r:embed="rId3"/>
        <a:stretch>
          <a:fillRect/>
        </a:stretch>
      </xdr:blipFill>
      <xdr:spPr>
        <a:xfrm>
          <a:off x="4733925" y="6448425"/>
          <a:ext cx="2952750" cy="1362075"/>
        </a:xfrm>
        <a:prstGeom prst="rect">
          <a:avLst/>
        </a:prstGeom>
      </xdr:spPr>
    </xdr:pic>
    <xdr:clientData/>
  </xdr:twoCellAnchor>
  <xdr:twoCellAnchor>
    <xdr:from>
      <xdr:col>3</xdr:col>
      <xdr:colOff>38100</xdr:colOff>
      <xdr:row>22</xdr:row>
      <xdr:rowOff>142875</xdr:rowOff>
    </xdr:from>
    <xdr:to>
      <xdr:col>3</xdr:col>
      <xdr:colOff>2878455</xdr:colOff>
      <xdr:row>22</xdr:row>
      <xdr:rowOff>1348740</xdr:rowOff>
    </xdr:to>
    <xdr:pic>
      <xdr:nvPicPr>
        <xdr:cNvPr id="8" name="Picture 7">
          <a:extLst>
            <a:ext uri="{FF2B5EF4-FFF2-40B4-BE49-F238E27FC236}">
              <a16:creationId xmlns:a16="http://schemas.microsoft.com/office/drawing/2014/main" id="{064D4470-F877-B865-4FF5-0C6CF9D774EA}"/>
            </a:ext>
            <a:ext uri="{147F2762-F138-4A5C-976F-8EAC2B608ADB}">
              <a16:predDERef xmlns:a16="http://schemas.microsoft.com/office/drawing/2014/main" pred="{28956179-E189-BE8A-B1C9-A5E1235A6ABD}"/>
            </a:ext>
          </a:extLst>
        </xdr:cNvPr>
        <xdr:cNvPicPr>
          <a:picLocks noChangeAspect="1"/>
        </xdr:cNvPicPr>
      </xdr:nvPicPr>
      <xdr:blipFill>
        <a:blip xmlns:r="http://schemas.openxmlformats.org/officeDocument/2006/relationships" r:embed="rId4"/>
        <a:stretch>
          <a:fillRect/>
        </a:stretch>
      </xdr:blipFill>
      <xdr:spPr>
        <a:xfrm>
          <a:off x="7800975" y="6524625"/>
          <a:ext cx="2847975" cy="1209675"/>
        </a:xfrm>
        <a:prstGeom prst="rect">
          <a:avLst/>
        </a:prstGeom>
      </xdr:spPr>
    </xdr:pic>
    <xdr:clientData/>
  </xdr:twoCellAnchor>
  <xdr:twoCellAnchor editAs="oneCell">
    <xdr:from>
      <xdr:col>1</xdr:col>
      <xdr:colOff>200025</xdr:colOff>
      <xdr:row>7</xdr:row>
      <xdr:rowOff>9525</xdr:rowOff>
    </xdr:from>
    <xdr:to>
      <xdr:col>1</xdr:col>
      <xdr:colOff>2653665</xdr:colOff>
      <xdr:row>7</xdr:row>
      <xdr:rowOff>1196340</xdr:rowOff>
    </xdr:to>
    <xdr:pic>
      <xdr:nvPicPr>
        <xdr:cNvPr id="3" name="Picture 2">
          <a:extLst>
            <a:ext uri="{FF2B5EF4-FFF2-40B4-BE49-F238E27FC236}">
              <a16:creationId xmlns:a16="http://schemas.microsoft.com/office/drawing/2014/main" id="{69487020-8044-4FDA-85CC-6C8183750D7F}"/>
            </a:ext>
            <a:ext uri="{147F2762-F138-4A5C-976F-8EAC2B608ADB}">
              <a16:predDERef xmlns:a16="http://schemas.microsoft.com/office/drawing/2014/main" pred="{064D4470-F877-B865-4FF5-0C6CF9D774EA}"/>
            </a:ext>
          </a:extLst>
        </xdr:cNvPr>
        <xdr:cNvPicPr>
          <a:picLocks noChangeAspect="1"/>
        </xdr:cNvPicPr>
      </xdr:nvPicPr>
      <xdr:blipFill>
        <a:blip xmlns:r="http://schemas.openxmlformats.org/officeDocument/2006/relationships" r:embed="rId5"/>
        <a:stretch>
          <a:fillRect/>
        </a:stretch>
      </xdr:blipFill>
      <xdr:spPr>
        <a:xfrm>
          <a:off x="1866900" y="2571750"/>
          <a:ext cx="2457450" cy="1181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896470</xdr:colOff>
      <xdr:row>0</xdr:row>
      <xdr:rowOff>0</xdr:rowOff>
    </xdr:from>
    <xdr:to>
      <xdr:col>16</xdr:col>
      <xdr:colOff>28014</xdr:colOff>
      <xdr:row>1</xdr:row>
      <xdr:rowOff>91440</xdr:rowOff>
    </xdr:to>
    <xdr:pic>
      <xdr:nvPicPr>
        <xdr:cNvPr id="3" name="Picture 2">
          <a:extLst>
            <a:ext uri="{FF2B5EF4-FFF2-40B4-BE49-F238E27FC236}">
              <a16:creationId xmlns:a16="http://schemas.microsoft.com/office/drawing/2014/main" id="{EEDC7DFC-A4B3-D565-1641-C2DA9CA390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802164" y="0"/>
          <a:ext cx="251460" cy="423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16</xdr:col>
      <xdr:colOff>112298</xdr:colOff>
      <xdr:row>1</xdr:row>
      <xdr:rowOff>669596</xdr:rowOff>
    </xdr:from>
    <xdr:ext cx="239809" cy="184731"/>
    <xdr:sp macro="" textlink="">
      <xdr:nvSpPr>
        <xdr:cNvPr id="59" name="TextBox 58">
          <a:extLst>
            <a:ext uri="{FF2B5EF4-FFF2-40B4-BE49-F238E27FC236}">
              <a16:creationId xmlns:a16="http://schemas.microsoft.com/office/drawing/2014/main" id="{E927A294-17F9-4924-89E5-E8D4D80A33D9}"/>
            </a:ext>
          </a:extLst>
        </xdr:cNvPr>
        <xdr:cNvSpPr txBox="1"/>
      </xdr:nvSpPr>
      <xdr:spPr>
        <a:xfrm rot="16200000">
          <a:off x="22885537" y="969717"/>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rgbClr val="FFC000"/>
            </a:solidFill>
            <a:latin typeface="Arial" panose="020B0604020202020204" pitchFamily="34" charset="0"/>
            <a:cs typeface="Arial" panose="020B0604020202020204" pitchFamily="34" charset="0"/>
          </a:endParaRPr>
        </a:p>
      </xdr:txBody>
    </xdr:sp>
    <xdr:clientData/>
  </xdr:oneCellAnchor>
  <xdr:twoCellAnchor>
    <xdr:from>
      <xdr:col>13</xdr:col>
      <xdr:colOff>1403097</xdr:colOff>
      <xdr:row>13</xdr:row>
      <xdr:rowOff>1183</xdr:rowOff>
    </xdr:from>
    <xdr:to>
      <xdr:col>20</xdr:col>
      <xdr:colOff>152315</xdr:colOff>
      <xdr:row>22</xdr:row>
      <xdr:rowOff>195386</xdr:rowOff>
    </xdr:to>
    <xdr:grpSp>
      <xdr:nvGrpSpPr>
        <xdr:cNvPr id="7" name="Group 6">
          <a:extLst>
            <a:ext uri="{FF2B5EF4-FFF2-40B4-BE49-F238E27FC236}">
              <a16:creationId xmlns:a16="http://schemas.microsoft.com/office/drawing/2014/main" id="{AB366C65-A723-0EC2-D8FD-A541A74EA0E5}"/>
            </a:ext>
          </a:extLst>
        </xdr:cNvPr>
        <xdr:cNvGrpSpPr/>
      </xdr:nvGrpSpPr>
      <xdr:grpSpPr>
        <a:xfrm>
          <a:off x="23140604" y="4192183"/>
          <a:ext cx="6572829" cy="2011461"/>
          <a:chOff x="22667379" y="3972547"/>
          <a:chExt cx="6539548" cy="2363662"/>
        </a:xfrm>
      </xdr:grpSpPr>
      <xdr:pic>
        <xdr:nvPicPr>
          <xdr:cNvPr id="26" name="Picture 25">
            <a:extLst>
              <a:ext uri="{FF2B5EF4-FFF2-40B4-BE49-F238E27FC236}">
                <a16:creationId xmlns:a16="http://schemas.microsoft.com/office/drawing/2014/main" id="{1E935314-3E9B-4135-8A6D-166118A99649}"/>
              </a:ext>
            </a:extLst>
          </xdr:cNvPr>
          <xdr:cNvPicPr>
            <a:picLocks noChangeAspect="1"/>
          </xdr:cNvPicPr>
        </xdr:nvPicPr>
        <xdr:blipFill>
          <a:blip xmlns:r="http://schemas.openxmlformats.org/officeDocument/2006/relationships" r:embed="rId2"/>
          <a:stretch>
            <a:fillRect/>
          </a:stretch>
        </xdr:blipFill>
        <xdr:spPr>
          <a:xfrm>
            <a:off x="22667379" y="3972547"/>
            <a:ext cx="6539548" cy="2363662"/>
          </a:xfrm>
          <a:prstGeom prst="rect">
            <a:avLst/>
          </a:prstGeom>
        </xdr:spPr>
      </xdr:pic>
      <xdr:grpSp>
        <xdr:nvGrpSpPr>
          <xdr:cNvPr id="6" name="Group 5">
            <a:extLst>
              <a:ext uri="{FF2B5EF4-FFF2-40B4-BE49-F238E27FC236}">
                <a16:creationId xmlns:a16="http://schemas.microsoft.com/office/drawing/2014/main" id="{16B75EA0-61CA-1A5C-A114-CBB1D2E8A3A8}"/>
              </a:ext>
            </a:extLst>
          </xdr:cNvPr>
          <xdr:cNvGrpSpPr/>
        </xdr:nvGrpSpPr>
        <xdr:grpSpPr>
          <a:xfrm>
            <a:off x="22868761" y="4051544"/>
            <a:ext cx="6082561" cy="2016730"/>
            <a:chOff x="22868761" y="4051544"/>
            <a:chExt cx="6082561" cy="2016730"/>
          </a:xfrm>
        </xdr:grpSpPr>
        <xdr:sp macro="" textlink="">
          <xdr:nvSpPr>
            <xdr:cNvPr id="28" name="TextBox 27">
              <a:extLst>
                <a:ext uri="{FF2B5EF4-FFF2-40B4-BE49-F238E27FC236}">
                  <a16:creationId xmlns:a16="http://schemas.microsoft.com/office/drawing/2014/main" id="{8150D9EF-8BFB-4464-A23B-4A7255F14853}"/>
                </a:ext>
              </a:extLst>
            </xdr:cNvPr>
            <xdr:cNvSpPr txBox="1"/>
          </xdr:nvSpPr>
          <xdr:spPr>
            <a:xfrm>
              <a:off x="25235885" y="5431253"/>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29" name="TextBox 28">
              <a:extLst>
                <a:ext uri="{FF2B5EF4-FFF2-40B4-BE49-F238E27FC236}">
                  <a16:creationId xmlns:a16="http://schemas.microsoft.com/office/drawing/2014/main" id="{FBD5C42B-A696-4C24-94BD-51B38516F52D}"/>
                </a:ext>
              </a:extLst>
            </xdr:cNvPr>
            <xdr:cNvSpPr txBox="1"/>
          </xdr:nvSpPr>
          <xdr:spPr>
            <a:xfrm>
              <a:off x="26734169" y="4508243"/>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0" name="TextBox 29">
              <a:extLst>
                <a:ext uri="{FF2B5EF4-FFF2-40B4-BE49-F238E27FC236}">
                  <a16:creationId xmlns:a16="http://schemas.microsoft.com/office/drawing/2014/main" id="{8F774801-53C3-4BA3-90AD-697EA02383E6}"/>
                </a:ext>
              </a:extLst>
            </xdr:cNvPr>
            <xdr:cNvSpPr txBox="1"/>
          </xdr:nvSpPr>
          <xdr:spPr>
            <a:xfrm>
              <a:off x="26533761" y="5667757"/>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1" name="TextBox 30">
              <a:extLst>
                <a:ext uri="{FF2B5EF4-FFF2-40B4-BE49-F238E27FC236}">
                  <a16:creationId xmlns:a16="http://schemas.microsoft.com/office/drawing/2014/main" id="{9C3768DE-640D-4B8D-925D-C51A61FB18BA}"/>
                </a:ext>
              </a:extLst>
            </xdr:cNvPr>
            <xdr:cNvSpPr txBox="1"/>
          </xdr:nvSpPr>
          <xdr:spPr>
            <a:xfrm>
              <a:off x="23711413" y="4457050"/>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2" name="TextBox 31">
              <a:extLst>
                <a:ext uri="{FF2B5EF4-FFF2-40B4-BE49-F238E27FC236}">
                  <a16:creationId xmlns:a16="http://schemas.microsoft.com/office/drawing/2014/main" id="{6928C64E-8A06-457D-95B3-4A7583E9E447}"/>
                </a:ext>
              </a:extLst>
            </xdr:cNvPr>
            <xdr:cNvSpPr txBox="1"/>
          </xdr:nvSpPr>
          <xdr:spPr>
            <a:xfrm>
              <a:off x="23573049" y="5499667"/>
              <a:ext cx="9685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Rooms</a:t>
              </a:r>
            </a:p>
          </xdr:txBody>
        </xdr:sp>
        <xdr:sp macro="" textlink="">
          <xdr:nvSpPr>
            <xdr:cNvPr id="33" name="TextBox 32">
              <a:extLst>
                <a:ext uri="{FF2B5EF4-FFF2-40B4-BE49-F238E27FC236}">
                  <a16:creationId xmlns:a16="http://schemas.microsoft.com/office/drawing/2014/main" id="{A7BB54C4-7C50-40CA-94B3-A8F4E2DC480F}"/>
                </a:ext>
              </a:extLst>
            </xdr:cNvPr>
            <xdr:cNvSpPr txBox="1"/>
          </xdr:nvSpPr>
          <xdr:spPr>
            <a:xfrm rot="16200000">
              <a:off x="22633458" y="5496130"/>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4" name="TextBox 33">
              <a:extLst>
                <a:ext uri="{FF2B5EF4-FFF2-40B4-BE49-F238E27FC236}">
                  <a16:creationId xmlns:a16="http://schemas.microsoft.com/office/drawing/2014/main" id="{4CF66899-5D00-4AF5-886A-50C1F4E64293}"/>
                </a:ext>
              </a:extLst>
            </xdr:cNvPr>
            <xdr:cNvSpPr txBox="1"/>
          </xdr:nvSpPr>
          <xdr:spPr>
            <a:xfrm rot="16200000">
              <a:off x="28026602" y="5479144"/>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5" name="TextBox 34">
              <a:extLst>
                <a:ext uri="{FF2B5EF4-FFF2-40B4-BE49-F238E27FC236}">
                  <a16:creationId xmlns:a16="http://schemas.microsoft.com/office/drawing/2014/main" id="{3461BBD4-ACEF-4B62-A7EE-FFAB13CCEC83}"/>
                </a:ext>
              </a:extLst>
            </xdr:cNvPr>
            <xdr:cNvSpPr txBox="1"/>
          </xdr:nvSpPr>
          <xdr:spPr>
            <a:xfrm rot="16200000">
              <a:off x="28013864" y="4386866"/>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36" name="TextBox 35">
              <a:extLst>
                <a:ext uri="{FF2B5EF4-FFF2-40B4-BE49-F238E27FC236}">
                  <a16:creationId xmlns:a16="http://schemas.microsoft.com/office/drawing/2014/main" id="{BF285D9D-1E2F-4B39-892E-948DB95952AD}"/>
                </a:ext>
              </a:extLst>
            </xdr:cNvPr>
            <xdr:cNvSpPr txBox="1"/>
          </xdr:nvSpPr>
          <xdr:spPr>
            <a:xfrm rot="16200000">
              <a:off x="22732442" y="4449029"/>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37" name="TextBox 36">
              <a:extLst>
                <a:ext uri="{FF2B5EF4-FFF2-40B4-BE49-F238E27FC236}">
                  <a16:creationId xmlns:a16="http://schemas.microsoft.com/office/drawing/2014/main" id="{0348DEB0-C86D-4078-B773-ABE7858B9110}"/>
                </a:ext>
              </a:extLst>
            </xdr:cNvPr>
            <xdr:cNvSpPr txBox="1"/>
          </xdr:nvSpPr>
          <xdr:spPr>
            <a:xfrm rot="16200000">
              <a:off x="22897909" y="4441597"/>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Storage</a:t>
              </a:r>
            </a:p>
          </xdr:txBody>
        </xdr:sp>
        <xdr:sp macro="" textlink="">
          <xdr:nvSpPr>
            <xdr:cNvPr id="39" name="TextBox 38">
              <a:extLst>
                <a:ext uri="{FF2B5EF4-FFF2-40B4-BE49-F238E27FC236}">
                  <a16:creationId xmlns:a16="http://schemas.microsoft.com/office/drawing/2014/main" id="{D4E8F3FF-47F4-4CD0-B65B-48BC0311CC83}"/>
                </a:ext>
              </a:extLst>
            </xdr:cNvPr>
            <xdr:cNvSpPr txBox="1"/>
          </xdr:nvSpPr>
          <xdr:spPr>
            <a:xfrm rot="16200000">
              <a:off x="28531053" y="4414114"/>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40" name="TextBox 39">
              <a:extLst>
                <a:ext uri="{FF2B5EF4-FFF2-40B4-BE49-F238E27FC236}">
                  <a16:creationId xmlns:a16="http://schemas.microsoft.com/office/drawing/2014/main" id="{E4E2198C-3D8D-4384-88D6-61A0304C25AB}"/>
                </a:ext>
              </a:extLst>
            </xdr:cNvPr>
            <xdr:cNvSpPr txBox="1"/>
          </xdr:nvSpPr>
          <xdr:spPr>
            <a:xfrm rot="16200000">
              <a:off x="28514536" y="5429247"/>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Storage</a:t>
              </a:r>
            </a:p>
          </xdr:txBody>
        </xdr:sp>
        <xdr:sp macro="" textlink="">
          <xdr:nvSpPr>
            <xdr:cNvPr id="41" name="TextBox 40">
              <a:extLst>
                <a:ext uri="{FF2B5EF4-FFF2-40B4-BE49-F238E27FC236}">
                  <a16:creationId xmlns:a16="http://schemas.microsoft.com/office/drawing/2014/main" id="{6CA04981-B301-475F-A3D7-3C5D990E1F7A}"/>
                </a:ext>
              </a:extLst>
            </xdr:cNvPr>
            <xdr:cNvSpPr txBox="1"/>
          </xdr:nvSpPr>
          <xdr:spPr>
            <a:xfrm>
              <a:off x="25050101" y="4937015"/>
              <a:ext cx="6477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Corridor</a:t>
              </a:r>
            </a:p>
          </xdr:txBody>
        </xdr:sp>
        <xdr:sp macro="" textlink="">
          <xdr:nvSpPr>
            <xdr:cNvPr id="42" name="TextBox 41">
              <a:extLst>
                <a:ext uri="{FF2B5EF4-FFF2-40B4-BE49-F238E27FC236}">
                  <a16:creationId xmlns:a16="http://schemas.microsoft.com/office/drawing/2014/main" id="{DC687F69-E754-4AAD-9A4F-4177CA6F58DB}"/>
                </a:ext>
              </a:extLst>
            </xdr:cNvPr>
            <xdr:cNvSpPr txBox="1"/>
          </xdr:nvSpPr>
          <xdr:spPr>
            <a:xfrm rot="16200000">
              <a:off x="25841078" y="4383878"/>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65" name="TextBox 64">
              <a:extLst>
                <a:ext uri="{FF2B5EF4-FFF2-40B4-BE49-F238E27FC236}">
                  <a16:creationId xmlns:a16="http://schemas.microsoft.com/office/drawing/2014/main" id="{C4D1F799-9659-4B73-97D1-F11EEB997019}"/>
                </a:ext>
              </a:extLst>
            </xdr:cNvPr>
            <xdr:cNvSpPr txBox="1"/>
          </xdr:nvSpPr>
          <xdr:spPr>
            <a:xfrm rot="16200000">
              <a:off x="23078770" y="4402751"/>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grpSp>
    </xdr:grpSp>
    <xdr:clientData/>
  </xdr:twoCellAnchor>
  <xdr:oneCellAnchor>
    <xdr:from>
      <xdr:col>22</xdr:col>
      <xdr:colOff>415095</xdr:colOff>
      <xdr:row>2</xdr:row>
      <xdr:rowOff>21093</xdr:rowOff>
    </xdr:from>
    <xdr:ext cx="239809" cy="184731"/>
    <xdr:sp macro="" textlink="">
      <xdr:nvSpPr>
        <xdr:cNvPr id="81" name="TextBox 80">
          <a:extLst>
            <a:ext uri="{FF2B5EF4-FFF2-40B4-BE49-F238E27FC236}">
              <a16:creationId xmlns:a16="http://schemas.microsoft.com/office/drawing/2014/main" id="{D86B4BCB-60E7-4E86-94B6-0AFEA27C5DC4}"/>
            </a:ext>
          </a:extLst>
        </xdr:cNvPr>
        <xdr:cNvSpPr txBox="1"/>
      </xdr:nvSpPr>
      <xdr:spPr>
        <a:xfrm rot="16200000">
          <a:off x="29543414" y="991774"/>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rgbClr val="FFC000"/>
            </a:solidFill>
            <a:latin typeface="Arial" panose="020B0604020202020204" pitchFamily="34" charset="0"/>
            <a:cs typeface="Arial" panose="020B0604020202020204" pitchFamily="34" charset="0"/>
          </a:endParaRPr>
        </a:p>
      </xdr:txBody>
    </xdr:sp>
    <xdr:clientData/>
  </xdr:oneCellAnchor>
  <xdr:twoCellAnchor>
    <xdr:from>
      <xdr:col>13</xdr:col>
      <xdr:colOff>1532552</xdr:colOff>
      <xdr:row>1</xdr:row>
      <xdr:rowOff>103228</xdr:rowOff>
    </xdr:from>
    <xdr:to>
      <xdr:col>20</xdr:col>
      <xdr:colOff>61515</xdr:colOff>
      <xdr:row>7</xdr:row>
      <xdr:rowOff>1340881</xdr:rowOff>
    </xdr:to>
    <xdr:grpSp>
      <xdr:nvGrpSpPr>
        <xdr:cNvPr id="5" name="Group 4">
          <a:extLst>
            <a:ext uri="{FF2B5EF4-FFF2-40B4-BE49-F238E27FC236}">
              <a16:creationId xmlns:a16="http://schemas.microsoft.com/office/drawing/2014/main" id="{0E49481E-B51D-EECC-6162-F8A2E5E3A824}"/>
            </a:ext>
          </a:extLst>
        </xdr:cNvPr>
        <xdr:cNvGrpSpPr/>
      </xdr:nvGrpSpPr>
      <xdr:grpSpPr>
        <a:xfrm>
          <a:off x="23273869" y="426294"/>
          <a:ext cx="6344954" cy="2754257"/>
          <a:chOff x="22743046" y="434922"/>
          <a:chExt cx="6319293" cy="2698900"/>
        </a:xfrm>
      </xdr:grpSpPr>
      <xdr:pic>
        <xdr:nvPicPr>
          <xdr:cNvPr id="44" name="Picture 43">
            <a:extLst>
              <a:ext uri="{FF2B5EF4-FFF2-40B4-BE49-F238E27FC236}">
                <a16:creationId xmlns:a16="http://schemas.microsoft.com/office/drawing/2014/main" id="{B5889371-284D-F30C-72AD-FDCCB223AB8B}"/>
              </a:ext>
            </a:extLst>
          </xdr:cNvPr>
          <xdr:cNvPicPr>
            <a:picLocks noChangeAspect="1"/>
          </xdr:cNvPicPr>
        </xdr:nvPicPr>
        <xdr:blipFill>
          <a:blip xmlns:r="http://schemas.openxmlformats.org/officeDocument/2006/relationships" r:embed="rId3"/>
          <a:stretch>
            <a:fillRect/>
          </a:stretch>
        </xdr:blipFill>
        <xdr:spPr>
          <a:xfrm>
            <a:off x="22743046" y="434922"/>
            <a:ext cx="6319293" cy="2698900"/>
          </a:xfrm>
          <a:prstGeom prst="rect">
            <a:avLst/>
          </a:prstGeom>
        </xdr:spPr>
      </xdr:pic>
      <xdr:grpSp>
        <xdr:nvGrpSpPr>
          <xdr:cNvPr id="4" name="Group 3">
            <a:extLst>
              <a:ext uri="{FF2B5EF4-FFF2-40B4-BE49-F238E27FC236}">
                <a16:creationId xmlns:a16="http://schemas.microsoft.com/office/drawing/2014/main" id="{B257AC9F-3F76-1774-DC56-EC991D2C70F2}"/>
              </a:ext>
            </a:extLst>
          </xdr:cNvPr>
          <xdr:cNvGrpSpPr/>
        </xdr:nvGrpSpPr>
        <xdr:grpSpPr>
          <a:xfrm>
            <a:off x="22838769" y="630604"/>
            <a:ext cx="6087235" cy="2388558"/>
            <a:chOff x="22838769" y="630604"/>
            <a:chExt cx="6087235" cy="2388558"/>
          </a:xfrm>
        </xdr:grpSpPr>
        <xdr:sp macro="" textlink="">
          <xdr:nvSpPr>
            <xdr:cNvPr id="27" name="TextBox 26">
              <a:extLst>
                <a:ext uri="{FF2B5EF4-FFF2-40B4-BE49-F238E27FC236}">
                  <a16:creationId xmlns:a16="http://schemas.microsoft.com/office/drawing/2014/main" id="{8F1CDDC5-F7A0-4E97-A111-56697EB94A7B}"/>
                </a:ext>
              </a:extLst>
            </xdr:cNvPr>
            <xdr:cNvSpPr txBox="1"/>
          </xdr:nvSpPr>
          <xdr:spPr>
            <a:xfrm>
              <a:off x="25071922" y="2779353"/>
              <a:ext cx="1132746"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Canopy Shading</a:t>
              </a:r>
            </a:p>
          </xdr:txBody>
        </xdr:sp>
        <xdr:grpSp>
          <xdr:nvGrpSpPr>
            <xdr:cNvPr id="2" name="Group 1">
              <a:extLst>
                <a:ext uri="{FF2B5EF4-FFF2-40B4-BE49-F238E27FC236}">
                  <a16:creationId xmlns:a16="http://schemas.microsoft.com/office/drawing/2014/main" id="{6F0BE547-B885-8166-0FF1-40543D787AB2}"/>
                </a:ext>
              </a:extLst>
            </xdr:cNvPr>
            <xdr:cNvGrpSpPr/>
          </xdr:nvGrpSpPr>
          <xdr:grpSpPr>
            <a:xfrm>
              <a:off x="22838769" y="630604"/>
              <a:ext cx="6087235" cy="2003553"/>
              <a:chOff x="22453286" y="657499"/>
              <a:chExt cx="6087235" cy="2003553"/>
            </a:xfrm>
          </xdr:grpSpPr>
          <xdr:sp macro="" textlink="">
            <xdr:nvSpPr>
              <xdr:cNvPr id="45" name="TextBox 44">
                <a:extLst>
                  <a:ext uri="{FF2B5EF4-FFF2-40B4-BE49-F238E27FC236}">
                    <a16:creationId xmlns:a16="http://schemas.microsoft.com/office/drawing/2014/main" id="{C6D7BDC3-CA3B-4974-9DD7-E62E96E13635}"/>
                  </a:ext>
                </a:extLst>
              </xdr:cNvPr>
              <xdr:cNvSpPr txBox="1"/>
            </xdr:nvSpPr>
            <xdr:spPr>
              <a:xfrm>
                <a:off x="22747895" y="2138634"/>
                <a:ext cx="612475"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Lounge</a:t>
                </a:r>
              </a:p>
            </xdr:txBody>
          </xdr:sp>
          <xdr:sp macro="" textlink="">
            <xdr:nvSpPr>
              <xdr:cNvPr id="46" name="TextBox 45">
                <a:extLst>
                  <a:ext uri="{FF2B5EF4-FFF2-40B4-BE49-F238E27FC236}">
                    <a16:creationId xmlns:a16="http://schemas.microsoft.com/office/drawing/2014/main" id="{620A311B-394C-4753-9D30-7C62044E3904}"/>
                  </a:ext>
                </a:extLst>
              </xdr:cNvPr>
              <xdr:cNvSpPr txBox="1"/>
            </xdr:nvSpPr>
            <xdr:spPr>
              <a:xfrm>
                <a:off x="25601785" y="2149995"/>
                <a:ext cx="847540"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Conference</a:t>
                </a:r>
              </a:p>
            </xdr:txBody>
          </xdr:sp>
          <xdr:sp macro="" textlink="">
            <xdr:nvSpPr>
              <xdr:cNvPr id="47" name="TextBox 46">
                <a:extLst>
                  <a:ext uri="{FF2B5EF4-FFF2-40B4-BE49-F238E27FC236}">
                    <a16:creationId xmlns:a16="http://schemas.microsoft.com/office/drawing/2014/main" id="{4971BAF0-B307-4AC5-9D98-6AEC372BF336}"/>
                  </a:ext>
                </a:extLst>
              </xdr:cNvPr>
              <xdr:cNvSpPr txBox="1"/>
            </xdr:nvSpPr>
            <xdr:spPr>
              <a:xfrm>
                <a:off x="24803573" y="1546648"/>
                <a:ext cx="6477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Corridor</a:t>
                </a:r>
              </a:p>
            </xdr:txBody>
          </xdr:sp>
          <xdr:sp macro="" textlink="">
            <xdr:nvSpPr>
              <xdr:cNvPr id="48" name="TextBox 47">
                <a:extLst>
                  <a:ext uri="{FF2B5EF4-FFF2-40B4-BE49-F238E27FC236}">
                    <a16:creationId xmlns:a16="http://schemas.microsoft.com/office/drawing/2014/main" id="{79034662-72D4-46DB-B1F7-AF9B76FD9807}"/>
                  </a:ext>
                </a:extLst>
              </xdr:cNvPr>
              <xdr:cNvSpPr txBox="1"/>
            </xdr:nvSpPr>
            <xdr:spPr>
              <a:xfrm rot="16200000">
                <a:off x="24520841" y="2114984"/>
                <a:ext cx="74045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Restroom</a:t>
                </a:r>
              </a:p>
            </xdr:txBody>
          </xdr:sp>
          <xdr:sp macro="" textlink="">
            <xdr:nvSpPr>
              <xdr:cNvPr id="49" name="TextBox 48">
                <a:extLst>
                  <a:ext uri="{FF2B5EF4-FFF2-40B4-BE49-F238E27FC236}">
                    <a16:creationId xmlns:a16="http://schemas.microsoft.com/office/drawing/2014/main" id="{D45C18CF-78F0-4777-9258-44FEA816FD17}"/>
                  </a:ext>
                </a:extLst>
              </xdr:cNvPr>
              <xdr:cNvSpPr txBox="1"/>
            </xdr:nvSpPr>
            <xdr:spPr>
              <a:xfrm rot="16200000">
                <a:off x="26305277" y="2079107"/>
                <a:ext cx="899704" cy="264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ysClr val="windowText" lastClr="000000"/>
                    </a:solidFill>
                    <a:effectLst/>
                    <a:latin typeface="+mn-lt"/>
                    <a:ea typeface="+mn-ea"/>
                    <a:cs typeface="+mn-cs"/>
                  </a:rPr>
                  <a:t>Mechanical</a:t>
                </a:r>
                <a:endParaRPr lang="en-US" sz="1000">
                  <a:solidFill>
                    <a:sysClr val="windowText" lastClr="000000"/>
                  </a:solidFill>
                  <a:effectLst/>
                </a:endParaRPr>
              </a:p>
            </xdr:txBody>
          </xdr:sp>
          <xdr:sp macro="" textlink="">
            <xdr:nvSpPr>
              <xdr:cNvPr id="50" name="TextBox 49">
                <a:extLst>
                  <a:ext uri="{FF2B5EF4-FFF2-40B4-BE49-F238E27FC236}">
                    <a16:creationId xmlns:a16="http://schemas.microsoft.com/office/drawing/2014/main" id="{15178A79-3A8B-4101-B4D5-B419D7C0CE09}"/>
                  </a:ext>
                </a:extLst>
              </xdr:cNvPr>
              <xdr:cNvSpPr txBox="1"/>
            </xdr:nvSpPr>
            <xdr:spPr>
              <a:xfrm rot="16200000">
                <a:off x="26751003" y="2069956"/>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ysClr val="windowText" lastClr="000000"/>
                    </a:solidFill>
                    <a:effectLst/>
                    <a:latin typeface="+mn-lt"/>
                    <a:ea typeface="+mn-ea"/>
                    <a:cs typeface="+mn-cs"/>
                  </a:rPr>
                  <a:t>Guest Room</a:t>
                </a:r>
                <a:endParaRPr lang="en-US" sz="1000">
                  <a:solidFill>
                    <a:sysClr val="windowText" lastClr="000000"/>
                  </a:solidFill>
                  <a:effectLst/>
                </a:endParaRPr>
              </a:p>
            </xdr:txBody>
          </xdr:sp>
          <xdr:sp macro="" textlink="">
            <xdr:nvSpPr>
              <xdr:cNvPr id="51" name="TextBox 50">
                <a:extLst>
                  <a:ext uri="{FF2B5EF4-FFF2-40B4-BE49-F238E27FC236}">
                    <a16:creationId xmlns:a16="http://schemas.microsoft.com/office/drawing/2014/main" id="{FB4AA558-C899-46AA-BDB2-902C841F678B}"/>
                  </a:ext>
                </a:extLst>
              </xdr:cNvPr>
              <xdr:cNvSpPr txBox="1"/>
            </xdr:nvSpPr>
            <xdr:spPr>
              <a:xfrm rot="16200000">
                <a:off x="27110183" y="2078921"/>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52" name="TextBox 51">
                <a:extLst>
                  <a:ext uri="{FF2B5EF4-FFF2-40B4-BE49-F238E27FC236}">
                    <a16:creationId xmlns:a16="http://schemas.microsoft.com/office/drawing/2014/main" id="{7B396F72-E241-447E-9E82-31E9A830799A}"/>
                  </a:ext>
                </a:extLst>
              </xdr:cNvPr>
              <xdr:cNvSpPr txBox="1"/>
            </xdr:nvSpPr>
            <xdr:spPr>
              <a:xfrm rot="16200000">
                <a:off x="27634148" y="2060992"/>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53" name="TextBox 52">
                <a:extLst>
                  <a:ext uri="{FF2B5EF4-FFF2-40B4-BE49-F238E27FC236}">
                    <a16:creationId xmlns:a16="http://schemas.microsoft.com/office/drawing/2014/main" id="{2441E9D0-ED87-4829-B67F-107039581B5D}"/>
                  </a:ext>
                </a:extLst>
              </xdr:cNvPr>
              <xdr:cNvSpPr txBox="1"/>
            </xdr:nvSpPr>
            <xdr:spPr>
              <a:xfrm rot="16200000">
                <a:off x="28095976" y="2071920"/>
                <a:ext cx="62453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Storage</a:t>
                </a:r>
                <a:endParaRPr lang="en-US" sz="1000">
                  <a:effectLst/>
                </a:endParaRPr>
              </a:p>
            </xdr:txBody>
          </xdr:sp>
          <xdr:sp macro="" textlink="">
            <xdr:nvSpPr>
              <xdr:cNvPr id="55" name="TextBox 54">
                <a:extLst>
                  <a:ext uri="{FF2B5EF4-FFF2-40B4-BE49-F238E27FC236}">
                    <a16:creationId xmlns:a16="http://schemas.microsoft.com/office/drawing/2014/main" id="{0F9EDFCD-A5BE-4B27-AAFD-E509AA3C07D5}"/>
                  </a:ext>
                </a:extLst>
              </xdr:cNvPr>
              <xdr:cNvSpPr txBox="1"/>
            </xdr:nvSpPr>
            <xdr:spPr>
              <a:xfrm rot="16200000">
                <a:off x="27597713" y="989833"/>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56" name="TextBox 55">
                <a:extLst>
                  <a:ext uri="{FF2B5EF4-FFF2-40B4-BE49-F238E27FC236}">
                    <a16:creationId xmlns:a16="http://schemas.microsoft.com/office/drawing/2014/main" id="{8D7C3A6A-8B4A-4480-8F61-4E77903883C1}"/>
                  </a:ext>
                </a:extLst>
              </xdr:cNvPr>
              <xdr:cNvSpPr txBox="1"/>
            </xdr:nvSpPr>
            <xdr:spPr>
              <a:xfrm rot="16200000">
                <a:off x="27143203" y="1024514"/>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57" name="TextBox 56">
                <a:extLst>
                  <a:ext uri="{FF2B5EF4-FFF2-40B4-BE49-F238E27FC236}">
                    <a16:creationId xmlns:a16="http://schemas.microsoft.com/office/drawing/2014/main" id="{47E8FD4F-FCAC-4E88-9849-BB9640FC558F}"/>
                  </a:ext>
                </a:extLst>
              </xdr:cNvPr>
              <xdr:cNvSpPr txBox="1"/>
            </xdr:nvSpPr>
            <xdr:spPr>
              <a:xfrm rot="16200000">
                <a:off x="26839121" y="996610"/>
                <a:ext cx="653732" cy="239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solidFill>
                      <a:sysClr val="windowText" lastClr="000000"/>
                    </a:solidFill>
                    <a:latin typeface="Arial" panose="020B0604020202020204" pitchFamily="34" charset="0"/>
                    <a:cs typeface="Arial" panose="020B0604020202020204" pitchFamily="34" charset="0"/>
                  </a:rPr>
                  <a:t>Lounge</a:t>
                </a:r>
              </a:p>
            </xdr:txBody>
          </xdr:sp>
          <xdr:sp macro="" textlink="">
            <xdr:nvSpPr>
              <xdr:cNvPr id="58" name="TextBox 57">
                <a:extLst>
                  <a:ext uri="{FF2B5EF4-FFF2-40B4-BE49-F238E27FC236}">
                    <a16:creationId xmlns:a16="http://schemas.microsoft.com/office/drawing/2014/main" id="{3940396F-A9A0-4FD4-9C2C-FD61C8291CAE}"/>
                  </a:ext>
                </a:extLst>
              </xdr:cNvPr>
              <xdr:cNvSpPr txBox="1"/>
            </xdr:nvSpPr>
            <xdr:spPr>
              <a:xfrm>
                <a:off x="25828050" y="995625"/>
                <a:ext cx="6479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Laundry</a:t>
                </a:r>
              </a:p>
            </xdr:txBody>
          </xdr:sp>
          <xdr:sp macro="" textlink="">
            <xdr:nvSpPr>
              <xdr:cNvPr id="60" name="TextBox 59">
                <a:extLst>
                  <a:ext uri="{FF2B5EF4-FFF2-40B4-BE49-F238E27FC236}">
                    <a16:creationId xmlns:a16="http://schemas.microsoft.com/office/drawing/2014/main" id="{C267119D-1CEA-4EC2-BA2B-0689AE833906}"/>
                  </a:ext>
                </a:extLst>
              </xdr:cNvPr>
              <xdr:cNvSpPr txBox="1"/>
            </xdr:nvSpPr>
            <xdr:spPr>
              <a:xfrm rot="16200000">
                <a:off x="24506043" y="1039572"/>
                <a:ext cx="67633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Exercise</a:t>
                </a:r>
              </a:p>
            </xdr:txBody>
          </xdr:sp>
          <xdr:sp macro="" textlink="">
            <xdr:nvSpPr>
              <xdr:cNvPr id="62" name="TextBox 61">
                <a:extLst>
                  <a:ext uri="{FF2B5EF4-FFF2-40B4-BE49-F238E27FC236}">
                    <a16:creationId xmlns:a16="http://schemas.microsoft.com/office/drawing/2014/main" id="{A23A6311-FE6B-444E-91F1-9C258BE23213}"/>
                  </a:ext>
                </a:extLst>
              </xdr:cNvPr>
              <xdr:cNvSpPr txBox="1"/>
            </xdr:nvSpPr>
            <xdr:spPr>
              <a:xfrm>
                <a:off x="23838450" y="1015808"/>
                <a:ext cx="51962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Office</a:t>
                </a:r>
              </a:p>
            </xdr:txBody>
          </xdr:sp>
          <xdr:sp macro="" textlink="">
            <xdr:nvSpPr>
              <xdr:cNvPr id="63" name="TextBox 62">
                <a:extLst>
                  <a:ext uri="{FF2B5EF4-FFF2-40B4-BE49-F238E27FC236}">
                    <a16:creationId xmlns:a16="http://schemas.microsoft.com/office/drawing/2014/main" id="{6563BAAE-7D56-4447-9AE7-B59161B555FF}"/>
                  </a:ext>
                  <a:ext uri="{147F2762-F138-4A5C-976F-8EAC2B608ADB}">
                    <a16:predDERef xmlns:a16="http://schemas.microsoft.com/office/drawing/2014/main" pred="{A23A6311-FE6B-444E-91F1-9C258BE23213}"/>
                  </a:ext>
                </a:extLst>
              </xdr:cNvPr>
              <xdr:cNvSpPr txBox="1"/>
            </xdr:nvSpPr>
            <xdr:spPr>
              <a:xfrm rot="16200000">
                <a:off x="22316967" y="1038010"/>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64" name="TextBox 63">
                <a:extLst>
                  <a:ext uri="{FF2B5EF4-FFF2-40B4-BE49-F238E27FC236}">
                    <a16:creationId xmlns:a16="http://schemas.microsoft.com/office/drawing/2014/main" id="{BA0426A7-2DE7-4AEA-8FFF-3FAFD81031C8}"/>
                  </a:ext>
                  <a:ext uri="{147F2762-F138-4A5C-976F-8EAC2B608ADB}">
                    <a16:predDERef xmlns:a16="http://schemas.microsoft.com/office/drawing/2014/main" pred="{6563BAAE-7D56-4447-9AE7-B59161B555FF}"/>
                  </a:ext>
                </a:extLst>
              </xdr:cNvPr>
              <xdr:cNvSpPr txBox="1"/>
            </xdr:nvSpPr>
            <xdr:spPr>
              <a:xfrm rot="16200000">
                <a:off x="22501160" y="1028434"/>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US" sz="1000">
                    <a:solidFill>
                      <a:schemeClr val="tx1"/>
                    </a:solidFill>
                    <a:latin typeface="Arial" panose="020B0604020202020204" pitchFamily="34" charset="0"/>
                    <a:cs typeface="Arial" panose="020B0604020202020204" pitchFamily="34" charset="0"/>
                  </a:rPr>
                  <a:t>Storage</a:t>
                </a:r>
              </a:p>
            </xdr:txBody>
          </xdr:sp>
          <xdr:sp macro="" textlink="">
            <xdr:nvSpPr>
              <xdr:cNvPr id="84" name="TextBox 83">
                <a:extLst>
                  <a:ext uri="{FF2B5EF4-FFF2-40B4-BE49-F238E27FC236}">
                    <a16:creationId xmlns:a16="http://schemas.microsoft.com/office/drawing/2014/main" id="{DC1022DE-9AAC-4CB2-B36B-E7A5F32457E3}"/>
                  </a:ext>
                </a:extLst>
              </xdr:cNvPr>
              <xdr:cNvSpPr txBox="1"/>
            </xdr:nvSpPr>
            <xdr:spPr>
              <a:xfrm rot="16200000">
                <a:off x="28163255" y="1013562"/>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grpSp>
      </xdr:grpSp>
    </xdr:grpSp>
    <xdr:clientData/>
  </xdr:twoCellAnchor>
  <xdr:oneCellAnchor>
    <xdr:from>
      <xdr:col>14</xdr:col>
      <xdr:colOff>792852</xdr:colOff>
      <xdr:row>1</xdr:row>
      <xdr:rowOff>625637</xdr:rowOff>
    </xdr:from>
    <xdr:ext cx="239809" cy="184731"/>
    <xdr:sp macro="" textlink="">
      <xdr:nvSpPr>
        <xdr:cNvPr id="100" name="TextBox 99">
          <a:extLst>
            <a:ext uri="{FF2B5EF4-FFF2-40B4-BE49-F238E27FC236}">
              <a16:creationId xmlns:a16="http://schemas.microsoft.com/office/drawing/2014/main" id="{3F409320-0B17-4BCB-A48B-A29B66564F49}"/>
            </a:ext>
          </a:extLst>
        </xdr:cNvPr>
        <xdr:cNvSpPr txBox="1"/>
      </xdr:nvSpPr>
      <xdr:spPr>
        <a:xfrm rot="16200000">
          <a:off x="20937191" y="922776"/>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chemeClr val="bg1"/>
            </a:solidFill>
            <a:latin typeface="Arial" panose="020B0604020202020204" pitchFamily="34" charset="0"/>
            <a:cs typeface="Arial" panose="020B0604020202020204" pitchFamily="34" charset="0"/>
          </a:endParaRPr>
        </a:p>
      </xdr:txBody>
    </xdr:sp>
    <xdr:clientData/>
  </xdr:oneCellAnchor>
  <xdr:oneCellAnchor>
    <xdr:from>
      <xdr:col>16</xdr:col>
      <xdr:colOff>396240</xdr:colOff>
      <xdr:row>1</xdr:row>
      <xdr:rowOff>649433</xdr:rowOff>
    </xdr:from>
    <xdr:ext cx="239809" cy="184731"/>
    <xdr:sp macro="" textlink="">
      <xdr:nvSpPr>
        <xdr:cNvPr id="104" name="TextBox 103">
          <a:extLst>
            <a:ext uri="{FF2B5EF4-FFF2-40B4-BE49-F238E27FC236}">
              <a16:creationId xmlns:a16="http://schemas.microsoft.com/office/drawing/2014/main" id="{4F368DD4-4033-4ED2-812F-734F0831EBF5}"/>
            </a:ext>
          </a:extLst>
        </xdr:cNvPr>
        <xdr:cNvSpPr txBox="1"/>
      </xdr:nvSpPr>
      <xdr:spPr>
        <a:xfrm rot="16200000">
          <a:off x="23171136" y="946572"/>
          <a:ext cx="18473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000">
            <a:solidFill>
              <a:schemeClr val="bg1"/>
            </a:solidFill>
            <a:latin typeface="Arial" panose="020B0604020202020204" pitchFamily="34" charset="0"/>
            <a:cs typeface="Arial" panose="020B0604020202020204" pitchFamily="34" charset="0"/>
          </a:endParaRPr>
        </a:p>
      </xdr:txBody>
    </xdr:sp>
    <xdr:clientData/>
  </xdr:oneCellAnchor>
  <xdr:twoCellAnchor>
    <xdr:from>
      <xdr:col>20</xdr:col>
      <xdr:colOff>860200</xdr:colOff>
      <xdr:row>1</xdr:row>
      <xdr:rowOff>148051</xdr:rowOff>
    </xdr:from>
    <xdr:to>
      <xdr:col>28</xdr:col>
      <xdr:colOff>52551</xdr:colOff>
      <xdr:row>8</xdr:row>
      <xdr:rowOff>40998</xdr:rowOff>
    </xdr:to>
    <xdr:grpSp>
      <xdr:nvGrpSpPr>
        <xdr:cNvPr id="8" name="Group 7">
          <a:extLst>
            <a:ext uri="{FF2B5EF4-FFF2-40B4-BE49-F238E27FC236}">
              <a16:creationId xmlns:a16="http://schemas.microsoft.com/office/drawing/2014/main" id="{B8E4C150-15A0-45AF-A171-AD283520E0AD}"/>
            </a:ext>
          </a:extLst>
        </xdr:cNvPr>
        <xdr:cNvGrpSpPr/>
      </xdr:nvGrpSpPr>
      <xdr:grpSpPr>
        <a:xfrm>
          <a:off x="30417508" y="471117"/>
          <a:ext cx="6326912" cy="2752352"/>
          <a:chOff x="22743046" y="434922"/>
          <a:chExt cx="6319293" cy="2698900"/>
        </a:xfrm>
      </xdr:grpSpPr>
      <xdr:pic>
        <xdr:nvPicPr>
          <xdr:cNvPr id="9" name="Picture 8">
            <a:extLst>
              <a:ext uri="{FF2B5EF4-FFF2-40B4-BE49-F238E27FC236}">
                <a16:creationId xmlns:a16="http://schemas.microsoft.com/office/drawing/2014/main" id="{261208F3-B7BF-F2F3-3ACB-585E8E5B5CD0}"/>
              </a:ext>
            </a:extLst>
          </xdr:cNvPr>
          <xdr:cNvPicPr>
            <a:picLocks noChangeAspect="1"/>
          </xdr:cNvPicPr>
        </xdr:nvPicPr>
        <xdr:blipFill>
          <a:blip xmlns:r="http://schemas.openxmlformats.org/officeDocument/2006/relationships" r:embed="rId3"/>
          <a:stretch>
            <a:fillRect/>
          </a:stretch>
        </xdr:blipFill>
        <xdr:spPr>
          <a:xfrm>
            <a:off x="22743046" y="434922"/>
            <a:ext cx="6319293" cy="2698900"/>
          </a:xfrm>
          <a:prstGeom prst="rect">
            <a:avLst/>
          </a:prstGeom>
        </xdr:spPr>
      </xdr:pic>
      <xdr:grpSp>
        <xdr:nvGrpSpPr>
          <xdr:cNvPr id="10" name="Group 9">
            <a:extLst>
              <a:ext uri="{FF2B5EF4-FFF2-40B4-BE49-F238E27FC236}">
                <a16:creationId xmlns:a16="http://schemas.microsoft.com/office/drawing/2014/main" id="{74050C7B-E97D-9DA7-E4A4-A9496875932D}"/>
              </a:ext>
            </a:extLst>
          </xdr:cNvPr>
          <xdr:cNvGrpSpPr/>
        </xdr:nvGrpSpPr>
        <xdr:grpSpPr>
          <a:xfrm>
            <a:off x="22838769" y="630604"/>
            <a:ext cx="6087235" cy="2388558"/>
            <a:chOff x="22838769" y="630604"/>
            <a:chExt cx="6087235" cy="2388558"/>
          </a:xfrm>
        </xdr:grpSpPr>
        <xdr:sp macro="" textlink="">
          <xdr:nvSpPr>
            <xdr:cNvPr id="11" name="TextBox 10">
              <a:extLst>
                <a:ext uri="{FF2B5EF4-FFF2-40B4-BE49-F238E27FC236}">
                  <a16:creationId xmlns:a16="http://schemas.microsoft.com/office/drawing/2014/main" id="{AE7994DE-8978-B33E-F352-F189F7B4D6AD}"/>
                </a:ext>
              </a:extLst>
            </xdr:cNvPr>
            <xdr:cNvSpPr txBox="1"/>
          </xdr:nvSpPr>
          <xdr:spPr>
            <a:xfrm>
              <a:off x="25071922" y="2779353"/>
              <a:ext cx="1132746"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Canopy Shading</a:t>
              </a:r>
            </a:p>
          </xdr:txBody>
        </xdr:sp>
        <xdr:grpSp>
          <xdr:nvGrpSpPr>
            <xdr:cNvPr id="12" name="Group 11">
              <a:extLst>
                <a:ext uri="{FF2B5EF4-FFF2-40B4-BE49-F238E27FC236}">
                  <a16:creationId xmlns:a16="http://schemas.microsoft.com/office/drawing/2014/main" id="{8E191A0C-9A17-41F1-573E-818542D95BE2}"/>
                </a:ext>
              </a:extLst>
            </xdr:cNvPr>
            <xdr:cNvGrpSpPr/>
          </xdr:nvGrpSpPr>
          <xdr:grpSpPr>
            <a:xfrm>
              <a:off x="22838769" y="630604"/>
              <a:ext cx="6087235" cy="1998856"/>
              <a:chOff x="22453286" y="657499"/>
              <a:chExt cx="6087235" cy="1998856"/>
            </a:xfrm>
          </xdr:grpSpPr>
          <xdr:sp macro="" textlink="">
            <xdr:nvSpPr>
              <xdr:cNvPr id="13" name="TextBox 12">
                <a:extLst>
                  <a:ext uri="{FF2B5EF4-FFF2-40B4-BE49-F238E27FC236}">
                    <a16:creationId xmlns:a16="http://schemas.microsoft.com/office/drawing/2014/main" id="{C0ACDCC1-F080-1F04-1BBB-5600D1B36F7E}"/>
                  </a:ext>
                </a:extLst>
              </xdr:cNvPr>
              <xdr:cNvSpPr txBox="1"/>
            </xdr:nvSpPr>
            <xdr:spPr>
              <a:xfrm>
                <a:off x="22747895" y="2138634"/>
                <a:ext cx="612475"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Lounge</a:t>
                </a:r>
              </a:p>
            </xdr:txBody>
          </xdr:sp>
          <xdr:sp macro="" textlink="">
            <xdr:nvSpPr>
              <xdr:cNvPr id="14" name="TextBox 13">
                <a:extLst>
                  <a:ext uri="{FF2B5EF4-FFF2-40B4-BE49-F238E27FC236}">
                    <a16:creationId xmlns:a16="http://schemas.microsoft.com/office/drawing/2014/main" id="{150A71E8-0255-A826-D03A-5413F9A4BA8E}"/>
                  </a:ext>
                </a:extLst>
              </xdr:cNvPr>
              <xdr:cNvSpPr txBox="1"/>
            </xdr:nvSpPr>
            <xdr:spPr>
              <a:xfrm>
                <a:off x="25601785" y="2149995"/>
                <a:ext cx="847540"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Conference</a:t>
                </a:r>
              </a:p>
            </xdr:txBody>
          </xdr:sp>
          <xdr:sp macro="" textlink="">
            <xdr:nvSpPr>
              <xdr:cNvPr id="15" name="TextBox 14">
                <a:extLst>
                  <a:ext uri="{FF2B5EF4-FFF2-40B4-BE49-F238E27FC236}">
                    <a16:creationId xmlns:a16="http://schemas.microsoft.com/office/drawing/2014/main" id="{A96F84CD-059E-4D8C-E059-E02031576B65}"/>
                  </a:ext>
                </a:extLst>
              </xdr:cNvPr>
              <xdr:cNvSpPr txBox="1"/>
            </xdr:nvSpPr>
            <xdr:spPr>
              <a:xfrm>
                <a:off x="24803573" y="1546648"/>
                <a:ext cx="647741"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Corridor</a:t>
                </a:r>
              </a:p>
            </xdr:txBody>
          </xdr:sp>
          <xdr:sp macro="" textlink="">
            <xdr:nvSpPr>
              <xdr:cNvPr id="16" name="TextBox 15">
                <a:extLst>
                  <a:ext uri="{FF2B5EF4-FFF2-40B4-BE49-F238E27FC236}">
                    <a16:creationId xmlns:a16="http://schemas.microsoft.com/office/drawing/2014/main" id="{0279D2F9-5812-A64E-75D2-136974483D73}"/>
                  </a:ext>
                </a:extLst>
              </xdr:cNvPr>
              <xdr:cNvSpPr txBox="1"/>
            </xdr:nvSpPr>
            <xdr:spPr>
              <a:xfrm rot="16200000">
                <a:off x="24520841" y="2114984"/>
                <a:ext cx="74045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Restroom</a:t>
                </a:r>
              </a:p>
            </xdr:txBody>
          </xdr:sp>
          <xdr:sp macro="" textlink="">
            <xdr:nvSpPr>
              <xdr:cNvPr id="17" name="TextBox 16">
                <a:extLst>
                  <a:ext uri="{FF2B5EF4-FFF2-40B4-BE49-F238E27FC236}">
                    <a16:creationId xmlns:a16="http://schemas.microsoft.com/office/drawing/2014/main" id="{EF8E5AF8-152C-C1FA-F774-9F5309F0D449}"/>
                  </a:ext>
                </a:extLst>
              </xdr:cNvPr>
              <xdr:cNvSpPr txBox="1"/>
            </xdr:nvSpPr>
            <xdr:spPr>
              <a:xfrm rot="16200000">
                <a:off x="26309970" y="2078921"/>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effectLst/>
                    <a:latin typeface="+mn-lt"/>
                    <a:ea typeface="+mn-ea"/>
                    <a:cs typeface="+mn-cs"/>
                  </a:rPr>
                  <a:t>Guest Room</a:t>
                </a:r>
                <a:endParaRPr lang="en-US" sz="1000">
                  <a:solidFill>
                    <a:schemeClr val="bg1"/>
                  </a:solidFill>
                  <a:effectLst/>
                </a:endParaRPr>
              </a:p>
            </xdr:txBody>
          </xdr:sp>
          <xdr:sp macro="" textlink="">
            <xdr:nvSpPr>
              <xdr:cNvPr id="18" name="TextBox 17">
                <a:extLst>
                  <a:ext uri="{FF2B5EF4-FFF2-40B4-BE49-F238E27FC236}">
                    <a16:creationId xmlns:a16="http://schemas.microsoft.com/office/drawing/2014/main" id="{85C44D5A-80E7-97FA-3909-DA77930F1495}"/>
                  </a:ext>
                </a:extLst>
              </xdr:cNvPr>
              <xdr:cNvSpPr txBox="1"/>
            </xdr:nvSpPr>
            <xdr:spPr>
              <a:xfrm rot="16200000">
                <a:off x="26751003" y="2069956"/>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ysClr val="windowText" lastClr="000000"/>
                    </a:solidFill>
                    <a:effectLst/>
                    <a:latin typeface="+mn-lt"/>
                    <a:ea typeface="+mn-ea"/>
                    <a:cs typeface="+mn-cs"/>
                  </a:rPr>
                  <a:t>Guest Room</a:t>
                </a:r>
                <a:endParaRPr lang="en-US" sz="1000">
                  <a:solidFill>
                    <a:sysClr val="windowText" lastClr="000000"/>
                  </a:solidFill>
                  <a:effectLst/>
                </a:endParaRPr>
              </a:p>
            </xdr:txBody>
          </xdr:sp>
          <xdr:sp macro="" textlink="">
            <xdr:nvSpPr>
              <xdr:cNvPr id="19" name="TextBox 18">
                <a:extLst>
                  <a:ext uri="{FF2B5EF4-FFF2-40B4-BE49-F238E27FC236}">
                    <a16:creationId xmlns:a16="http://schemas.microsoft.com/office/drawing/2014/main" id="{7AE0962B-5CDF-712A-138E-7CB45EAA0DCD}"/>
                  </a:ext>
                </a:extLst>
              </xdr:cNvPr>
              <xdr:cNvSpPr txBox="1"/>
            </xdr:nvSpPr>
            <xdr:spPr>
              <a:xfrm rot="16200000">
                <a:off x="27110183" y="2078921"/>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20" name="TextBox 19">
                <a:extLst>
                  <a:ext uri="{FF2B5EF4-FFF2-40B4-BE49-F238E27FC236}">
                    <a16:creationId xmlns:a16="http://schemas.microsoft.com/office/drawing/2014/main" id="{04295D41-C4CD-2AD8-FDF7-DB07389E6B22}"/>
                  </a:ext>
                </a:extLst>
              </xdr:cNvPr>
              <xdr:cNvSpPr txBox="1"/>
            </xdr:nvSpPr>
            <xdr:spPr>
              <a:xfrm rot="16200000">
                <a:off x="27634148" y="2060992"/>
                <a:ext cx="8903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Guest Room</a:t>
                </a:r>
                <a:endParaRPr lang="en-US" sz="1000">
                  <a:effectLst/>
                </a:endParaRPr>
              </a:p>
            </xdr:txBody>
          </xdr:sp>
          <xdr:sp macro="" textlink="">
            <xdr:nvSpPr>
              <xdr:cNvPr id="21" name="TextBox 20">
                <a:extLst>
                  <a:ext uri="{FF2B5EF4-FFF2-40B4-BE49-F238E27FC236}">
                    <a16:creationId xmlns:a16="http://schemas.microsoft.com/office/drawing/2014/main" id="{65C25F92-EF4E-C557-AA30-6EA3521611DA}"/>
                  </a:ext>
                </a:extLst>
              </xdr:cNvPr>
              <xdr:cNvSpPr txBox="1"/>
            </xdr:nvSpPr>
            <xdr:spPr>
              <a:xfrm rot="16200000">
                <a:off x="28095976" y="2071920"/>
                <a:ext cx="62453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1"/>
                    </a:solidFill>
                    <a:effectLst/>
                    <a:latin typeface="+mn-lt"/>
                    <a:ea typeface="+mn-ea"/>
                    <a:cs typeface="+mn-cs"/>
                  </a:rPr>
                  <a:t>Storage</a:t>
                </a:r>
                <a:endParaRPr lang="en-US" sz="1000">
                  <a:effectLst/>
                </a:endParaRPr>
              </a:p>
            </xdr:txBody>
          </xdr:sp>
          <xdr:sp macro="" textlink="">
            <xdr:nvSpPr>
              <xdr:cNvPr id="22" name="TextBox 21">
                <a:extLst>
                  <a:ext uri="{FF2B5EF4-FFF2-40B4-BE49-F238E27FC236}">
                    <a16:creationId xmlns:a16="http://schemas.microsoft.com/office/drawing/2014/main" id="{099DACB4-ABFE-11D7-33F1-69A654DE2B08}"/>
                  </a:ext>
                </a:extLst>
              </xdr:cNvPr>
              <xdr:cNvSpPr txBox="1"/>
            </xdr:nvSpPr>
            <xdr:spPr>
              <a:xfrm rot="16200000">
                <a:off x="27597713" y="989833"/>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23" name="TextBox 22">
                <a:extLst>
                  <a:ext uri="{FF2B5EF4-FFF2-40B4-BE49-F238E27FC236}">
                    <a16:creationId xmlns:a16="http://schemas.microsoft.com/office/drawing/2014/main" id="{70CD6E85-B63A-239B-6437-A6E4B39BFD83}"/>
                  </a:ext>
                </a:extLst>
              </xdr:cNvPr>
              <xdr:cNvSpPr txBox="1"/>
            </xdr:nvSpPr>
            <xdr:spPr>
              <a:xfrm rot="16200000">
                <a:off x="27143203" y="1024514"/>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Guest Room</a:t>
                </a:r>
              </a:p>
            </xdr:txBody>
          </xdr:sp>
          <xdr:sp macro="" textlink="">
            <xdr:nvSpPr>
              <xdr:cNvPr id="24" name="TextBox 23">
                <a:extLst>
                  <a:ext uri="{FF2B5EF4-FFF2-40B4-BE49-F238E27FC236}">
                    <a16:creationId xmlns:a16="http://schemas.microsoft.com/office/drawing/2014/main" id="{4AE054F1-95D6-1044-527C-9E6E67170669}"/>
                  </a:ext>
                </a:extLst>
              </xdr:cNvPr>
              <xdr:cNvSpPr txBox="1"/>
            </xdr:nvSpPr>
            <xdr:spPr>
              <a:xfrm rot="16200000">
                <a:off x="26713747" y="996440"/>
                <a:ext cx="90447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solidFill>
                      <a:schemeClr val="bg1"/>
                    </a:solidFill>
                    <a:latin typeface="Arial" panose="020B0604020202020204" pitchFamily="34" charset="0"/>
                    <a:cs typeface="Arial" panose="020B0604020202020204" pitchFamily="34" charset="0"/>
                  </a:rPr>
                  <a:t>Guest Room</a:t>
                </a:r>
              </a:p>
            </xdr:txBody>
          </xdr:sp>
          <xdr:sp macro="" textlink="">
            <xdr:nvSpPr>
              <xdr:cNvPr id="25" name="TextBox 24">
                <a:extLst>
                  <a:ext uri="{FF2B5EF4-FFF2-40B4-BE49-F238E27FC236}">
                    <a16:creationId xmlns:a16="http://schemas.microsoft.com/office/drawing/2014/main" id="{BD4860CE-6C78-B0A0-B26B-E8D6C6952FE7}"/>
                  </a:ext>
                </a:extLst>
              </xdr:cNvPr>
              <xdr:cNvSpPr txBox="1"/>
            </xdr:nvSpPr>
            <xdr:spPr>
              <a:xfrm>
                <a:off x="25828050" y="995625"/>
                <a:ext cx="64799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Laundry</a:t>
                </a:r>
              </a:p>
            </xdr:txBody>
          </xdr:sp>
          <xdr:sp macro="" textlink="">
            <xdr:nvSpPr>
              <xdr:cNvPr id="38" name="TextBox 37">
                <a:extLst>
                  <a:ext uri="{FF2B5EF4-FFF2-40B4-BE49-F238E27FC236}">
                    <a16:creationId xmlns:a16="http://schemas.microsoft.com/office/drawing/2014/main" id="{D14C1F15-8A10-311A-6F52-53253655F602}"/>
                  </a:ext>
                </a:extLst>
              </xdr:cNvPr>
              <xdr:cNvSpPr txBox="1"/>
            </xdr:nvSpPr>
            <xdr:spPr>
              <a:xfrm rot="16200000">
                <a:off x="24506043" y="1039572"/>
                <a:ext cx="67633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Exercise</a:t>
                </a:r>
              </a:p>
            </xdr:txBody>
          </xdr:sp>
          <xdr:sp macro="" textlink="">
            <xdr:nvSpPr>
              <xdr:cNvPr id="43" name="TextBox 42">
                <a:extLst>
                  <a:ext uri="{FF2B5EF4-FFF2-40B4-BE49-F238E27FC236}">
                    <a16:creationId xmlns:a16="http://schemas.microsoft.com/office/drawing/2014/main" id="{EAAD8AB1-B083-9C30-9013-7327230DD9ED}"/>
                  </a:ext>
                </a:extLst>
              </xdr:cNvPr>
              <xdr:cNvSpPr txBox="1"/>
            </xdr:nvSpPr>
            <xdr:spPr>
              <a:xfrm>
                <a:off x="23838450" y="1015808"/>
                <a:ext cx="519629"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Office</a:t>
                </a:r>
              </a:p>
            </xdr:txBody>
          </xdr:sp>
          <xdr:sp macro="" textlink="">
            <xdr:nvSpPr>
              <xdr:cNvPr id="54" name="TextBox 53">
                <a:extLst>
                  <a:ext uri="{FF2B5EF4-FFF2-40B4-BE49-F238E27FC236}">
                    <a16:creationId xmlns:a16="http://schemas.microsoft.com/office/drawing/2014/main" id="{FDC4E5CB-C4FC-F3EC-4020-5A1A03F8BC37}"/>
                  </a:ext>
                  <a:ext uri="{147F2762-F138-4A5C-976F-8EAC2B608ADB}">
                    <a16:predDERef xmlns:a16="http://schemas.microsoft.com/office/drawing/2014/main" pred="{A23A6311-FE6B-444E-91F1-9C258BE23213}"/>
                  </a:ext>
                </a:extLst>
              </xdr:cNvPr>
              <xdr:cNvSpPr txBox="1"/>
            </xdr:nvSpPr>
            <xdr:spPr>
              <a:xfrm rot="16200000">
                <a:off x="22316967" y="1038010"/>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61" name="TextBox 60">
                <a:extLst>
                  <a:ext uri="{FF2B5EF4-FFF2-40B4-BE49-F238E27FC236}">
                    <a16:creationId xmlns:a16="http://schemas.microsoft.com/office/drawing/2014/main" id="{E555F8CD-2EEB-EC13-EED0-C6AA438D2AD8}"/>
                  </a:ext>
                  <a:ext uri="{147F2762-F138-4A5C-976F-8EAC2B608ADB}">
                    <a16:predDERef xmlns:a16="http://schemas.microsoft.com/office/drawing/2014/main" pred="{6563BAAE-7D56-4447-9AE7-B59161B555FF}"/>
                  </a:ext>
                </a:extLst>
              </xdr:cNvPr>
              <xdr:cNvSpPr txBox="1"/>
            </xdr:nvSpPr>
            <xdr:spPr>
              <a:xfrm rot="16200000">
                <a:off x="22501160" y="1028434"/>
                <a:ext cx="633763"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US" sz="1000">
                    <a:solidFill>
                      <a:schemeClr val="tx1"/>
                    </a:solidFill>
                    <a:latin typeface="Arial" panose="020B0604020202020204" pitchFamily="34" charset="0"/>
                    <a:cs typeface="Arial" panose="020B0604020202020204" pitchFamily="34" charset="0"/>
                  </a:rPr>
                  <a:t>Storage</a:t>
                </a:r>
              </a:p>
            </xdr:txBody>
          </xdr:sp>
          <xdr:sp macro="" textlink="">
            <xdr:nvSpPr>
              <xdr:cNvPr id="66" name="TextBox 65">
                <a:extLst>
                  <a:ext uri="{FF2B5EF4-FFF2-40B4-BE49-F238E27FC236}">
                    <a16:creationId xmlns:a16="http://schemas.microsoft.com/office/drawing/2014/main" id="{072E56F5-08A5-30E4-8AF3-2EA703BC3BE3}"/>
                  </a:ext>
                </a:extLst>
              </xdr:cNvPr>
              <xdr:cNvSpPr txBox="1"/>
            </xdr:nvSpPr>
            <xdr:spPr>
              <a:xfrm rot="16200000">
                <a:off x="28163255" y="1013562"/>
                <a:ext cx="512448" cy="239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latin typeface="Arial" panose="020B0604020202020204" pitchFamily="34" charset="0"/>
                    <a:cs typeface="Arial" panose="020B0604020202020204" pitchFamily="34" charset="0"/>
                  </a:rPr>
                  <a:t>Stairs</a:t>
                </a:r>
              </a:p>
            </xdr:txBody>
          </xdr:sp>
          <xdr:sp macro="" textlink="">
            <xdr:nvSpPr>
              <xdr:cNvPr id="67" name="TextBox 66">
                <a:extLst>
                  <a:ext uri="{FF2B5EF4-FFF2-40B4-BE49-F238E27FC236}">
                    <a16:creationId xmlns:a16="http://schemas.microsoft.com/office/drawing/2014/main" id="{5469A903-FC92-389F-60B2-FB8AE7336416}"/>
                  </a:ext>
                </a:extLst>
              </xdr:cNvPr>
              <xdr:cNvSpPr txBox="1"/>
            </xdr:nvSpPr>
            <xdr:spPr>
              <a:xfrm rot="16200000">
                <a:off x="22687594" y="951745"/>
                <a:ext cx="84292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solidFill>
                    <a:effectLst/>
                    <a:latin typeface="+mn-lt"/>
                    <a:ea typeface="+mn-ea"/>
                    <a:cs typeface="+mn-cs"/>
                  </a:rPr>
                  <a:t>Mechanical</a:t>
                </a:r>
                <a:endParaRPr lang="en-US" sz="1000">
                  <a:solidFill>
                    <a:schemeClr val="bg1"/>
                  </a:solidFill>
                  <a:effectLst/>
                </a:endParaRPr>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xdr:from>
      <xdr:col>33</xdr:col>
      <xdr:colOff>174251</xdr:colOff>
      <xdr:row>69</xdr:row>
      <xdr:rowOff>0</xdr:rowOff>
    </xdr:from>
    <xdr:to>
      <xdr:col>40</xdr:col>
      <xdr:colOff>323773</xdr:colOff>
      <xdr:row>70</xdr:row>
      <xdr:rowOff>76201</xdr:rowOff>
    </xdr:to>
    <xdr:pic>
      <xdr:nvPicPr>
        <xdr:cNvPr id="4" name="Picture 3">
          <a:extLst>
            <a:ext uri="{FF2B5EF4-FFF2-40B4-BE49-F238E27FC236}">
              <a16:creationId xmlns:a16="http://schemas.microsoft.com/office/drawing/2014/main" id="{CC82CD71-C910-6E74-12B9-703044DE53BD}"/>
            </a:ext>
          </a:extLst>
        </xdr:cNvPr>
        <xdr:cNvPicPr>
          <a:picLocks noChangeAspect="1"/>
        </xdr:cNvPicPr>
      </xdr:nvPicPr>
      <xdr:blipFill>
        <a:blip xmlns:r="http://schemas.openxmlformats.org/officeDocument/2006/relationships" r:embed="rId1"/>
        <a:stretch>
          <a:fillRect/>
        </a:stretch>
      </xdr:blipFill>
      <xdr:spPr>
        <a:xfrm>
          <a:off x="29015951" y="16649701"/>
          <a:ext cx="7159922" cy="7772400"/>
        </a:xfrm>
        <a:prstGeom prst="rect">
          <a:avLst/>
        </a:prstGeom>
      </xdr:spPr>
    </xdr:pic>
    <xdr:clientData/>
  </xdr:twoCellAnchor>
  <xdr:twoCellAnchor>
    <xdr:from>
      <xdr:col>41</xdr:col>
      <xdr:colOff>251208</xdr:colOff>
      <xdr:row>69</xdr:row>
      <xdr:rowOff>0</xdr:rowOff>
    </xdr:from>
    <xdr:to>
      <xdr:col>49</xdr:col>
      <xdr:colOff>207616</xdr:colOff>
      <xdr:row>70</xdr:row>
      <xdr:rowOff>63427</xdr:rowOff>
    </xdr:to>
    <xdr:pic>
      <xdr:nvPicPr>
        <xdr:cNvPr id="5" name="Picture 4">
          <a:extLst>
            <a:ext uri="{FF2B5EF4-FFF2-40B4-BE49-F238E27FC236}">
              <a16:creationId xmlns:a16="http://schemas.microsoft.com/office/drawing/2014/main" id="{037CB021-DC78-6CBC-22EB-6ADB38E3B956}"/>
            </a:ext>
          </a:extLst>
        </xdr:cNvPr>
        <xdr:cNvPicPr>
          <a:picLocks noChangeAspect="1"/>
        </xdr:cNvPicPr>
      </xdr:nvPicPr>
      <xdr:blipFill>
        <a:blip xmlns:r="http://schemas.openxmlformats.org/officeDocument/2006/relationships" r:embed="rId2"/>
        <a:stretch>
          <a:fillRect/>
        </a:stretch>
      </xdr:blipFill>
      <xdr:spPr>
        <a:xfrm>
          <a:off x="37170108" y="15707735"/>
          <a:ext cx="6471508" cy="870159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1160640</xdr:colOff>
      <xdr:row>131</xdr:row>
      <xdr:rowOff>120510</xdr:rowOff>
    </xdr:from>
    <xdr:to>
      <xdr:col>7</xdr:col>
      <xdr:colOff>682485</xdr:colOff>
      <xdr:row>147</xdr:row>
      <xdr:rowOff>120048</xdr:rowOff>
    </xdr:to>
    <xdr:pic>
      <xdr:nvPicPr>
        <xdr:cNvPr id="5" name="Picture 4">
          <a:extLst>
            <a:ext uri="{FF2B5EF4-FFF2-40B4-BE49-F238E27FC236}">
              <a16:creationId xmlns:a16="http://schemas.microsoft.com/office/drawing/2014/main" id="{45BA7E0A-6EDA-47A8-B3E3-052AB0B0138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075665" y="24018735"/>
          <a:ext cx="7122795" cy="2590338"/>
        </a:xfrm>
        <a:prstGeom prst="rect">
          <a:avLst/>
        </a:prstGeom>
      </xdr:spPr>
    </xdr:pic>
    <xdr:clientData/>
  </xdr:twoCellAnchor>
  <xdr:twoCellAnchor>
    <xdr:from>
      <xdr:col>0</xdr:col>
      <xdr:colOff>0</xdr:colOff>
      <xdr:row>131</xdr:row>
      <xdr:rowOff>0</xdr:rowOff>
    </xdr:from>
    <xdr:to>
      <xdr:col>3</xdr:col>
      <xdr:colOff>747230</xdr:colOff>
      <xdr:row>169</xdr:row>
      <xdr:rowOff>65283</xdr:rowOff>
    </xdr:to>
    <xdr:pic>
      <xdr:nvPicPr>
        <xdr:cNvPr id="6" name="Picture 5">
          <a:extLst>
            <a:ext uri="{FF2B5EF4-FFF2-40B4-BE49-F238E27FC236}">
              <a16:creationId xmlns:a16="http://schemas.microsoft.com/office/drawing/2014/main" id="{179AEAC9-7889-4284-BC1C-655C9347C7E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23898225"/>
          <a:ext cx="6662255" cy="6218433"/>
        </a:xfrm>
        <a:prstGeom prst="rect">
          <a:avLst/>
        </a:prstGeom>
      </xdr:spPr>
    </xdr:pic>
    <xdr:clientData/>
  </xdr:twoCellAnchor>
  <xdr:twoCellAnchor>
    <xdr:from>
      <xdr:col>3</xdr:col>
      <xdr:colOff>1149210</xdr:colOff>
      <xdr:row>148</xdr:row>
      <xdr:rowOff>110985</xdr:rowOff>
    </xdr:from>
    <xdr:to>
      <xdr:col>7</xdr:col>
      <xdr:colOff>393880</xdr:colOff>
      <xdr:row>174</xdr:row>
      <xdr:rowOff>75343</xdr:rowOff>
    </xdr:to>
    <xdr:pic>
      <xdr:nvPicPr>
        <xdr:cNvPr id="7" name="Picture 6">
          <a:extLst>
            <a:ext uri="{FF2B5EF4-FFF2-40B4-BE49-F238E27FC236}">
              <a16:creationId xmlns:a16="http://schemas.microsoft.com/office/drawing/2014/main" id="{47AB55D1-3861-4F4C-AA42-D0A43B1E091A}"/>
            </a:ext>
          </a:extLst>
        </xdr:cNvPr>
        <xdr:cNvPicPr>
          <a:picLocks noChangeAspect="1"/>
        </xdr:cNvPicPr>
      </xdr:nvPicPr>
      <xdr:blipFill>
        <a:blip xmlns:r="http://schemas.openxmlformats.org/officeDocument/2006/relationships" r:embed="rId3"/>
        <a:stretch>
          <a:fillRect/>
        </a:stretch>
      </xdr:blipFill>
      <xdr:spPr>
        <a:xfrm>
          <a:off x="7064235" y="26761935"/>
          <a:ext cx="6845620" cy="417440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38100</xdr:colOff>
      <xdr:row>105</xdr:row>
      <xdr:rowOff>0</xdr:rowOff>
    </xdr:from>
    <xdr:to>
      <xdr:col>15</xdr:col>
      <xdr:colOff>249554</xdr:colOff>
      <xdr:row>117</xdr:row>
      <xdr:rowOff>95250</xdr:rowOff>
    </xdr:to>
    <xdr:graphicFrame macro="">
      <xdr:nvGraphicFramePr>
        <xdr:cNvPr id="32" name="Chart 4">
          <a:extLst>
            <a:ext uri="{FF2B5EF4-FFF2-40B4-BE49-F238E27FC236}">
              <a16:creationId xmlns:a16="http://schemas.microsoft.com/office/drawing/2014/main" id="{F391909B-C2C0-967D-F8A9-8B71DE849C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138883</xdr:colOff>
      <xdr:row>105</xdr:row>
      <xdr:rowOff>47625</xdr:rowOff>
    </xdr:from>
    <xdr:to>
      <xdr:col>3</xdr:col>
      <xdr:colOff>1152525</xdr:colOff>
      <xdr:row>117</xdr:row>
      <xdr:rowOff>66674</xdr:rowOff>
    </xdr:to>
    <xdr:graphicFrame macro="">
      <xdr:nvGraphicFramePr>
        <xdr:cNvPr id="33" name="Chart 5">
          <a:extLst>
            <a:ext uri="{FF2B5EF4-FFF2-40B4-BE49-F238E27FC236}">
              <a16:creationId xmlns:a16="http://schemas.microsoft.com/office/drawing/2014/main" id="{CEFE1435-937F-461A-B4D1-F4FB67BE1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1040130</xdr:colOff>
      <xdr:row>104</xdr:row>
      <xdr:rowOff>121920</xdr:rowOff>
    </xdr:from>
    <xdr:to>
      <xdr:col>9</xdr:col>
      <xdr:colOff>0</xdr:colOff>
      <xdr:row>117</xdr:row>
      <xdr:rowOff>66675</xdr:rowOff>
    </xdr:to>
    <xdr:graphicFrame macro="">
      <xdr:nvGraphicFramePr>
        <xdr:cNvPr id="29" name="Chart 6">
          <a:extLst>
            <a:ext uri="{FF2B5EF4-FFF2-40B4-BE49-F238E27FC236}">
              <a16:creationId xmlns:a16="http://schemas.microsoft.com/office/drawing/2014/main" id="{18D3FECB-99F3-4E11-B893-46EC0117A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29</xdr:col>
      <xdr:colOff>64225</xdr:colOff>
      <xdr:row>2</xdr:row>
      <xdr:rowOff>289559</xdr:rowOff>
    </xdr:from>
    <xdr:to>
      <xdr:col>35</xdr:col>
      <xdr:colOff>402499</xdr:colOff>
      <xdr:row>5</xdr:row>
      <xdr:rowOff>391584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66131</xdr:colOff>
      <xdr:row>5</xdr:row>
      <xdr:rowOff>418072</xdr:rowOff>
    </xdr:from>
    <xdr:to>
      <xdr:col>35</xdr:col>
      <xdr:colOff>406310</xdr:colOff>
      <xdr:row>8</xdr:row>
      <xdr:rowOff>382814</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60235</xdr:colOff>
      <xdr:row>8</xdr:row>
      <xdr:rowOff>455869</xdr:rowOff>
    </xdr:from>
    <xdr:to>
      <xdr:col>35</xdr:col>
      <xdr:colOff>385174</xdr:colOff>
      <xdr:row>11</xdr:row>
      <xdr:rowOff>426750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77833</xdr:colOff>
      <xdr:row>12</xdr:row>
      <xdr:rowOff>3811</xdr:rowOff>
    </xdr:from>
    <xdr:to>
      <xdr:col>35</xdr:col>
      <xdr:colOff>418012</xdr:colOff>
      <xdr:row>14</xdr:row>
      <xdr:rowOff>338274</xdr:rowOff>
    </xdr:to>
    <xdr:graphicFrame macro="">
      <xdr:nvGraphicFramePr>
        <xdr:cNvPr id="20" name="Chart 5">
          <a:extLst>
            <a:ext uri="{FF2B5EF4-FFF2-40B4-BE49-F238E27FC236}">
              <a16:creationId xmlns:a16="http://schemas.microsoft.com/office/drawing/2014/main" id="{A67B757E-11F2-4D63-8049-87A030D08F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77832</xdr:colOff>
      <xdr:row>15</xdr:row>
      <xdr:rowOff>16298</xdr:rowOff>
    </xdr:from>
    <xdr:to>
      <xdr:col>35</xdr:col>
      <xdr:colOff>421821</xdr:colOff>
      <xdr:row>17</xdr:row>
      <xdr:rowOff>338668</xdr:rowOff>
    </xdr:to>
    <xdr:graphicFrame macro="">
      <xdr:nvGraphicFramePr>
        <xdr:cNvPr id="21" name="Chart 5">
          <a:extLst>
            <a:ext uri="{FF2B5EF4-FFF2-40B4-BE49-F238E27FC236}">
              <a16:creationId xmlns:a16="http://schemas.microsoft.com/office/drawing/2014/main" id="{2E6CA2C7-E4AB-4DC1-A50A-FEBB0B9CA81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34</xdr:col>
      <xdr:colOff>616161</xdr:colOff>
      <xdr:row>31</xdr:row>
      <xdr:rowOff>0</xdr:rowOff>
    </xdr:from>
    <xdr:to>
      <xdr:col>41</xdr:col>
      <xdr:colOff>104805</xdr:colOff>
      <xdr:row>33</xdr:row>
      <xdr:rowOff>402167</xdr:rowOff>
    </xdr:to>
    <xdr:graphicFrame macro="">
      <xdr:nvGraphicFramePr>
        <xdr:cNvPr id="2" name="Chart 5">
          <a:extLst>
            <a:ext uri="{FF2B5EF4-FFF2-40B4-BE49-F238E27FC236}">
              <a16:creationId xmlns:a16="http://schemas.microsoft.com/office/drawing/2014/main" id="{135429D2-DBC5-4EE1-8FFF-584151E482C5}"/>
            </a:ext>
            <a:ext uri="{147F2762-F138-4A5C-976F-8EAC2B608ADB}">
              <a16:predDERef xmlns:a16="http://schemas.microsoft.com/office/drawing/2014/main" pred="{5A999577-F135-454E-AC54-3B86805F4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68096</xdr:colOff>
      <xdr:row>17</xdr:row>
      <xdr:rowOff>398357</xdr:rowOff>
    </xdr:from>
    <xdr:to>
      <xdr:col>35</xdr:col>
      <xdr:colOff>413990</xdr:colOff>
      <xdr:row>18</xdr:row>
      <xdr:rowOff>0</xdr:rowOff>
    </xdr:to>
    <xdr:graphicFrame macro="">
      <xdr:nvGraphicFramePr>
        <xdr:cNvPr id="4" name="Chart 5">
          <a:extLst>
            <a:ext uri="{FF2B5EF4-FFF2-40B4-BE49-F238E27FC236}">
              <a16:creationId xmlns:a16="http://schemas.microsoft.com/office/drawing/2014/main" id="{CA608758-722F-4D99-AE17-F872DF444EC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61323</xdr:colOff>
      <xdr:row>18</xdr:row>
      <xdr:rowOff>1905</xdr:rowOff>
    </xdr:from>
    <xdr:to>
      <xdr:col>35</xdr:col>
      <xdr:colOff>409122</xdr:colOff>
      <xdr:row>20</xdr:row>
      <xdr:rowOff>399234</xdr:rowOff>
    </xdr:to>
    <xdr:graphicFrame macro="">
      <xdr:nvGraphicFramePr>
        <xdr:cNvPr id="5" name="Chart 5">
          <a:extLst>
            <a:ext uri="{FF2B5EF4-FFF2-40B4-BE49-F238E27FC236}">
              <a16:creationId xmlns:a16="http://schemas.microsoft.com/office/drawing/2014/main" id="{B67A05AB-E453-44F9-A1DA-7E8C12BED45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59690</xdr:colOff>
      <xdr:row>20</xdr:row>
      <xdr:rowOff>435428</xdr:rowOff>
    </xdr:from>
    <xdr:to>
      <xdr:col>35</xdr:col>
      <xdr:colOff>401774</xdr:colOff>
      <xdr:row>24</xdr:row>
      <xdr:rowOff>0</xdr:rowOff>
    </xdr:to>
    <xdr:graphicFrame macro="">
      <xdr:nvGraphicFramePr>
        <xdr:cNvPr id="7" name="Chart 5">
          <a:extLst>
            <a:ext uri="{FF2B5EF4-FFF2-40B4-BE49-F238E27FC236}">
              <a16:creationId xmlns:a16="http://schemas.microsoft.com/office/drawing/2014/main" id="{6688C318-B6EF-427E-B050-AF936C3CD14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103929</xdr:colOff>
      <xdr:row>34</xdr:row>
      <xdr:rowOff>29845</xdr:rowOff>
    </xdr:from>
    <xdr:to>
      <xdr:col>35</xdr:col>
      <xdr:colOff>449823</xdr:colOff>
      <xdr:row>36</xdr:row>
      <xdr:rowOff>370417</xdr:rowOff>
    </xdr:to>
    <xdr:graphicFrame macro="">
      <xdr:nvGraphicFramePr>
        <xdr:cNvPr id="6" name="Chart 5">
          <a:extLst>
            <a:ext uri="{FF2B5EF4-FFF2-40B4-BE49-F238E27FC236}">
              <a16:creationId xmlns:a16="http://schemas.microsoft.com/office/drawing/2014/main" id="{84490D67-DB92-4400-90C1-C55AF0ACCE6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116416</xdr:colOff>
      <xdr:row>37</xdr:row>
      <xdr:rowOff>42333</xdr:rowOff>
    </xdr:from>
    <xdr:to>
      <xdr:col>35</xdr:col>
      <xdr:colOff>462310</xdr:colOff>
      <xdr:row>39</xdr:row>
      <xdr:rowOff>382905</xdr:rowOff>
    </xdr:to>
    <xdr:graphicFrame macro="">
      <xdr:nvGraphicFramePr>
        <xdr:cNvPr id="8" name="Chart 7">
          <a:extLst>
            <a:ext uri="{FF2B5EF4-FFF2-40B4-BE49-F238E27FC236}">
              <a16:creationId xmlns:a16="http://schemas.microsoft.com/office/drawing/2014/main" id="{5BE89EA6-6AF4-4938-8D4B-A1590FEBCA5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95250</xdr:colOff>
      <xdr:row>40</xdr:row>
      <xdr:rowOff>31750</xdr:rowOff>
    </xdr:from>
    <xdr:to>
      <xdr:col>35</xdr:col>
      <xdr:colOff>444954</xdr:colOff>
      <xdr:row>42</xdr:row>
      <xdr:rowOff>368512</xdr:rowOff>
    </xdr:to>
    <xdr:graphicFrame macro="">
      <xdr:nvGraphicFramePr>
        <xdr:cNvPr id="10" name="Chart 9">
          <a:extLst>
            <a:ext uri="{FF2B5EF4-FFF2-40B4-BE49-F238E27FC236}">
              <a16:creationId xmlns:a16="http://schemas.microsoft.com/office/drawing/2014/main" id="{8E8127D1-97C8-40F3-B94E-B4CC492E1D0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116417</xdr:colOff>
      <xdr:row>43</xdr:row>
      <xdr:rowOff>52917</xdr:rowOff>
    </xdr:from>
    <xdr:to>
      <xdr:col>35</xdr:col>
      <xdr:colOff>469931</xdr:colOff>
      <xdr:row>45</xdr:row>
      <xdr:rowOff>382059</xdr:rowOff>
    </xdr:to>
    <xdr:graphicFrame macro="">
      <xdr:nvGraphicFramePr>
        <xdr:cNvPr id="11" name="Chart 10">
          <a:extLst>
            <a:ext uri="{FF2B5EF4-FFF2-40B4-BE49-F238E27FC236}">
              <a16:creationId xmlns:a16="http://schemas.microsoft.com/office/drawing/2014/main" id="{885291F4-DA6D-434E-B3D8-8CC78FF7BFC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63500</xdr:colOff>
      <xdr:row>55</xdr:row>
      <xdr:rowOff>423332</xdr:rowOff>
    </xdr:from>
    <xdr:to>
      <xdr:col>35</xdr:col>
      <xdr:colOff>409394</xdr:colOff>
      <xdr:row>58</xdr:row>
      <xdr:rowOff>423997</xdr:rowOff>
    </xdr:to>
    <xdr:graphicFrame macro="">
      <xdr:nvGraphicFramePr>
        <xdr:cNvPr id="14" name="Chart 5">
          <a:extLst>
            <a:ext uri="{FF2B5EF4-FFF2-40B4-BE49-F238E27FC236}">
              <a16:creationId xmlns:a16="http://schemas.microsoft.com/office/drawing/2014/main" id="{65E95632-EBE9-4B6C-8E98-2240108F85F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63500</xdr:colOff>
      <xdr:row>59</xdr:row>
      <xdr:rowOff>21167</xdr:rowOff>
    </xdr:from>
    <xdr:to>
      <xdr:col>35</xdr:col>
      <xdr:colOff>413204</xdr:colOff>
      <xdr:row>62</xdr:row>
      <xdr:rowOff>21832</xdr:rowOff>
    </xdr:to>
    <xdr:graphicFrame macro="">
      <xdr:nvGraphicFramePr>
        <xdr:cNvPr id="24" name="Chart 5">
          <a:extLst>
            <a:ext uri="{FF2B5EF4-FFF2-40B4-BE49-F238E27FC236}">
              <a16:creationId xmlns:a16="http://schemas.microsoft.com/office/drawing/2014/main" id="{B0724AB7-25B1-4C22-97BC-9E72F119CE3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56727</xdr:colOff>
      <xdr:row>62</xdr:row>
      <xdr:rowOff>29845</xdr:rowOff>
    </xdr:from>
    <xdr:to>
      <xdr:col>35</xdr:col>
      <xdr:colOff>402621</xdr:colOff>
      <xdr:row>64</xdr:row>
      <xdr:rowOff>381000</xdr:rowOff>
    </xdr:to>
    <xdr:graphicFrame macro="">
      <xdr:nvGraphicFramePr>
        <xdr:cNvPr id="25" name="Chart 5">
          <a:extLst>
            <a:ext uri="{FF2B5EF4-FFF2-40B4-BE49-F238E27FC236}">
              <a16:creationId xmlns:a16="http://schemas.microsoft.com/office/drawing/2014/main" id="{267D250F-8BB1-4EBE-B3C6-1EC42CD77BC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68036</xdr:colOff>
      <xdr:row>65</xdr:row>
      <xdr:rowOff>27214</xdr:rowOff>
    </xdr:from>
    <xdr:to>
      <xdr:col>35</xdr:col>
      <xdr:colOff>419645</xdr:colOff>
      <xdr:row>68</xdr:row>
      <xdr:rowOff>65737</xdr:rowOff>
    </xdr:to>
    <xdr:graphicFrame macro="">
      <xdr:nvGraphicFramePr>
        <xdr:cNvPr id="26" name="Chart 25">
          <a:extLst>
            <a:ext uri="{FF2B5EF4-FFF2-40B4-BE49-F238E27FC236}">
              <a16:creationId xmlns:a16="http://schemas.microsoft.com/office/drawing/2014/main" id="{01776B07-85A7-4069-8675-53D2DE4DC23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85392</xdr:colOff>
      <xdr:row>68</xdr:row>
      <xdr:rowOff>57059</xdr:rowOff>
    </xdr:from>
    <xdr:to>
      <xdr:col>35</xdr:col>
      <xdr:colOff>429381</xdr:colOff>
      <xdr:row>70</xdr:row>
      <xdr:rowOff>415835</xdr:rowOff>
    </xdr:to>
    <xdr:graphicFrame macro="">
      <xdr:nvGraphicFramePr>
        <xdr:cNvPr id="27" name="Chart 5">
          <a:extLst>
            <a:ext uri="{FF2B5EF4-FFF2-40B4-BE49-F238E27FC236}">
              <a16:creationId xmlns:a16="http://schemas.microsoft.com/office/drawing/2014/main" id="{BB2C8194-26E2-4AEE-AB25-E4C4976B0B0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76200</xdr:colOff>
      <xdr:row>46</xdr:row>
      <xdr:rowOff>65314</xdr:rowOff>
    </xdr:from>
    <xdr:to>
      <xdr:col>35</xdr:col>
      <xdr:colOff>433524</xdr:colOff>
      <xdr:row>48</xdr:row>
      <xdr:rowOff>381121</xdr:rowOff>
    </xdr:to>
    <xdr:graphicFrame macro="">
      <xdr:nvGraphicFramePr>
        <xdr:cNvPr id="12" name="Chart 11">
          <a:extLst>
            <a:ext uri="{FF2B5EF4-FFF2-40B4-BE49-F238E27FC236}">
              <a16:creationId xmlns:a16="http://schemas.microsoft.com/office/drawing/2014/main" id="{CD78E40A-C94D-4B9D-AF67-D0F499A660A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68036</xdr:colOff>
      <xdr:row>71</xdr:row>
      <xdr:rowOff>27214</xdr:rowOff>
    </xdr:from>
    <xdr:to>
      <xdr:col>35</xdr:col>
      <xdr:colOff>412025</xdr:colOff>
      <xdr:row>73</xdr:row>
      <xdr:rowOff>389799</xdr:rowOff>
    </xdr:to>
    <xdr:graphicFrame macro="">
      <xdr:nvGraphicFramePr>
        <xdr:cNvPr id="16" name="Chart 5">
          <a:extLst>
            <a:ext uri="{FF2B5EF4-FFF2-40B4-BE49-F238E27FC236}">
              <a16:creationId xmlns:a16="http://schemas.microsoft.com/office/drawing/2014/main" id="{8233D425-49E5-4074-9E7F-A94C438E08F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122465</xdr:colOff>
      <xdr:row>74</xdr:row>
      <xdr:rowOff>40821</xdr:rowOff>
    </xdr:from>
    <xdr:to>
      <xdr:col>35</xdr:col>
      <xdr:colOff>449244</xdr:colOff>
      <xdr:row>77</xdr:row>
      <xdr:rowOff>104231</xdr:rowOff>
    </xdr:to>
    <xdr:graphicFrame macro="">
      <xdr:nvGraphicFramePr>
        <xdr:cNvPr id="31" name="Chart 5">
          <a:extLst>
            <a:ext uri="{FF2B5EF4-FFF2-40B4-BE49-F238E27FC236}">
              <a16:creationId xmlns:a16="http://schemas.microsoft.com/office/drawing/2014/main" id="{1C8D7D3F-A668-4C6E-ADB9-C8BEC7C11FE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133671</xdr:colOff>
      <xdr:row>77</xdr:row>
      <xdr:rowOff>171465</xdr:rowOff>
    </xdr:from>
    <xdr:to>
      <xdr:col>35</xdr:col>
      <xdr:colOff>449020</xdr:colOff>
      <xdr:row>80</xdr:row>
      <xdr:rowOff>142874</xdr:rowOff>
    </xdr:to>
    <xdr:graphicFrame macro="">
      <xdr:nvGraphicFramePr>
        <xdr:cNvPr id="32" name="Chart 5">
          <a:extLst>
            <a:ext uri="{FF2B5EF4-FFF2-40B4-BE49-F238E27FC236}">
              <a16:creationId xmlns:a16="http://schemas.microsoft.com/office/drawing/2014/main" id="{187C7426-F82C-4597-939D-7835CD8CDE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64226</xdr:colOff>
      <xdr:row>48</xdr:row>
      <xdr:rowOff>419917</xdr:rowOff>
    </xdr:from>
    <xdr:to>
      <xdr:col>35</xdr:col>
      <xdr:colOff>402435</xdr:colOff>
      <xdr:row>51</xdr:row>
      <xdr:rowOff>408214</xdr:rowOff>
    </xdr:to>
    <xdr:graphicFrame macro="">
      <xdr:nvGraphicFramePr>
        <xdr:cNvPr id="35" name="Chart 5">
          <a:extLst>
            <a:ext uri="{FF2B5EF4-FFF2-40B4-BE49-F238E27FC236}">
              <a16:creationId xmlns:a16="http://schemas.microsoft.com/office/drawing/2014/main" id="{CF8660C1-49B8-47BC-870C-3BCFAD8A397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92850</xdr:colOff>
      <xdr:row>52</xdr:row>
      <xdr:rowOff>78123</xdr:rowOff>
    </xdr:from>
    <xdr:to>
      <xdr:col>35</xdr:col>
      <xdr:colOff>402484</xdr:colOff>
      <xdr:row>55</xdr:row>
      <xdr:rowOff>81643</xdr:rowOff>
    </xdr:to>
    <xdr:graphicFrame macro="">
      <xdr:nvGraphicFramePr>
        <xdr:cNvPr id="36" name="Chart 5">
          <a:extLst>
            <a:ext uri="{FF2B5EF4-FFF2-40B4-BE49-F238E27FC236}">
              <a16:creationId xmlns:a16="http://schemas.microsoft.com/office/drawing/2014/main" id="{C281717D-E700-40DD-A639-8BE0EE71F2E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122464</xdr:colOff>
      <xdr:row>24</xdr:row>
      <xdr:rowOff>68036</xdr:rowOff>
    </xdr:from>
    <xdr:to>
      <xdr:col>35</xdr:col>
      <xdr:colOff>458768</xdr:colOff>
      <xdr:row>27</xdr:row>
      <xdr:rowOff>54428</xdr:rowOff>
    </xdr:to>
    <xdr:graphicFrame macro="">
      <xdr:nvGraphicFramePr>
        <xdr:cNvPr id="37" name="Chart 5">
          <a:extLst>
            <a:ext uri="{FF2B5EF4-FFF2-40B4-BE49-F238E27FC236}">
              <a16:creationId xmlns:a16="http://schemas.microsoft.com/office/drawing/2014/main" id="{421A7196-C5C0-4E55-843E-395E127B0B4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147005</xdr:colOff>
      <xdr:row>27</xdr:row>
      <xdr:rowOff>114862</xdr:rowOff>
    </xdr:from>
    <xdr:to>
      <xdr:col>35</xdr:col>
      <xdr:colOff>445209</xdr:colOff>
      <xdr:row>30</xdr:row>
      <xdr:rowOff>110763</xdr:rowOff>
    </xdr:to>
    <xdr:graphicFrame macro="">
      <xdr:nvGraphicFramePr>
        <xdr:cNvPr id="38" name="Chart 5">
          <a:extLst>
            <a:ext uri="{FF2B5EF4-FFF2-40B4-BE49-F238E27FC236}">
              <a16:creationId xmlns:a16="http://schemas.microsoft.com/office/drawing/2014/main" id="{390D9096-1878-4A9D-BE27-DDCAB73BE1F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228007</xdr:colOff>
      <xdr:row>106</xdr:row>
      <xdr:rowOff>22860</xdr:rowOff>
    </xdr:from>
    <xdr:to>
      <xdr:col>35</xdr:col>
      <xdr:colOff>274032</xdr:colOff>
      <xdr:row>108</xdr:row>
      <xdr:rowOff>395119</xdr:rowOff>
    </xdr:to>
    <xdr:graphicFrame macro="">
      <xdr:nvGraphicFramePr>
        <xdr:cNvPr id="33" name="Chart 5">
          <a:extLst>
            <a:ext uri="{FF2B5EF4-FFF2-40B4-BE49-F238E27FC236}">
              <a16:creationId xmlns:a16="http://schemas.microsoft.com/office/drawing/2014/main" id="{5212D532-A38E-4275-8F1C-3F7C7F426503}"/>
            </a:ext>
            <a:ext uri="{147F2762-F138-4A5C-976F-8EAC2B608ADB}">
              <a16:predDERef xmlns:a16="http://schemas.microsoft.com/office/drawing/2014/main" pred="{390D9096-1878-4A9D-BE27-DDCAB73BE1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63500</xdr:colOff>
      <xdr:row>80</xdr:row>
      <xdr:rowOff>423332</xdr:rowOff>
    </xdr:from>
    <xdr:to>
      <xdr:col>35</xdr:col>
      <xdr:colOff>409394</xdr:colOff>
      <xdr:row>83</xdr:row>
      <xdr:rowOff>423997</xdr:rowOff>
    </xdr:to>
    <xdr:graphicFrame macro="">
      <xdr:nvGraphicFramePr>
        <xdr:cNvPr id="13" name="Chart 5">
          <a:extLst>
            <a:ext uri="{FF2B5EF4-FFF2-40B4-BE49-F238E27FC236}">
              <a16:creationId xmlns:a16="http://schemas.microsoft.com/office/drawing/2014/main" id="{BD4EA1B9-CFC0-4AD2-A46C-3F97211DD9A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63500</xdr:colOff>
      <xdr:row>84</xdr:row>
      <xdr:rowOff>21167</xdr:rowOff>
    </xdr:from>
    <xdr:to>
      <xdr:col>35</xdr:col>
      <xdr:colOff>413204</xdr:colOff>
      <xdr:row>87</xdr:row>
      <xdr:rowOff>21832</xdr:rowOff>
    </xdr:to>
    <xdr:graphicFrame macro="">
      <xdr:nvGraphicFramePr>
        <xdr:cNvPr id="15" name="Chart 5">
          <a:extLst>
            <a:ext uri="{FF2B5EF4-FFF2-40B4-BE49-F238E27FC236}">
              <a16:creationId xmlns:a16="http://schemas.microsoft.com/office/drawing/2014/main" id="{B91FB2D9-6AD3-4425-AC92-42397C7B70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56727</xdr:colOff>
      <xdr:row>87</xdr:row>
      <xdr:rowOff>29845</xdr:rowOff>
    </xdr:from>
    <xdr:to>
      <xdr:col>35</xdr:col>
      <xdr:colOff>402621</xdr:colOff>
      <xdr:row>89</xdr:row>
      <xdr:rowOff>381000</xdr:rowOff>
    </xdr:to>
    <xdr:graphicFrame macro="">
      <xdr:nvGraphicFramePr>
        <xdr:cNvPr id="17" name="Chart 5">
          <a:extLst>
            <a:ext uri="{FF2B5EF4-FFF2-40B4-BE49-F238E27FC236}">
              <a16:creationId xmlns:a16="http://schemas.microsoft.com/office/drawing/2014/main" id="{FC48948D-C87C-4264-A8AA-28B4B378BDD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66131</xdr:colOff>
      <xdr:row>89</xdr:row>
      <xdr:rowOff>428721</xdr:rowOff>
    </xdr:from>
    <xdr:to>
      <xdr:col>35</xdr:col>
      <xdr:colOff>419645</xdr:colOff>
      <xdr:row>93</xdr:row>
      <xdr:rowOff>30215</xdr:rowOff>
    </xdr:to>
    <xdr:graphicFrame macro="">
      <xdr:nvGraphicFramePr>
        <xdr:cNvPr id="22" name="Chart 21">
          <a:extLst>
            <a:ext uri="{FF2B5EF4-FFF2-40B4-BE49-F238E27FC236}">
              <a16:creationId xmlns:a16="http://schemas.microsoft.com/office/drawing/2014/main" id="{EAED04B5-F0A8-4F96-A0AB-D0423C50285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64885</xdr:colOff>
      <xdr:row>93</xdr:row>
      <xdr:rowOff>60869</xdr:rowOff>
    </xdr:from>
    <xdr:to>
      <xdr:col>35</xdr:col>
      <xdr:colOff>408874</xdr:colOff>
      <xdr:row>95</xdr:row>
      <xdr:rowOff>415835</xdr:rowOff>
    </xdr:to>
    <xdr:graphicFrame macro="">
      <xdr:nvGraphicFramePr>
        <xdr:cNvPr id="23" name="Chart 5">
          <a:extLst>
            <a:ext uri="{FF2B5EF4-FFF2-40B4-BE49-F238E27FC236}">
              <a16:creationId xmlns:a16="http://schemas.microsoft.com/office/drawing/2014/main" id="{2761E616-DF8B-40B0-A460-48F3945CC24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92128</xdr:colOff>
      <xdr:row>96</xdr:row>
      <xdr:rowOff>17689</xdr:rowOff>
    </xdr:from>
    <xdr:to>
      <xdr:col>35</xdr:col>
      <xdr:colOff>436117</xdr:colOff>
      <xdr:row>98</xdr:row>
      <xdr:rowOff>397419</xdr:rowOff>
    </xdr:to>
    <xdr:graphicFrame macro="">
      <xdr:nvGraphicFramePr>
        <xdr:cNvPr id="28" name="Chart 5">
          <a:extLst>
            <a:ext uri="{FF2B5EF4-FFF2-40B4-BE49-F238E27FC236}">
              <a16:creationId xmlns:a16="http://schemas.microsoft.com/office/drawing/2014/main" id="{F00F93E1-6FF5-4796-AF36-B5938C6683C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92657</xdr:colOff>
      <xdr:row>99</xdr:row>
      <xdr:rowOff>40821</xdr:rowOff>
    </xdr:from>
    <xdr:to>
      <xdr:col>35</xdr:col>
      <xdr:colOff>411816</xdr:colOff>
      <xdr:row>101</xdr:row>
      <xdr:rowOff>367889</xdr:rowOff>
    </xdr:to>
    <xdr:graphicFrame macro="">
      <xdr:nvGraphicFramePr>
        <xdr:cNvPr id="29" name="Chart 5">
          <a:extLst>
            <a:ext uri="{FF2B5EF4-FFF2-40B4-BE49-F238E27FC236}">
              <a16:creationId xmlns:a16="http://schemas.microsoft.com/office/drawing/2014/main" id="{989CCB4D-5405-4009-BD3A-47B8C24B9B8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107450</xdr:colOff>
      <xdr:row>102</xdr:row>
      <xdr:rowOff>11205</xdr:rowOff>
    </xdr:from>
    <xdr:to>
      <xdr:col>35</xdr:col>
      <xdr:colOff>418989</xdr:colOff>
      <xdr:row>104</xdr:row>
      <xdr:rowOff>384810</xdr:rowOff>
    </xdr:to>
    <xdr:graphicFrame macro="">
      <xdr:nvGraphicFramePr>
        <xdr:cNvPr id="30" name="Chart 5">
          <a:extLst>
            <a:ext uri="{FF2B5EF4-FFF2-40B4-BE49-F238E27FC236}">
              <a16:creationId xmlns:a16="http://schemas.microsoft.com/office/drawing/2014/main" id="{79DD8726-8507-40E6-B0AE-9C1BAD54727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42</xdr:col>
      <xdr:colOff>41911</xdr:colOff>
      <xdr:row>0</xdr:row>
      <xdr:rowOff>0</xdr:rowOff>
    </xdr:from>
    <xdr:to>
      <xdr:col>54</xdr:col>
      <xdr:colOff>316230</xdr:colOff>
      <xdr:row>14</xdr:row>
      <xdr:rowOff>100694</xdr:rowOff>
    </xdr:to>
    <xdr:graphicFrame macro="">
      <xdr:nvGraphicFramePr>
        <xdr:cNvPr id="4" name="Chart 3">
          <a:extLst>
            <a:ext uri="{FF2B5EF4-FFF2-40B4-BE49-F238E27FC236}">
              <a16:creationId xmlns:a16="http://schemas.microsoft.com/office/drawing/2014/main" id="{EB275F31-1CC4-F076-453A-94AE73BDC7D3}"/>
            </a:ext>
            <a:ext uri="{147F2762-F138-4A5C-976F-8EAC2B608ADB}">
              <a16:predDERef xmlns:a16="http://schemas.microsoft.com/office/drawing/2014/main" pred="{167FA323-5F8A-6A75-7512-42D1482769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19050</xdr:colOff>
      <xdr:row>0</xdr:row>
      <xdr:rowOff>0</xdr:rowOff>
    </xdr:from>
    <xdr:to>
      <xdr:col>44</xdr:col>
      <xdr:colOff>114300</xdr:colOff>
      <xdr:row>14</xdr:row>
      <xdr:rowOff>9525</xdr:rowOff>
    </xdr:to>
    <xdr:graphicFrame macro="">
      <xdr:nvGraphicFramePr>
        <xdr:cNvPr id="5" name="Chart 4">
          <a:extLst>
            <a:ext uri="{FF2B5EF4-FFF2-40B4-BE49-F238E27FC236}">
              <a16:creationId xmlns:a16="http://schemas.microsoft.com/office/drawing/2014/main" id="{CEF7484E-8D6F-403A-99E3-AAF871BD3B67}"/>
            </a:ext>
            <a:ext uri="{147F2762-F138-4A5C-976F-8EAC2B608ADB}">
              <a16:predDERef xmlns:a16="http://schemas.microsoft.com/office/drawing/2014/main" pred="{EB275F31-1CC4-F076-453A-94AE73BDC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10390</xdr:colOff>
      <xdr:row>15</xdr:row>
      <xdr:rowOff>238126</xdr:rowOff>
    </xdr:from>
    <xdr:to>
      <xdr:col>44</xdr:col>
      <xdr:colOff>298738</xdr:colOff>
      <xdr:row>33</xdr:row>
      <xdr:rowOff>148937</xdr:rowOff>
    </xdr:to>
    <xdr:graphicFrame macro="">
      <xdr:nvGraphicFramePr>
        <xdr:cNvPr id="10" name="Chart 5">
          <a:extLst>
            <a:ext uri="{FF2B5EF4-FFF2-40B4-BE49-F238E27FC236}">
              <a16:creationId xmlns:a16="http://schemas.microsoft.com/office/drawing/2014/main" id="{FB746F2F-643D-412E-93A9-5490A2A8F1B0}"/>
            </a:ext>
            <a:ext uri="{147F2762-F138-4A5C-976F-8EAC2B608ADB}">
              <a16:predDERef xmlns:a16="http://schemas.microsoft.com/office/drawing/2014/main" pred="{CEF7484E-8D6F-403A-99E3-AAF871BD3B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EB78B9C-B8A2-4B43-BE18-B2EE9E5AF5DE}">
  <we:reference id="wa104380862" version="3.0.0.0" store="en-US" storeType="OMEX"/>
  <we:alternateReferences>
    <we:reference id="wa104380862" version="3.0.0.0" store="WA104380862"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energy.ca.gov/publications/2023/2022-california-commercial-end-use-survey-ceus-final-report" TargetMode="External"/><Relationship Id="rId13" Type="http://schemas.openxmlformats.org/officeDocument/2006/relationships/hyperlink" Target="https://bees.noresco.com/software2022.html" TargetMode="External"/><Relationship Id="rId18" Type="http://schemas.openxmlformats.org/officeDocument/2006/relationships/hyperlink" Target="https://www.energy.ca.gov/publications/2025/2025-nonresidential-and-multifamily-alternative-calculation-method-reference" TargetMode="External"/><Relationship Id="rId26" Type="http://schemas.openxmlformats.org/officeDocument/2006/relationships/hyperlink" Target="https://www.grainger.com/category/plumbing/water-heaters/electric-tank-water-heaters" TargetMode="External"/><Relationship Id="rId3"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21" Type="http://schemas.openxmlformats.org/officeDocument/2006/relationships/hyperlink" Target="https://prod-edam.honeywell.com/content/dam/honeywell-edam/hbt/en-us/documents/manuals-and-guides/installation-guides/inncom/hbt-bms-INNCOM-e7-USER-GUIDE.pdf?download=false" TargetMode="External"/><Relationship Id="rId7" Type="http://schemas.openxmlformats.org/officeDocument/2006/relationships/hyperlink" Target="https://efiling.energy.ca.gov/GetDocument.aspx?tn=265693&amp;DocumentContentId=102545" TargetMode="External"/><Relationship Id="rId12" Type="http://schemas.openxmlformats.org/officeDocument/2006/relationships/hyperlink" Target="https://github.com/sound-data/DEER-Prototypes-EnergyPlus" TargetMode="External"/><Relationship Id="rId17" Type="http://schemas.openxmlformats.org/officeDocument/2006/relationships/hyperlink" Target="https://www.energy.ca.gov/publications/2022/2022-nonresidential-and-multifamily-alternative-calculation-method-reference" TargetMode="External"/><Relationship Id="rId25" Type="http://schemas.openxmlformats.org/officeDocument/2006/relationships/hyperlink" Target="https://www.grainger.com/category/plumbing/water-heaters/gas-tank-water-heaters" TargetMode="External"/><Relationship Id="rId2" Type="http://schemas.openxmlformats.org/officeDocument/2006/relationships/hyperlink" Target="https://www.pnnl.gov/main/publications/external/technical_reports/PNNL-20405.pdf" TargetMode="External"/><Relationship Id="rId16" Type="http://schemas.openxmlformats.org/officeDocument/2006/relationships/hyperlink" Target="https://www.ashrae.org/technical-resources/standards-and-guidelines/read-only-versions-of-ashrae-standards" TargetMode="External"/><Relationship Id="rId20"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www.ahla.com/sites/default/files/25_SOTI.pdf" TargetMode="External"/><Relationship Id="rId6" Type="http://schemas.openxmlformats.org/officeDocument/2006/relationships/hyperlink" Target="https://www.govinfo.gov/content/pkg/CFR-2013-title10-vol3/pdf/CFR-2013-title10-vol3-part431.pdf" TargetMode="External"/><Relationship Id="rId11" Type="http://schemas.openxmlformats.org/officeDocument/2006/relationships/hyperlink" Target="https://www.energycodes.gov/prototype-building-models" TargetMode="External"/><Relationship Id="rId24" Type="http://schemas.openxmlformats.org/officeDocument/2006/relationships/hyperlink" Target="https://www.energystar.gov/productfinder/product/certified-commercial-water-heaters/results?fuel_filter=Gas&amp;markets_filter=United+States" TargetMode="External"/><Relationship Id="rId5" Type="http://schemas.openxmlformats.org/officeDocument/2006/relationships/hyperlink" Target="https://www.govinfo.gov/content/pkg/CFR-2024-title10-vol3/pdf/CFR-2024-title10-vol3-part431-subpartF.pdf" TargetMode="External"/><Relationship Id="rId15" Type="http://schemas.openxmlformats.org/officeDocument/2006/relationships/hyperlink" Target="https://codes.iccsafe.org/codes/united-states/california" TargetMode="External"/><Relationship Id="rId23" Type="http://schemas.openxmlformats.org/officeDocument/2006/relationships/hyperlink" Target="https://www.thefreelibrary.com/Determining+Vintage+Bins+for+Prototype+Development%3a+An+Analysis+of...-a0879271125" TargetMode="External"/><Relationship Id="rId28" Type="http://schemas.openxmlformats.org/officeDocument/2006/relationships/drawing" Target="../drawings/drawing1.xml"/><Relationship Id="rId10"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9" Type="http://schemas.openxmlformats.org/officeDocument/2006/relationships/hyperlink" Target="https://www.energy.ca.gov/publications/2022/2022-nonresidential-and-multifamily-alternative-calculation-method-reference" TargetMode="External"/><Relationship Id="rId4" Type="http://schemas.openxmlformats.org/officeDocument/2006/relationships/hyperlink" Target="https://www.govinfo.gov/content/pkg/FR-2009-03-23/pdf/FR-2009-03-23.pdf" TargetMode="External"/><Relationship Id="rId9" Type="http://schemas.openxmlformats.org/officeDocument/2006/relationships/hyperlink" Target="https://www.eia.gov/consumption/commercial/data/2018/index.php?view=microdata" TargetMode="External"/><Relationship Id="rId14" Type="http://schemas.openxmlformats.org/officeDocument/2006/relationships/hyperlink" Target="https://www.energy.ca.gov/publications/2025/2025-building-energy-efficiency-standards-residential-and-nonresidential" TargetMode="External"/><Relationship Id="rId22" Type="http://schemas.openxmlformats.org/officeDocument/2006/relationships/hyperlink" Target="https://title24stakeholders.com/wp-content/uploads/2016/10/T24-2019-CASE-Study-Results-Report-Outdoor-Sources_Final_with-Attachments.pdf" TargetMode="External"/><Relationship Id="rId27"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hla.com/sites/default/files/25_SOTI.pdf" TargetMode="External"/><Relationship Id="rId1" Type="http://schemas.openxmlformats.org/officeDocument/2006/relationships/hyperlink" Target="https://assets.visitcalifornia.com/media/?mediaId=D0CF4716-DD37-4678-852AB388768DE451&amp;viewType=grid"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1" Type="http://schemas.openxmlformats.org/officeDocument/2006/relationships/hyperlink" Target="https://title24stakeholders.com/wp-content/uploads/2020/10/2022-T24-Final-CASE-Report_Reduce-Infiltration.pdf"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102"/>
  <sheetViews>
    <sheetView zoomScale="85" zoomScaleNormal="85" workbookViewId="0">
      <selection sqref="A1:C1"/>
    </sheetView>
  </sheetViews>
  <sheetFormatPr defaultColWidth="9.33203125" defaultRowHeight="13.2" x14ac:dyDescent="0.25"/>
  <cols>
    <col min="1" max="1" width="14.6640625" style="5" customWidth="1"/>
    <col min="2" max="2" width="89.33203125" style="5" customWidth="1"/>
    <col min="3" max="3" width="50.44140625" style="5" customWidth="1"/>
    <col min="4" max="4" width="9.33203125" style="5"/>
    <col min="5" max="5" width="21.6640625" style="5" customWidth="1"/>
    <col min="6" max="6" width="10.6640625" style="5" customWidth="1"/>
    <col min="7" max="7" width="9.6640625" style="5" customWidth="1"/>
    <col min="8" max="8" width="9.6640625" style="5" bestFit="1" customWidth="1"/>
    <col min="9" max="16384" width="9.33203125" style="5"/>
  </cols>
  <sheetData>
    <row r="1" spans="1:7" ht="20.399999999999999" customHeight="1" x14ac:dyDescent="0.25">
      <c r="A1" s="672" t="s">
        <v>0</v>
      </c>
      <c r="B1" s="672"/>
      <c r="C1" s="672"/>
    </row>
    <row r="2" spans="1:7" x14ac:dyDescent="0.25">
      <c r="A2" s="675" t="s">
        <v>1</v>
      </c>
      <c r="B2" s="159" t="s">
        <v>2</v>
      </c>
      <c r="C2" s="427"/>
    </row>
    <row r="3" spans="1:7" ht="14.4" x14ac:dyDescent="0.25">
      <c r="A3" s="675"/>
      <c r="B3" s="429" t="s">
        <v>3</v>
      </c>
      <c r="C3" s="430" t="s">
        <v>4</v>
      </c>
    </row>
    <row r="4" spans="1:7" ht="14.4" x14ac:dyDescent="0.25">
      <c r="A4" s="675"/>
      <c r="B4" s="429" t="s">
        <v>5</v>
      </c>
      <c r="C4" s="430" t="s">
        <v>6</v>
      </c>
    </row>
    <row r="5" spans="1:7" ht="14.4" x14ac:dyDescent="0.25">
      <c r="A5" s="675"/>
      <c r="B5" s="159" t="s">
        <v>7</v>
      </c>
      <c r="C5" s="430" t="s">
        <v>8</v>
      </c>
    </row>
    <row r="6" spans="1:7" ht="14.4" x14ac:dyDescent="0.3">
      <c r="A6" s="675" t="s">
        <v>9</v>
      </c>
      <c r="B6" s="428" t="s">
        <v>10</v>
      </c>
      <c r="C6" s="431" t="s">
        <v>11</v>
      </c>
      <c r="D6" s="5" t="s">
        <v>12</v>
      </c>
    </row>
    <row r="7" spans="1:7" ht="14.4" x14ac:dyDescent="0.3">
      <c r="A7" s="675"/>
      <c r="B7" s="428" t="s">
        <v>13</v>
      </c>
      <c r="C7" s="431" t="s">
        <v>14</v>
      </c>
      <c r="D7" s="5" t="s">
        <v>12</v>
      </c>
    </row>
    <row r="8" spans="1:7" ht="14.4" x14ac:dyDescent="0.3">
      <c r="A8" s="675"/>
      <c r="B8" s="428" t="s">
        <v>15</v>
      </c>
      <c r="C8" s="431" t="s">
        <v>16</v>
      </c>
      <c r="D8" s="5" t="s">
        <v>12</v>
      </c>
    </row>
    <row r="9" spans="1:7" ht="14.4" x14ac:dyDescent="0.3">
      <c r="A9" s="675"/>
      <c r="C9" s="281"/>
      <c r="D9" s="5" t="s">
        <v>12</v>
      </c>
    </row>
    <row r="10" spans="1:7" ht="14.4" x14ac:dyDescent="0.25">
      <c r="A10" s="675" t="s">
        <v>17</v>
      </c>
      <c r="B10" s="676" t="s">
        <v>18</v>
      </c>
      <c r="C10" s="430" t="s">
        <v>19</v>
      </c>
      <c r="D10" s="416">
        <v>2025</v>
      </c>
      <c r="E10" s="158"/>
      <c r="F10" s="158"/>
      <c r="G10" s="158"/>
    </row>
    <row r="11" spans="1:7" ht="14.4" x14ac:dyDescent="0.25">
      <c r="A11" s="675"/>
      <c r="B11" s="676"/>
      <c r="C11" s="430" t="s">
        <v>20</v>
      </c>
      <c r="D11" s="158" t="s">
        <v>21</v>
      </c>
      <c r="E11" s="158"/>
      <c r="F11" s="158"/>
      <c r="G11" s="158"/>
    </row>
    <row r="12" spans="1:7" ht="14.4" x14ac:dyDescent="0.25">
      <c r="A12" s="675"/>
      <c r="B12" s="429" t="s">
        <v>22</v>
      </c>
      <c r="C12" s="109" t="s">
        <v>23</v>
      </c>
      <c r="D12" s="158" t="s">
        <v>12</v>
      </c>
      <c r="E12" s="158"/>
      <c r="F12" s="158"/>
      <c r="G12" s="158"/>
    </row>
    <row r="13" spans="1:7" ht="14.4" x14ac:dyDescent="0.3">
      <c r="A13" s="675"/>
      <c r="B13" s="428" t="s">
        <v>24</v>
      </c>
      <c r="C13" s="281" t="s">
        <v>25</v>
      </c>
      <c r="D13" s="5" t="s">
        <v>12</v>
      </c>
    </row>
    <row r="14" spans="1:7" ht="14.4" x14ac:dyDescent="0.3">
      <c r="A14" s="675"/>
      <c r="B14" s="5" t="s">
        <v>26</v>
      </c>
      <c r="C14" s="281" t="s">
        <v>27</v>
      </c>
      <c r="D14" s="5" t="s">
        <v>12</v>
      </c>
    </row>
    <row r="15" spans="1:7" ht="14.4" x14ac:dyDescent="0.3">
      <c r="A15" s="675"/>
      <c r="B15" s="5" t="s">
        <v>28</v>
      </c>
      <c r="C15" s="281" t="s">
        <v>29</v>
      </c>
      <c r="D15" s="5" t="s">
        <v>12</v>
      </c>
    </row>
    <row r="16" spans="1:7" x14ac:dyDescent="0.25">
      <c r="A16" s="675"/>
      <c r="B16" s="11"/>
      <c r="C16" s="613"/>
      <c r="D16" s="5" t="s">
        <v>12</v>
      </c>
    </row>
    <row r="17" spans="1:4" ht="14.4" x14ac:dyDescent="0.25">
      <c r="A17" s="675" t="s">
        <v>30</v>
      </c>
      <c r="B17" s="429" t="s">
        <v>31</v>
      </c>
      <c r="C17" s="430" t="s">
        <v>32</v>
      </c>
      <c r="D17" s="5" t="s">
        <v>12</v>
      </c>
    </row>
    <row r="18" spans="1:4" ht="14.4" x14ac:dyDescent="0.25">
      <c r="A18" s="675"/>
      <c r="B18" s="429" t="s">
        <v>33</v>
      </c>
      <c r="C18" s="430" t="s">
        <v>34</v>
      </c>
    </row>
    <row r="19" spans="1:4" ht="14.4" x14ac:dyDescent="0.25">
      <c r="A19" s="675"/>
      <c r="B19" s="429" t="s">
        <v>35</v>
      </c>
      <c r="C19" s="430" t="s">
        <v>32</v>
      </c>
      <c r="D19" s="5" t="s">
        <v>12</v>
      </c>
    </row>
    <row r="20" spans="1:4" ht="14.4" x14ac:dyDescent="0.3">
      <c r="A20" s="675"/>
      <c r="B20" s="432" t="s">
        <v>36</v>
      </c>
      <c r="C20" s="431" t="s">
        <v>37</v>
      </c>
      <c r="D20" s="5" t="s">
        <v>12</v>
      </c>
    </row>
    <row r="21" spans="1:4" ht="14.4" x14ac:dyDescent="0.3">
      <c r="A21" s="675"/>
      <c r="B21" s="158" t="s">
        <v>38</v>
      </c>
      <c r="C21" s="431" t="s">
        <v>39</v>
      </c>
      <c r="D21" s="5" t="s">
        <v>12</v>
      </c>
    </row>
    <row r="22" spans="1:4" ht="14.4" x14ac:dyDescent="0.3">
      <c r="A22" s="675"/>
      <c r="B22" s="158" t="s">
        <v>40</v>
      </c>
      <c r="C22" s="431" t="s">
        <v>41</v>
      </c>
      <c r="D22" s="5" t="s">
        <v>12</v>
      </c>
    </row>
    <row r="23" spans="1:4" ht="14.4" x14ac:dyDescent="0.3">
      <c r="A23" s="675"/>
      <c r="B23" s="5" t="s">
        <v>42</v>
      </c>
      <c r="C23" s="281" t="s">
        <v>43</v>
      </c>
      <c r="D23" s="5" t="s">
        <v>12</v>
      </c>
    </row>
    <row r="24" spans="1:4" ht="14.4" x14ac:dyDescent="0.3">
      <c r="A24" s="675"/>
      <c r="B24" s="5" t="s">
        <v>44</v>
      </c>
      <c r="C24" s="281" t="s">
        <v>45</v>
      </c>
      <c r="D24" s="5" t="s">
        <v>12</v>
      </c>
    </row>
    <row r="25" spans="1:4" ht="14.4" x14ac:dyDescent="0.3">
      <c r="A25" s="675"/>
      <c r="B25" s="5" t="s">
        <v>46</v>
      </c>
      <c r="C25" s="281" t="s">
        <v>47</v>
      </c>
      <c r="D25" s="5" t="s">
        <v>12</v>
      </c>
    </row>
    <row r="26" spans="1:4" ht="26.4" x14ac:dyDescent="0.25">
      <c r="A26" s="675"/>
      <c r="B26" s="433" t="s">
        <v>48</v>
      </c>
      <c r="C26" s="430" t="s">
        <v>49</v>
      </c>
    </row>
    <row r="27" spans="1:4" ht="29.4" customHeight="1" x14ac:dyDescent="0.25">
      <c r="A27" s="675"/>
      <c r="B27" s="12" t="s">
        <v>50</v>
      </c>
      <c r="C27" s="109" t="s">
        <v>51</v>
      </c>
      <c r="D27" s="5" t="s">
        <v>12</v>
      </c>
    </row>
    <row r="28" spans="1:4" ht="12.75" customHeight="1" x14ac:dyDescent="0.25">
      <c r="A28" s="675"/>
      <c r="B28" s="429" t="s">
        <v>52</v>
      </c>
      <c r="C28" s="430" t="s">
        <v>53</v>
      </c>
    </row>
    <row r="29" spans="1:4" ht="12.75" customHeight="1" x14ac:dyDescent="0.25">
      <c r="A29" s="675"/>
      <c r="B29" s="429" t="s">
        <v>54</v>
      </c>
      <c r="C29" s="430" t="s">
        <v>55</v>
      </c>
    </row>
    <row r="30" spans="1:4" ht="12.75" customHeight="1" x14ac:dyDescent="0.25">
      <c r="A30" s="675"/>
      <c r="B30" s="429" t="s">
        <v>56</v>
      </c>
      <c r="C30" s="430" t="s">
        <v>57</v>
      </c>
    </row>
    <row r="31" spans="1:4" ht="12.75" customHeight="1" x14ac:dyDescent="0.3">
      <c r="A31" s="675"/>
      <c r="C31" s="377"/>
    </row>
    <row r="32" spans="1:4" ht="12.75" customHeight="1" x14ac:dyDescent="0.3">
      <c r="A32" s="159"/>
      <c r="C32" s="377"/>
    </row>
    <row r="33" spans="1:4" ht="12.75" customHeight="1" x14ac:dyDescent="0.3">
      <c r="A33" s="159"/>
      <c r="C33" s="377"/>
    </row>
    <row r="34" spans="1:4" x14ac:dyDescent="0.25">
      <c r="C34" s="612"/>
      <c r="D34" s="5" t="s">
        <v>12</v>
      </c>
    </row>
    <row r="35" spans="1:4" ht="18.600000000000001" customHeight="1" x14ac:dyDescent="0.25">
      <c r="A35" s="672" t="s">
        <v>58</v>
      </c>
      <c r="B35" s="672"/>
      <c r="C35" s="672"/>
    </row>
    <row r="36" spans="1:4" x14ac:dyDescent="0.25">
      <c r="C36" s="613"/>
    </row>
    <row r="37" spans="1:4" x14ac:dyDescent="0.25">
      <c r="C37" s="613"/>
    </row>
    <row r="38" spans="1:4" x14ac:dyDescent="0.25">
      <c r="C38" s="613"/>
    </row>
    <row r="39" spans="1:4" x14ac:dyDescent="0.25">
      <c r="C39" s="613"/>
    </row>
    <row r="40" spans="1:4" x14ac:dyDescent="0.25">
      <c r="C40" s="613"/>
    </row>
    <row r="41" spans="1:4" x14ac:dyDescent="0.25">
      <c r="C41" s="613"/>
    </row>
    <row r="42" spans="1:4" x14ac:dyDescent="0.25">
      <c r="C42" s="613"/>
    </row>
    <row r="43" spans="1:4" x14ac:dyDescent="0.25">
      <c r="C43" s="613"/>
    </row>
    <row r="44" spans="1:4" x14ac:dyDescent="0.25">
      <c r="C44" s="613"/>
    </row>
    <row r="45" spans="1:4" x14ac:dyDescent="0.25">
      <c r="C45" s="613"/>
    </row>
    <row r="46" spans="1:4" x14ac:dyDescent="0.25">
      <c r="C46" s="613"/>
    </row>
    <row r="47" spans="1:4" x14ac:dyDescent="0.25">
      <c r="C47" s="613"/>
    </row>
    <row r="48" spans="1:4" ht="19.2" customHeight="1" x14ac:dyDescent="0.25">
      <c r="A48" s="672" t="s">
        <v>59</v>
      </c>
      <c r="B48" s="672"/>
      <c r="C48" s="672"/>
    </row>
    <row r="49" spans="1:3" ht="72.599999999999994" customHeight="1" x14ac:dyDescent="0.25">
      <c r="A49" s="159" t="s">
        <v>60</v>
      </c>
      <c r="B49" s="673" t="s">
        <v>61</v>
      </c>
      <c r="C49" s="674"/>
    </row>
    <row r="50" spans="1:3" x14ac:dyDescent="0.25">
      <c r="A50" s="440" t="s">
        <v>2</v>
      </c>
      <c r="B50" s="441"/>
      <c r="C50" s="442"/>
    </row>
    <row r="51" spans="1:3" ht="14.4" x14ac:dyDescent="0.3">
      <c r="A51" s="443"/>
      <c r="B51" s="444"/>
      <c r="C51" s="445"/>
    </row>
    <row r="52" spans="1:3" x14ac:dyDescent="0.25">
      <c r="A52" s="443"/>
      <c r="B52" s="145"/>
      <c r="C52" s="445"/>
    </row>
    <row r="53" spans="1:3" x14ac:dyDescent="0.25">
      <c r="A53" s="443"/>
      <c r="B53" s="145"/>
      <c r="C53" s="445"/>
    </row>
    <row r="54" spans="1:3" x14ac:dyDescent="0.25">
      <c r="A54" s="443"/>
      <c r="B54" s="145"/>
      <c r="C54" s="445"/>
    </row>
    <row r="55" spans="1:3" x14ac:dyDescent="0.25">
      <c r="A55" s="443"/>
      <c r="B55" s="145"/>
      <c r="C55" s="445"/>
    </row>
    <row r="56" spans="1:3" x14ac:dyDescent="0.25">
      <c r="A56" s="443"/>
      <c r="B56" s="145"/>
      <c r="C56" s="445"/>
    </row>
    <row r="57" spans="1:3" x14ac:dyDescent="0.25">
      <c r="A57" s="443"/>
      <c r="B57" s="145"/>
      <c r="C57" s="445"/>
    </row>
    <row r="58" spans="1:3" x14ac:dyDescent="0.25">
      <c r="A58" s="443"/>
      <c r="B58" s="145"/>
      <c r="C58" s="445"/>
    </row>
    <row r="59" spans="1:3" x14ac:dyDescent="0.25">
      <c r="A59" s="443"/>
      <c r="B59" s="145"/>
      <c r="C59" s="445"/>
    </row>
    <row r="60" spans="1:3" x14ac:dyDescent="0.25">
      <c r="A60" s="443"/>
      <c r="B60" s="145"/>
      <c r="C60" s="445"/>
    </row>
    <row r="61" spans="1:3" x14ac:dyDescent="0.25">
      <c r="A61" s="443"/>
      <c r="B61" s="145"/>
      <c r="C61" s="445"/>
    </row>
    <row r="62" spans="1:3" x14ac:dyDescent="0.25">
      <c r="A62" s="443"/>
      <c r="B62" s="145"/>
      <c r="C62" s="445"/>
    </row>
    <row r="63" spans="1:3" x14ac:dyDescent="0.25">
      <c r="A63" s="449" t="s">
        <v>62</v>
      </c>
      <c r="B63" s="450"/>
      <c r="C63" s="451"/>
    </row>
    <row r="64" spans="1:3" x14ac:dyDescent="0.25">
      <c r="A64" s="449" t="s">
        <v>63</v>
      </c>
      <c r="B64" s="450"/>
      <c r="C64" s="451"/>
    </row>
    <row r="65" spans="1:8" s="145" customFormat="1" x14ac:dyDescent="0.25">
      <c r="A65" s="446"/>
      <c r="B65" s="447"/>
      <c r="C65" s="448"/>
    </row>
    <row r="66" spans="1:8" ht="81.599999999999994" customHeight="1" x14ac:dyDescent="0.25">
      <c r="A66" s="597" t="s">
        <v>64</v>
      </c>
      <c r="B66" s="668" t="s">
        <v>65</v>
      </c>
      <c r="C66" s="668"/>
      <c r="E66" s="597"/>
      <c r="F66" s="7"/>
      <c r="G66" s="7"/>
      <c r="H66" s="7"/>
    </row>
    <row r="67" spans="1:8" ht="14.4" customHeight="1" x14ac:dyDescent="0.25">
      <c r="A67" s="602"/>
      <c r="B67" s="671"/>
      <c r="C67" s="671"/>
      <c r="E67" s="597"/>
      <c r="F67" s="38"/>
      <c r="G67" s="38"/>
      <c r="H67" s="38"/>
    </row>
    <row r="68" spans="1:8" ht="17.399999999999999" customHeight="1" x14ac:dyDescent="0.25">
      <c r="A68" s="602"/>
      <c r="B68" s="671"/>
      <c r="C68" s="671"/>
    </row>
    <row r="69" spans="1:8" ht="16.2" customHeight="1" x14ac:dyDescent="0.25">
      <c r="A69" s="602"/>
      <c r="B69" s="671"/>
      <c r="C69" s="671"/>
    </row>
    <row r="83" spans="2:2" ht="14.4" x14ac:dyDescent="0.3">
      <c r="B83"/>
    </row>
    <row r="102" spans="2:2" x14ac:dyDescent="0.25">
      <c r="B102" s="12"/>
    </row>
  </sheetData>
  <mergeCells count="13">
    <mergeCell ref="A1:C1"/>
    <mergeCell ref="A35:C35"/>
    <mergeCell ref="A10:A16"/>
    <mergeCell ref="A2:A5"/>
    <mergeCell ref="A6:A9"/>
    <mergeCell ref="B10:B11"/>
    <mergeCell ref="A17:A31"/>
    <mergeCell ref="B66:C66"/>
    <mergeCell ref="B67:C67"/>
    <mergeCell ref="B68:C68"/>
    <mergeCell ref="B69:C69"/>
    <mergeCell ref="A48:C48"/>
    <mergeCell ref="B49:C49"/>
  </mergeCells>
  <hyperlinks>
    <hyperlink ref="C23" r:id="rId1" xr:uid="{0D4FBB50-F40B-46FC-A176-D058C9DB135D}"/>
    <hyperlink ref="C24" r:id="rId2" xr:uid="{D484475D-B400-4E96-9505-CCD7FE965875}"/>
    <hyperlink ref="C25" r:id="rId3" xr:uid="{AF920CF1-9F76-42E1-A73A-8C1EB915243B}"/>
    <hyperlink ref="C13" r:id="rId4" xr:uid="{A2C4FC6D-EE96-4198-8D38-FEFAF579976B}"/>
    <hyperlink ref="C15" r:id="rId5" xr:uid="{6DC7B75F-F9C4-4B4B-A7C6-BB63167C8674}"/>
    <hyperlink ref="C14" r:id="rId6" xr:uid="{D6326C34-F87A-45B5-BFF8-66DC95C507FF}"/>
    <hyperlink ref="C27" r:id="rId7" xr:uid="{F63B36D5-02CC-4372-8B66-24650A505249}"/>
    <hyperlink ref="C3" r:id="rId8" xr:uid="{AD70150E-6C17-4CDF-A806-12348A027CB3}"/>
    <hyperlink ref="C4" r:id="rId9" xr:uid="{56C07544-D7EE-4BBE-AEB4-EB9CDFE35197}"/>
    <hyperlink ref="C5" r:id="rId10" xr:uid="{59FF4D60-F72F-445B-B5E2-FCE2D4E9556B}"/>
    <hyperlink ref="C6" r:id="rId11" location="Commercial" display="https://www.energycodes.gov/prototype-building-models - Commercial" xr:uid="{462BD2D8-7381-4740-B5B7-40CDF30C5565}"/>
    <hyperlink ref="C7" r:id="rId12" xr:uid="{0356016E-5DBE-4B3A-88E3-D9FFF3F274BE}"/>
    <hyperlink ref="C8" r:id="rId13" xr:uid="{FDC66255-BE7B-4E59-8270-129B5B7E8369}"/>
    <hyperlink ref="C10" r:id="rId14" xr:uid="{CF349AC3-65A9-4F4F-9221-D0C06D23A031}"/>
    <hyperlink ref="C11" r:id="rId15" xr:uid="{276B8B00-E24E-4B6E-8A1D-D66AB7CC368A}"/>
    <hyperlink ref="C12" r:id="rId16" xr:uid="{B8538ACF-98A5-48DD-B10B-13523ACD2845}"/>
    <hyperlink ref="C17" r:id="rId17" xr:uid="{C7F86B96-59C2-4BC5-B863-F55165CFAC85}"/>
    <hyperlink ref="C18" r:id="rId18" xr:uid="{37BE4FBA-A7A3-4C3E-BADD-1C72DE4FAE51}"/>
    <hyperlink ref="C19" r:id="rId19" xr:uid="{3E64FEFE-C39F-4FE8-98A6-047C4FCBB46A}"/>
    <hyperlink ref="C20" r:id="rId20" xr:uid="{9EDAE3C5-29BA-4094-B3D3-3D1C02BF838A}"/>
    <hyperlink ref="C21" r:id="rId21" xr:uid="{F640A96C-FE9F-4B4F-967B-6E2832379A6B}"/>
    <hyperlink ref="C22" r:id="rId22" xr:uid="{4168E01B-83D0-4F43-9446-BFCF79F49BE2}"/>
    <hyperlink ref="C26" r:id="rId23" xr:uid="{68C89EF6-5C09-4DD1-934D-C269803D078D}"/>
    <hyperlink ref="C28" r:id="rId24" xr:uid="{E7C3A2DD-37D3-43BF-8269-D208CF641561}"/>
    <hyperlink ref="C29" r:id="rId25" xr:uid="{CD748017-84E0-47C8-972C-2CF1720A4CC8}"/>
    <hyperlink ref="C30" r:id="rId26" xr:uid="{E19FA9A9-197D-493D-AF3F-6D4F41C63E03}"/>
  </hyperlinks>
  <pageMargins left="0.7" right="0.7" top="0.75" bottom="0.75" header="0.3" footer="0.3"/>
  <pageSetup orientation="portrait" r:id="rId27"/>
  <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62"/>
  <sheetViews>
    <sheetView tabSelected="1" zoomScale="101" zoomScaleNormal="100" workbookViewId="0">
      <selection activeCell="B6" sqref="B6"/>
    </sheetView>
  </sheetViews>
  <sheetFormatPr defaultColWidth="9.33203125" defaultRowHeight="13.8" x14ac:dyDescent="0.25"/>
  <cols>
    <col min="1" max="1" width="25" style="3" customWidth="1"/>
    <col min="2" max="2" width="45.33203125" style="3" customWidth="1"/>
    <col min="3" max="3" width="45.6640625" style="3" customWidth="1"/>
    <col min="4" max="4" width="43.6640625" style="3" customWidth="1"/>
    <col min="5" max="5" width="40.6640625" style="3" customWidth="1"/>
    <col min="6" max="7" width="8.6640625" style="3" customWidth="1"/>
    <col min="8" max="8" width="37.109375" style="3" customWidth="1"/>
    <col min="9" max="9" width="8.6640625" style="3" customWidth="1"/>
    <col min="10" max="16384" width="9.33203125" style="3"/>
  </cols>
  <sheetData>
    <row r="1" spans="1:9" ht="17.399999999999999" customHeight="1" x14ac:dyDescent="0.25">
      <c r="A1" s="678" t="s">
        <v>984</v>
      </c>
      <c r="B1" s="678"/>
      <c r="C1" s="678"/>
      <c r="D1" s="13"/>
      <c r="E1" s="13"/>
      <c r="F1" s="13"/>
    </row>
    <row r="2" spans="1:9" ht="25.2" customHeight="1" x14ac:dyDescent="0.25">
      <c r="A2" s="679" t="s">
        <v>60</v>
      </c>
      <c r="B2" s="680"/>
      <c r="C2" s="680"/>
      <c r="D2" s="13"/>
      <c r="E2" s="13"/>
      <c r="F2" s="13"/>
    </row>
    <row r="3" spans="1:9" ht="20.399999999999999" customHeight="1" x14ac:dyDescent="0.25">
      <c r="A3" s="19" t="s">
        <v>66</v>
      </c>
      <c r="B3" s="20" t="s">
        <v>67</v>
      </c>
      <c r="C3" s="21" t="s">
        <v>0</v>
      </c>
    </row>
    <row r="4" spans="1:9" ht="16.2" customHeight="1" x14ac:dyDescent="0.25">
      <c r="A4" s="17" t="s">
        <v>68</v>
      </c>
      <c r="B4" s="593" t="s">
        <v>69</v>
      </c>
      <c r="C4" s="17"/>
    </row>
    <row r="5" spans="1:9" ht="16.2" customHeight="1" x14ac:dyDescent="0.25">
      <c r="A5" s="17" t="s">
        <v>70</v>
      </c>
      <c r="B5" s="593" t="s">
        <v>71</v>
      </c>
      <c r="C5" s="17"/>
    </row>
    <row r="6" spans="1:9" ht="16.2" customHeight="1" x14ac:dyDescent="0.25">
      <c r="A6" s="465" t="s">
        <v>72</v>
      </c>
      <c r="B6" s="592" t="s">
        <v>73</v>
      </c>
      <c r="C6" s="17"/>
    </row>
    <row r="7" spans="1:9" ht="92.25" customHeight="1" x14ac:dyDescent="0.25">
      <c r="A7" s="17" t="s">
        <v>74</v>
      </c>
      <c r="B7" s="591" t="s">
        <v>75</v>
      </c>
      <c r="C7" s="18" t="s">
        <v>76</v>
      </c>
      <c r="D7" s="109"/>
    </row>
    <row r="8" spans="1:9" ht="97.2" customHeight="1" x14ac:dyDescent="0.3">
      <c r="A8" s="17" t="s">
        <v>77</v>
      </c>
      <c r="B8"/>
      <c r="C8" s="178" t="s">
        <v>78</v>
      </c>
      <c r="D8" s="141"/>
      <c r="I8" s="4"/>
    </row>
    <row r="9" spans="1:9" ht="32.4" customHeight="1" x14ac:dyDescent="0.25">
      <c r="A9" s="14" t="s">
        <v>79</v>
      </c>
      <c r="B9" s="177" t="s">
        <v>80</v>
      </c>
      <c r="C9" s="181" t="s">
        <v>81</v>
      </c>
    </row>
    <row r="10" spans="1:9" ht="21" customHeight="1" x14ac:dyDescent="0.25">
      <c r="A10" s="14" t="s">
        <v>82</v>
      </c>
      <c r="B10" s="108">
        <v>3</v>
      </c>
      <c r="C10" s="179" t="s">
        <v>83</v>
      </c>
    </row>
    <row r="11" spans="1:9" ht="24" customHeight="1" x14ac:dyDescent="0.25">
      <c r="A11" s="15" t="s">
        <v>84</v>
      </c>
      <c r="B11" s="593">
        <v>3</v>
      </c>
      <c r="C11" s="36" t="s">
        <v>85</v>
      </c>
    </row>
    <row r="12" spans="1:9" ht="24" customHeight="1" x14ac:dyDescent="0.25">
      <c r="A12" s="439" t="s">
        <v>86</v>
      </c>
      <c r="B12" s="585">
        <v>53</v>
      </c>
      <c r="C12" s="36"/>
    </row>
    <row r="13" spans="1:9" ht="24.75" customHeight="1" x14ac:dyDescent="0.25">
      <c r="A13" s="15" t="s">
        <v>87</v>
      </c>
      <c r="B13" s="593" t="s">
        <v>88</v>
      </c>
      <c r="C13" s="112" t="s">
        <v>89</v>
      </c>
    </row>
    <row r="14" spans="1:9" ht="44.7" customHeight="1" x14ac:dyDescent="0.25">
      <c r="A14" s="15" t="s">
        <v>90</v>
      </c>
      <c r="B14" s="591" t="s">
        <v>91</v>
      </c>
      <c r="C14" s="18"/>
    </row>
    <row r="15" spans="1:9" ht="14.7" customHeight="1" x14ac:dyDescent="0.25">
      <c r="A15" s="14" t="s">
        <v>92</v>
      </c>
      <c r="B15" s="16" t="s">
        <v>93</v>
      </c>
      <c r="C15" s="17"/>
    </row>
    <row r="16" spans="1:9" ht="26.4" x14ac:dyDescent="0.25">
      <c r="A16" s="14" t="s">
        <v>94</v>
      </c>
      <c r="B16" s="591" t="s">
        <v>95</v>
      </c>
      <c r="C16" s="18" t="s">
        <v>96</v>
      </c>
    </row>
    <row r="17" spans="1:5" ht="26.4" x14ac:dyDescent="0.25">
      <c r="A17" s="14" t="s">
        <v>97</v>
      </c>
      <c r="B17" s="593" t="s">
        <v>98</v>
      </c>
      <c r="C17" s="18" t="s">
        <v>96</v>
      </c>
    </row>
    <row r="18" spans="1:5" x14ac:dyDescent="0.25">
      <c r="A18" s="14" t="s">
        <v>99</v>
      </c>
      <c r="B18" s="591" t="s">
        <v>100</v>
      </c>
      <c r="C18" s="17" t="s">
        <v>83</v>
      </c>
    </row>
    <row r="21" spans="1:5" ht="15.6" hidden="1" x14ac:dyDescent="0.25">
      <c r="A21" s="681" t="s">
        <v>101</v>
      </c>
      <c r="B21" s="682"/>
      <c r="C21" s="682"/>
      <c r="D21" s="682"/>
      <c r="E21" s="683"/>
    </row>
    <row r="22" spans="1:5" ht="14.4" hidden="1" x14ac:dyDescent="0.25">
      <c r="A22" s="354" t="s">
        <v>102</v>
      </c>
      <c r="B22" s="368" t="s">
        <v>103</v>
      </c>
      <c r="C22" s="368" t="s">
        <v>104</v>
      </c>
      <c r="D22" s="368" t="s">
        <v>105</v>
      </c>
      <c r="E22" s="355" t="s">
        <v>106</v>
      </c>
    </row>
    <row r="23" spans="1:5" ht="123.75" hidden="1" customHeight="1" x14ac:dyDescent="0.25">
      <c r="A23" s="356" t="s">
        <v>107</v>
      </c>
      <c r="B23" s="366"/>
      <c r="C23" s="366"/>
      <c r="D23" s="366"/>
      <c r="E23" s="369"/>
    </row>
    <row r="24" spans="1:5" ht="14.4" hidden="1" x14ac:dyDescent="0.25">
      <c r="A24" s="356" t="s">
        <v>84</v>
      </c>
      <c r="B24" s="366">
        <v>3</v>
      </c>
      <c r="C24" s="366">
        <v>4</v>
      </c>
      <c r="D24" s="366">
        <v>2</v>
      </c>
      <c r="E24" s="407">
        <v>4</v>
      </c>
    </row>
    <row r="25" spans="1:5" ht="14.4" hidden="1" x14ac:dyDescent="0.25">
      <c r="A25" s="357" t="s">
        <v>108</v>
      </c>
      <c r="B25" s="370"/>
      <c r="C25" s="370"/>
      <c r="D25" s="370"/>
      <c r="E25" s="358"/>
    </row>
    <row r="26" spans="1:5" ht="14.4" hidden="1" x14ac:dyDescent="0.25">
      <c r="A26" s="356" t="s">
        <v>109</v>
      </c>
      <c r="B26" s="408">
        <v>32407.759999999998</v>
      </c>
      <c r="C26" s="408">
        <v>43206.19</v>
      </c>
      <c r="D26" s="408">
        <v>29986.209299999999</v>
      </c>
      <c r="E26" s="409">
        <v>43201.815600000002</v>
      </c>
    </row>
    <row r="27" spans="1:5" ht="14.4" hidden="1" x14ac:dyDescent="0.25">
      <c r="A27" s="356" t="s">
        <v>110</v>
      </c>
      <c r="B27" s="408">
        <v>9451.4</v>
      </c>
      <c r="C27" s="408">
        <v>10801.55</v>
      </c>
      <c r="D27" s="408">
        <v>14993.050800000001</v>
      </c>
      <c r="E27" s="409">
        <v>10800.5077</v>
      </c>
    </row>
    <row r="28" spans="1:5" ht="14.4" hidden="1" x14ac:dyDescent="0.25">
      <c r="A28" s="356" t="s">
        <v>111</v>
      </c>
      <c r="B28" s="408">
        <v>13921.6</v>
      </c>
      <c r="C28" s="408">
        <v>18242.099999999999</v>
      </c>
      <c r="D28" s="408">
        <v>11939.437099999999</v>
      </c>
      <c r="E28" s="409">
        <v>18240.3073</v>
      </c>
    </row>
    <row r="29" spans="1:5" ht="14.4" hidden="1" x14ac:dyDescent="0.25">
      <c r="A29" s="356" t="s">
        <v>112</v>
      </c>
      <c r="B29" s="408">
        <v>1457.74</v>
      </c>
      <c r="C29" s="408">
        <v>1983.11</v>
      </c>
      <c r="D29" s="408">
        <v>4775.7317999999996</v>
      </c>
      <c r="E29" s="409">
        <v>1983.7887000000001</v>
      </c>
    </row>
    <row r="30" spans="1:5" ht="14.4" hidden="1" x14ac:dyDescent="0.25">
      <c r="A30" s="356" t="s">
        <v>113</v>
      </c>
      <c r="B30" s="408">
        <v>0</v>
      </c>
      <c r="C30" s="408">
        <v>0</v>
      </c>
      <c r="D30" s="408">
        <v>0</v>
      </c>
      <c r="E30" s="409">
        <v>0</v>
      </c>
    </row>
    <row r="31" spans="1:5" ht="14.4" hidden="1" x14ac:dyDescent="0.25">
      <c r="A31" s="356" t="s">
        <v>114</v>
      </c>
      <c r="B31" s="408">
        <v>10.47</v>
      </c>
      <c r="C31" s="408">
        <v>10.87</v>
      </c>
      <c r="D31" s="408">
        <v>40</v>
      </c>
      <c r="E31" s="409">
        <v>10.88</v>
      </c>
    </row>
    <row r="32" spans="1:5" ht="14.4" hidden="1" x14ac:dyDescent="0.25">
      <c r="A32" s="354" t="s">
        <v>115</v>
      </c>
      <c r="B32" s="368"/>
      <c r="C32" s="368"/>
      <c r="D32" s="368"/>
      <c r="E32" s="355"/>
    </row>
    <row r="33" spans="1:5" ht="14.4" hidden="1" x14ac:dyDescent="0.25">
      <c r="A33" s="356" t="s">
        <v>116</v>
      </c>
      <c r="B33" s="408">
        <v>201.26</v>
      </c>
      <c r="C33" s="408">
        <v>231.57</v>
      </c>
      <c r="D33" s="408">
        <v>126.31489999999999</v>
      </c>
      <c r="E33" s="409">
        <v>285.77</v>
      </c>
    </row>
    <row r="34" spans="1:5" ht="28.8" hidden="1" x14ac:dyDescent="0.25">
      <c r="A34" s="356" t="s">
        <v>117</v>
      </c>
      <c r="B34" s="408">
        <f>IFERROR(B33/B26*1000,0)</f>
        <v>6.2102410040064484</v>
      </c>
      <c r="C34" s="408">
        <f>IFERROR(C33/C26*1000,0)</f>
        <v>5.3596486984851008</v>
      </c>
      <c r="D34" s="408">
        <f>IFERROR(D33/D26*1000,0)</f>
        <v>4.2124330800292249</v>
      </c>
      <c r="E34" s="409">
        <f>IFERROR(E33/E26*1000,0)</f>
        <v>6.614768292284456</v>
      </c>
    </row>
    <row r="35" spans="1:5" ht="14.4" hidden="1" x14ac:dyDescent="0.25">
      <c r="A35" s="356" t="s">
        <v>118</v>
      </c>
      <c r="B35" s="408">
        <v>14483.061100000001</v>
      </c>
      <c r="C35" s="408">
        <v>41841.235099999998</v>
      </c>
      <c r="D35" s="408">
        <v>19785.091400000001</v>
      </c>
      <c r="E35" s="409">
        <v>19751.864099999999</v>
      </c>
    </row>
    <row r="36" spans="1:5" ht="14.4" hidden="1" x14ac:dyDescent="0.25">
      <c r="A36" s="356" t="s">
        <v>119</v>
      </c>
      <c r="B36" s="408">
        <f>IFERROR(B35/B26,0)</f>
        <v>0.44690102308829743</v>
      </c>
      <c r="C36" s="408">
        <f>IFERROR(C35/C26,0)</f>
        <v>0.96840834843340728</v>
      </c>
      <c r="D36" s="408">
        <f>IFERROR(D35/D26,0)</f>
        <v>0.65980635304909985</v>
      </c>
      <c r="E36" s="409">
        <f>IFERROR(E35/E26,0)</f>
        <v>0.45719986129471835</v>
      </c>
    </row>
    <row r="37" spans="1:5" ht="14.4" hidden="1" x14ac:dyDescent="0.25">
      <c r="A37" s="356" t="s">
        <v>120</v>
      </c>
      <c r="B37" s="408">
        <v>18166.375899999999</v>
      </c>
      <c r="C37" s="408">
        <v>394043.77549999999</v>
      </c>
      <c r="D37" s="408">
        <v>7166.2398000000003</v>
      </c>
      <c r="E37" s="409">
        <v>89617.539399999994</v>
      </c>
    </row>
    <row r="38" spans="1:5" ht="14.4" hidden="1" x14ac:dyDescent="0.25">
      <c r="A38" s="356" t="s">
        <v>121</v>
      </c>
      <c r="B38" s="408">
        <f>IFERROR(B37/B26,0)</f>
        <v>0.56055635748968768</v>
      </c>
      <c r="C38" s="408">
        <f>IFERROR(C37/C26,0)</f>
        <v>9.1200769033326008</v>
      </c>
      <c r="D38" s="408">
        <f>IFERROR(D37/D26,0)</f>
        <v>0.23898451879344418</v>
      </c>
      <c r="E38" s="409">
        <f>IFERROR(E37/E26,0)</f>
        <v>2.0743928965800222</v>
      </c>
    </row>
    <row r="39" spans="1:5" ht="14.4" hidden="1" x14ac:dyDescent="0.25">
      <c r="A39" s="359" t="s">
        <v>122</v>
      </c>
      <c r="B39" s="371"/>
      <c r="C39" s="371"/>
      <c r="D39" s="371"/>
      <c r="E39" s="360"/>
    </row>
    <row r="40" spans="1:5" ht="14.4" hidden="1" x14ac:dyDescent="0.25">
      <c r="A40" s="356" t="s">
        <v>123</v>
      </c>
      <c r="B40" s="408">
        <v>3250.6511999999998</v>
      </c>
      <c r="C40" s="408">
        <v>3685.7170999999998</v>
      </c>
      <c r="D40" s="408">
        <v>4497.9304000000002</v>
      </c>
      <c r="E40" s="409">
        <v>1161.1461999999999</v>
      </c>
    </row>
    <row r="41" spans="1:5" ht="14.4" hidden="1" x14ac:dyDescent="0.25">
      <c r="A41" s="356" t="s">
        <v>124</v>
      </c>
      <c r="B41" s="408">
        <f>IFERROR(B40/B26,0)</f>
        <v>0.10030471714182035</v>
      </c>
      <c r="C41" s="408">
        <f>IFERROR(C40/C26,0)</f>
        <v>8.530530231895013E-2</v>
      </c>
      <c r="D41" s="408">
        <f>IFERROR(D40/D26,0)</f>
        <v>0.14999996681807995</v>
      </c>
      <c r="E41" s="409">
        <f>IFERROR(E40/E26,0)</f>
        <v>2.6877254667972795E-2</v>
      </c>
    </row>
    <row r="42" spans="1:5" ht="28.8" hidden="1" x14ac:dyDescent="0.25">
      <c r="A42" s="356" t="s">
        <v>125</v>
      </c>
      <c r="B42" s="408">
        <f>IFERROR(B40/B33,0)</f>
        <v>16.151501540296135</v>
      </c>
      <c r="C42" s="408">
        <f>IFERROR(C40/C33,0)</f>
        <v>15.916211512717537</v>
      </c>
      <c r="D42" s="408">
        <f>IFERROR(D40/D33,0)</f>
        <v>35.608866412434324</v>
      </c>
      <c r="E42" s="409">
        <f>IFERROR(E40/E33,0)</f>
        <v>4.0632193722224166</v>
      </c>
    </row>
    <row r="43" spans="1:5" ht="14.4" hidden="1" x14ac:dyDescent="0.25">
      <c r="A43" s="361" t="s">
        <v>126</v>
      </c>
      <c r="B43" s="367"/>
      <c r="C43" s="367"/>
      <c r="D43" s="367"/>
      <c r="E43" s="362"/>
    </row>
    <row r="44" spans="1:5" ht="86.4" hidden="1" x14ac:dyDescent="0.25">
      <c r="A44" s="356" t="s">
        <v>127</v>
      </c>
      <c r="B44" s="366" t="s">
        <v>128</v>
      </c>
      <c r="C44" s="366" t="s">
        <v>129</v>
      </c>
      <c r="D44" s="366" t="s">
        <v>130</v>
      </c>
      <c r="E44" s="407" t="s">
        <v>131</v>
      </c>
    </row>
    <row r="45" spans="1:5" ht="29.4" hidden="1" thickBot="1" x14ac:dyDescent="0.3">
      <c r="A45" s="410" t="s">
        <v>132</v>
      </c>
      <c r="B45" s="411" t="s">
        <v>133</v>
      </c>
      <c r="C45" s="411" t="s">
        <v>134</v>
      </c>
      <c r="D45" s="411" t="s">
        <v>133</v>
      </c>
      <c r="E45" s="412" t="s">
        <v>135</v>
      </c>
    </row>
    <row r="46" spans="1:5" ht="14.4" x14ac:dyDescent="0.25">
      <c r="A46" s="366"/>
      <c r="B46" s="366"/>
      <c r="C46" s="366"/>
      <c r="D46" s="366"/>
      <c r="E46" s="366"/>
    </row>
    <row r="47" spans="1:5" ht="14.4" x14ac:dyDescent="0.25">
      <c r="A47" s="366"/>
      <c r="B47" s="366"/>
      <c r="C47" s="366"/>
      <c r="D47" s="366"/>
      <c r="E47" s="366"/>
    </row>
    <row r="48" spans="1:5" ht="14.4" x14ac:dyDescent="0.25">
      <c r="A48" s="368"/>
      <c r="B48" s="368"/>
      <c r="C48" s="368"/>
      <c r="D48" s="368"/>
      <c r="E48" s="368"/>
    </row>
    <row r="49" spans="1:5" ht="87.75" customHeight="1" x14ac:dyDescent="0.25">
      <c r="A49" s="366"/>
      <c r="B49" s="366"/>
      <c r="C49" s="366"/>
      <c r="D49" s="366"/>
      <c r="E49" s="366"/>
    </row>
    <row r="50" spans="1:5" ht="47.25" customHeight="1" x14ac:dyDescent="0.25">
      <c r="A50" s="366"/>
      <c r="B50" s="366"/>
      <c r="C50" s="366"/>
      <c r="D50" s="366"/>
      <c r="E50" s="366"/>
    </row>
    <row r="53" spans="1:5" ht="16.95" customHeight="1" x14ac:dyDescent="0.25">
      <c r="A53" s="363"/>
    </row>
    <row r="54" spans="1:5" ht="14.7" customHeight="1" x14ac:dyDescent="0.25">
      <c r="A54" s="677"/>
      <c r="B54" s="677"/>
      <c r="C54" s="4"/>
    </row>
    <row r="55" spans="1:5" ht="18" customHeight="1" x14ac:dyDescent="0.25">
      <c r="A55" s="677"/>
      <c r="B55" s="677"/>
      <c r="C55" s="7"/>
    </row>
    <row r="56" spans="1:5" ht="14.7" customHeight="1" x14ac:dyDescent="0.25"/>
    <row r="57" spans="1:5" ht="14.7" customHeight="1" x14ac:dyDescent="0.25"/>
    <row r="58" spans="1:5" ht="14.7" customHeight="1" x14ac:dyDescent="0.25"/>
    <row r="61" spans="1:5" ht="14.7" customHeight="1" x14ac:dyDescent="0.25"/>
    <row r="62" spans="1:5" ht="14.7" customHeight="1" x14ac:dyDescent="0.25"/>
  </sheetData>
  <mergeCells count="5">
    <mergeCell ref="A55:B55"/>
    <mergeCell ref="A54:B54"/>
    <mergeCell ref="A1:C1"/>
    <mergeCell ref="A2:C2"/>
    <mergeCell ref="A21:E21"/>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V87"/>
  <sheetViews>
    <sheetView zoomScale="85" zoomScaleNormal="85" workbookViewId="0">
      <selection sqref="A1:M1"/>
    </sheetView>
  </sheetViews>
  <sheetFormatPr defaultColWidth="8.6640625" defaultRowHeight="13.2" x14ac:dyDescent="0.25"/>
  <cols>
    <col min="1" max="1" width="19.44140625" style="5" customWidth="1"/>
    <col min="2" max="2" width="34.6640625" style="5" customWidth="1"/>
    <col min="3" max="3" width="49.88671875" style="5" customWidth="1"/>
    <col min="4" max="4" width="26.33203125" style="5" customWidth="1"/>
    <col min="5" max="5" width="25.109375" style="5" customWidth="1"/>
    <col min="6" max="6" width="13.88671875" style="5" customWidth="1"/>
    <col min="7" max="7" width="12.6640625" style="5" customWidth="1"/>
    <col min="8" max="8" width="10.6640625" style="5" customWidth="1"/>
    <col min="9" max="10" width="11.33203125" style="5" customWidth="1"/>
    <col min="11" max="11" width="21.5546875" style="5" customWidth="1"/>
    <col min="12" max="12" width="39.44140625" style="5" customWidth="1"/>
    <col min="13" max="13" width="40.33203125" style="5" customWidth="1"/>
    <col min="14" max="14" width="22.33203125" style="5" bestFit="1" customWidth="1"/>
    <col min="15" max="16" width="16" style="5" customWidth="1"/>
    <col min="17" max="17" width="13.33203125" style="5" customWidth="1"/>
    <col min="18" max="18" width="16.33203125" style="5" customWidth="1"/>
    <col min="19" max="19" width="12.44140625" style="5" customWidth="1"/>
    <col min="20" max="24" width="17.33203125" style="5" customWidth="1"/>
    <col min="25" max="16384" width="8.6640625" style="5"/>
  </cols>
  <sheetData>
    <row r="1" spans="1:22" ht="25.95" customHeight="1" x14ac:dyDescent="0.35">
      <c r="A1" s="672" t="s">
        <v>136</v>
      </c>
      <c r="B1" s="672"/>
      <c r="C1" s="672"/>
      <c r="D1" s="672"/>
      <c r="E1" s="672"/>
      <c r="F1" s="672"/>
      <c r="G1" s="672"/>
      <c r="H1" s="672"/>
      <c r="I1" s="672"/>
      <c r="J1" s="672"/>
      <c r="K1" s="672"/>
      <c r="L1" s="672"/>
      <c r="M1" s="672"/>
      <c r="Q1" s="457" t="s">
        <v>137</v>
      </c>
      <c r="R1" s="458"/>
      <c r="V1" s="528" t="s">
        <v>138</v>
      </c>
    </row>
    <row r="2" spans="1:22" ht="39.6" x14ac:dyDescent="0.3">
      <c r="A2" s="466" t="s">
        <v>139</v>
      </c>
      <c r="B2" s="467" t="s">
        <v>140</v>
      </c>
      <c r="C2" s="425" t="s">
        <v>141</v>
      </c>
      <c r="D2" s="21" t="s">
        <v>142</v>
      </c>
      <c r="E2" s="21" t="s">
        <v>143</v>
      </c>
      <c r="F2" s="34" t="s">
        <v>144</v>
      </c>
      <c r="G2" s="35" t="s">
        <v>145</v>
      </c>
      <c r="H2" s="35" t="s">
        <v>146</v>
      </c>
      <c r="I2" s="34" t="s">
        <v>147</v>
      </c>
      <c r="J2" s="34" t="s">
        <v>148</v>
      </c>
      <c r="K2" s="34" t="s">
        <v>149</v>
      </c>
      <c r="L2" s="34" t="s">
        <v>150</v>
      </c>
      <c r="M2" s="34" t="s">
        <v>59</v>
      </c>
      <c r="N2" s="1"/>
    </row>
    <row r="3" spans="1:22" ht="15.6" customHeight="1" x14ac:dyDescent="0.25">
      <c r="A3" s="463" t="s">
        <v>60</v>
      </c>
      <c r="B3" s="468" t="s">
        <v>151</v>
      </c>
      <c r="C3" s="238" t="s">
        <v>152</v>
      </c>
      <c r="D3" s="238" t="s">
        <v>153</v>
      </c>
      <c r="E3" s="274" t="s">
        <v>154</v>
      </c>
      <c r="F3" s="22" t="s">
        <v>155</v>
      </c>
      <c r="G3" s="239">
        <f>H3/$H$51</f>
        <v>5.4998605138029594E-2</v>
      </c>
      <c r="H3" s="113">
        <v>1782.21</v>
      </c>
      <c r="I3" s="130">
        <v>19605.240000000002</v>
      </c>
      <c r="J3" s="114">
        <v>1</v>
      </c>
      <c r="K3" s="22">
        <f>(H3/1000)*L3</f>
        <v>8.9110499999999995</v>
      </c>
      <c r="L3" s="113">
        <v>5</v>
      </c>
      <c r="M3" s="37"/>
    </row>
    <row r="4" spans="1:22" ht="15.6" customHeight="1" x14ac:dyDescent="0.25">
      <c r="A4" s="463" t="s">
        <v>60</v>
      </c>
      <c r="B4" s="468" t="s">
        <v>156</v>
      </c>
      <c r="C4" s="238" t="s">
        <v>152</v>
      </c>
      <c r="D4" s="238" t="s">
        <v>157</v>
      </c>
      <c r="E4" s="274" t="s">
        <v>154</v>
      </c>
      <c r="F4" s="22" t="s">
        <v>155</v>
      </c>
      <c r="G4" s="239">
        <f>H4/$H$51</f>
        <v>4.66649220605444E-2</v>
      </c>
      <c r="H4" s="113">
        <v>1512.16</v>
      </c>
      <c r="I4" s="130">
        <v>13610.11</v>
      </c>
      <c r="J4" s="114">
        <v>1</v>
      </c>
      <c r="K4" s="22">
        <f t="shared" ref="K4:K50" si="0">(H4/1000)*L4</f>
        <v>7.5608000000000004</v>
      </c>
      <c r="L4" s="113">
        <v>5</v>
      </c>
      <c r="M4" s="37"/>
    </row>
    <row r="5" spans="1:22" ht="15.6" customHeight="1" x14ac:dyDescent="0.25">
      <c r="A5" s="463" t="s">
        <v>60</v>
      </c>
      <c r="B5" s="468" t="s">
        <v>158</v>
      </c>
      <c r="C5" s="238" t="s">
        <v>152</v>
      </c>
      <c r="D5" s="238" t="s">
        <v>159</v>
      </c>
      <c r="E5" s="274" t="s">
        <v>154</v>
      </c>
      <c r="F5" s="22" t="s">
        <v>155</v>
      </c>
      <c r="G5" s="239">
        <f>H5/$H$51</f>
        <v>4.66649220605444E-2</v>
      </c>
      <c r="H5" s="113">
        <v>1512.16</v>
      </c>
      <c r="I5" s="142">
        <v>13610.11</v>
      </c>
      <c r="J5" s="114">
        <v>1</v>
      </c>
      <c r="K5" s="22">
        <f t="shared" si="0"/>
        <v>7.5608000000000004</v>
      </c>
      <c r="L5" s="113">
        <v>5</v>
      </c>
      <c r="M5" s="37"/>
    </row>
    <row r="6" spans="1:22" ht="15.6" customHeight="1" x14ac:dyDescent="0.25">
      <c r="A6" s="463" t="s">
        <v>60</v>
      </c>
      <c r="B6" s="238" t="s">
        <v>160</v>
      </c>
      <c r="C6" s="238" t="s">
        <v>161</v>
      </c>
      <c r="D6" s="238" t="s">
        <v>153</v>
      </c>
      <c r="E6" s="274" t="s">
        <v>154</v>
      </c>
      <c r="F6" s="22" t="s">
        <v>155</v>
      </c>
      <c r="G6" s="239">
        <f t="shared" ref="G6" ca="1" si="1">H6/$G$51</f>
        <v>1.0832717937355204E-2</v>
      </c>
      <c r="H6" s="113">
        <v>351.03</v>
      </c>
      <c r="I6" s="130">
        <v>3861.57</v>
      </c>
      <c r="J6" s="114">
        <v>1</v>
      </c>
      <c r="K6" s="22">
        <f t="shared" si="0"/>
        <v>11.583989999999998</v>
      </c>
      <c r="L6" s="114">
        <v>33</v>
      </c>
      <c r="M6" s="37"/>
    </row>
    <row r="7" spans="1:22" ht="15.6" customHeight="1" x14ac:dyDescent="0.25">
      <c r="A7" s="463" t="s">
        <v>60</v>
      </c>
      <c r="B7" s="468" t="s">
        <v>162</v>
      </c>
      <c r="C7" s="238" t="s">
        <v>163</v>
      </c>
      <c r="D7" s="238" t="s">
        <v>153</v>
      </c>
      <c r="E7" s="274" t="s">
        <v>164</v>
      </c>
      <c r="F7" s="22" t="s">
        <v>155</v>
      </c>
      <c r="G7" s="239">
        <f t="shared" ref="G7:G33" si="2">H7/$H$51</f>
        <v>1.0832707908497049E-2</v>
      </c>
      <c r="H7" s="113">
        <v>351.03</v>
      </c>
      <c r="I7" s="130">
        <v>3861.57</v>
      </c>
      <c r="J7" s="114">
        <v>1</v>
      </c>
      <c r="K7" s="22">
        <f t="shared" si="0"/>
        <v>3.5102999999999995</v>
      </c>
      <c r="L7" s="114">
        <v>10</v>
      </c>
      <c r="M7" s="37"/>
    </row>
    <row r="8" spans="1:22" ht="105.6" x14ac:dyDescent="0.25">
      <c r="A8" s="463" t="s">
        <v>60</v>
      </c>
      <c r="B8" s="468" t="s">
        <v>165</v>
      </c>
      <c r="C8" s="238" t="s">
        <v>161</v>
      </c>
      <c r="D8" s="238" t="s">
        <v>153</v>
      </c>
      <c r="E8" s="274" t="s">
        <v>154</v>
      </c>
      <c r="F8" s="22" t="s">
        <v>155</v>
      </c>
      <c r="G8" s="239">
        <f t="shared" si="2"/>
        <v>5.4168168509201128E-2</v>
      </c>
      <c r="H8" s="113">
        <v>1755.3</v>
      </c>
      <c r="I8" s="130">
        <v>19309.259999999998</v>
      </c>
      <c r="J8" s="114">
        <v>1</v>
      </c>
      <c r="K8" s="22">
        <f>(H8/1000)*L8</f>
        <v>26.329499999999999</v>
      </c>
      <c r="L8" s="594">
        <v>15</v>
      </c>
      <c r="M8" s="462" t="s">
        <v>166</v>
      </c>
    </row>
    <row r="9" spans="1:22" ht="15.6" customHeight="1" x14ac:dyDescent="0.25">
      <c r="A9" s="463" t="s">
        <v>60</v>
      </c>
      <c r="B9" s="468" t="s">
        <v>167</v>
      </c>
      <c r="C9" s="238" t="s">
        <v>168</v>
      </c>
      <c r="D9" s="238" t="s">
        <v>153</v>
      </c>
      <c r="E9" s="274" t="s">
        <v>169</v>
      </c>
      <c r="F9" s="22" t="s">
        <v>155</v>
      </c>
      <c r="G9" s="239">
        <f t="shared" si="2"/>
        <v>4.3332374622893487E-2</v>
      </c>
      <c r="H9" s="113">
        <v>1404.1699999999998</v>
      </c>
      <c r="I9" s="130">
        <v>15446.26</v>
      </c>
      <c r="J9" s="114">
        <v>1</v>
      </c>
      <c r="K9" s="22">
        <f t="shared" si="0"/>
        <v>7.0208499999999994</v>
      </c>
      <c r="L9" s="114">
        <v>5</v>
      </c>
      <c r="M9" s="37"/>
    </row>
    <row r="10" spans="1:22" ht="15.6" customHeight="1" x14ac:dyDescent="0.25">
      <c r="A10" s="463" t="s">
        <v>60</v>
      </c>
      <c r="B10" s="468" t="s">
        <v>170</v>
      </c>
      <c r="C10" s="238" t="s">
        <v>171</v>
      </c>
      <c r="D10" s="238" t="s">
        <v>153</v>
      </c>
      <c r="E10" s="530" t="s">
        <v>172</v>
      </c>
      <c r="F10" s="22" t="s">
        <v>155</v>
      </c>
      <c r="G10" s="239">
        <f t="shared" si="2"/>
        <v>6.6663292664260404E-3</v>
      </c>
      <c r="H10" s="113">
        <v>216.02</v>
      </c>
      <c r="I10" s="130">
        <v>2376.35</v>
      </c>
      <c r="J10" s="114">
        <v>1</v>
      </c>
      <c r="K10" s="265">
        <f t="shared" si="0"/>
        <v>0</v>
      </c>
      <c r="L10" s="114">
        <v>0</v>
      </c>
      <c r="M10" s="37"/>
      <c r="P10" s="459" t="s">
        <v>173</v>
      </c>
    </row>
    <row r="11" spans="1:22" ht="15.6" customHeight="1" x14ac:dyDescent="0.25">
      <c r="A11" s="463" t="s">
        <v>60</v>
      </c>
      <c r="B11" s="468" t="s">
        <v>174</v>
      </c>
      <c r="C11" s="238" t="s">
        <v>171</v>
      </c>
      <c r="D11" s="238" t="s">
        <v>157</v>
      </c>
      <c r="E11" s="530" t="s">
        <v>172</v>
      </c>
      <c r="F11" s="22" t="s">
        <v>155</v>
      </c>
      <c r="G11" s="239">
        <f t="shared" si="2"/>
        <v>6.6663292664260404E-3</v>
      </c>
      <c r="H11" s="113">
        <v>216.02</v>
      </c>
      <c r="I11" s="130">
        <v>1944.29</v>
      </c>
      <c r="J11" s="114">
        <v>1</v>
      </c>
      <c r="K11" s="265">
        <f t="shared" si="0"/>
        <v>0</v>
      </c>
      <c r="L11" s="114">
        <v>0</v>
      </c>
      <c r="M11" s="37"/>
    </row>
    <row r="12" spans="1:22" ht="15.6" customHeight="1" x14ac:dyDescent="0.25">
      <c r="A12" s="463" t="s">
        <v>60</v>
      </c>
      <c r="B12" s="468" t="s">
        <v>175</v>
      </c>
      <c r="C12" s="238" t="s">
        <v>171</v>
      </c>
      <c r="D12" s="238" t="s">
        <v>159</v>
      </c>
      <c r="E12" s="530" t="s">
        <v>172</v>
      </c>
      <c r="F12" s="22" t="s">
        <v>155</v>
      </c>
      <c r="G12" s="239">
        <f t="shared" si="2"/>
        <v>6.6663292664260404E-3</v>
      </c>
      <c r="H12" s="113">
        <v>216.02</v>
      </c>
      <c r="I12" s="142">
        <v>1944.29</v>
      </c>
      <c r="J12" s="114">
        <v>1</v>
      </c>
      <c r="K12" s="265">
        <f t="shared" si="0"/>
        <v>0</v>
      </c>
      <c r="L12" s="114">
        <v>0</v>
      </c>
      <c r="M12" s="37"/>
    </row>
    <row r="13" spans="1:22" ht="15.6" customHeight="1" x14ac:dyDescent="0.25">
      <c r="A13" s="463" t="s">
        <v>60</v>
      </c>
      <c r="B13" s="468" t="s">
        <v>176</v>
      </c>
      <c r="C13" s="238" t="s">
        <v>177</v>
      </c>
      <c r="D13" s="238" t="s">
        <v>153</v>
      </c>
      <c r="E13" s="274" t="s">
        <v>164</v>
      </c>
      <c r="F13" s="22" t="s">
        <v>155</v>
      </c>
      <c r="G13" s="239">
        <f t="shared" si="2"/>
        <v>4.1663786420710102E-3</v>
      </c>
      <c r="H13" s="113">
        <v>135.01</v>
      </c>
      <c r="I13" s="130">
        <v>1485.22</v>
      </c>
      <c r="J13" s="114">
        <v>1</v>
      </c>
      <c r="K13" s="265">
        <f t="shared" si="0"/>
        <v>0.27001999999999998</v>
      </c>
      <c r="L13" s="114">
        <v>2</v>
      </c>
      <c r="M13" s="37"/>
    </row>
    <row r="14" spans="1:22" ht="15.6" customHeight="1" x14ac:dyDescent="0.25">
      <c r="A14" s="463" t="s">
        <v>60</v>
      </c>
      <c r="B14" s="468" t="s">
        <v>178</v>
      </c>
      <c r="C14" s="238" t="s">
        <v>177</v>
      </c>
      <c r="D14" s="238" t="s">
        <v>157</v>
      </c>
      <c r="E14" s="274" t="s">
        <v>164</v>
      </c>
      <c r="F14" s="22" t="s">
        <v>155</v>
      </c>
      <c r="G14" s="239">
        <f t="shared" si="2"/>
        <v>4.1663786420710102E-3</v>
      </c>
      <c r="H14" s="113">
        <v>135.01</v>
      </c>
      <c r="I14" s="130">
        <v>1215.18</v>
      </c>
      <c r="J14" s="114">
        <v>1</v>
      </c>
      <c r="K14" s="22">
        <f t="shared" si="0"/>
        <v>0.27001999999999998</v>
      </c>
      <c r="L14" s="114">
        <v>2</v>
      </c>
      <c r="M14" s="37"/>
      <c r="N14" s="461"/>
    </row>
    <row r="15" spans="1:22" ht="15.6" customHeight="1" x14ac:dyDescent="0.25">
      <c r="A15" s="463" t="s">
        <v>60</v>
      </c>
      <c r="B15" s="468" t="s">
        <v>179</v>
      </c>
      <c r="C15" s="238" t="s">
        <v>177</v>
      </c>
      <c r="D15" s="238" t="s">
        <v>159</v>
      </c>
      <c r="E15" s="274" t="s">
        <v>164</v>
      </c>
      <c r="F15" s="22" t="s">
        <v>155</v>
      </c>
      <c r="G15" s="239">
        <f t="shared" si="2"/>
        <v>4.1663786420710102E-3</v>
      </c>
      <c r="H15" s="113">
        <v>135.01</v>
      </c>
      <c r="I15" s="142">
        <v>1215.18</v>
      </c>
      <c r="J15" s="114">
        <v>1</v>
      </c>
      <c r="K15" s="22">
        <f t="shared" si="0"/>
        <v>0.27001999999999998</v>
      </c>
      <c r="L15" s="114">
        <v>2</v>
      </c>
      <c r="M15" s="37"/>
      <c r="N15" s="461"/>
    </row>
    <row r="16" spans="1:22" ht="15.6" customHeight="1" x14ac:dyDescent="0.25">
      <c r="A16" s="463" t="s">
        <v>60</v>
      </c>
      <c r="B16" s="468" t="s">
        <v>180</v>
      </c>
      <c r="C16" s="238" t="s">
        <v>181</v>
      </c>
      <c r="D16" s="238" t="s">
        <v>182</v>
      </c>
      <c r="E16" s="274" t="s">
        <v>183</v>
      </c>
      <c r="F16" s="22" t="s">
        <v>155</v>
      </c>
      <c r="G16" s="239">
        <f t="shared" si="2"/>
        <v>1.0833633701840225E-2</v>
      </c>
      <c r="H16" s="113">
        <v>351.06</v>
      </c>
      <c r="I16" s="130">
        <v>3861.85</v>
      </c>
      <c r="J16" s="114">
        <v>1</v>
      </c>
      <c r="K16" s="22">
        <f t="shared" si="0"/>
        <v>1.05318</v>
      </c>
      <c r="L16" s="114">
        <v>3</v>
      </c>
      <c r="M16" s="37"/>
    </row>
    <row r="17" spans="1:17" ht="15.6" customHeight="1" x14ac:dyDescent="0.25">
      <c r="A17" s="463" t="s">
        <v>60</v>
      </c>
      <c r="B17" s="468" t="s">
        <v>184</v>
      </c>
      <c r="C17" s="238" t="s">
        <v>181</v>
      </c>
      <c r="D17" s="238" t="s">
        <v>185</v>
      </c>
      <c r="E17" s="274" t="s">
        <v>183</v>
      </c>
      <c r="F17" s="22" t="s">
        <v>155</v>
      </c>
      <c r="G17" s="239">
        <f t="shared" si="2"/>
        <v>1.0833633701840225E-2</v>
      </c>
      <c r="H17" s="113">
        <v>351.06</v>
      </c>
      <c r="I17" s="130">
        <v>3861.85</v>
      </c>
      <c r="J17" s="114">
        <v>1</v>
      </c>
      <c r="K17" s="22">
        <f t="shared" si="0"/>
        <v>1.05318</v>
      </c>
      <c r="L17" s="114">
        <v>3</v>
      </c>
      <c r="M17" s="37"/>
    </row>
    <row r="18" spans="1:17" ht="15.6" customHeight="1" x14ac:dyDescent="0.25">
      <c r="A18" s="463" t="s">
        <v>60</v>
      </c>
      <c r="B18" s="468" t="s">
        <v>186</v>
      </c>
      <c r="C18" s="238" t="s">
        <v>181</v>
      </c>
      <c r="D18" s="238" t="s">
        <v>187</v>
      </c>
      <c r="E18" s="274" t="s">
        <v>183</v>
      </c>
      <c r="F18" s="22" t="s">
        <v>155</v>
      </c>
      <c r="G18" s="239">
        <f t="shared" si="2"/>
        <v>1.0833633701840225E-2</v>
      </c>
      <c r="H18" s="113">
        <v>351.06</v>
      </c>
      <c r="I18" s="130">
        <v>3861.85</v>
      </c>
      <c r="J18" s="114">
        <v>1</v>
      </c>
      <c r="K18" s="22">
        <f t="shared" si="0"/>
        <v>1.05318</v>
      </c>
      <c r="L18" s="114">
        <v>3</v>
      </c>
      <c r="M18" s="37"/>
    </row>
    <row r="19" spans="1:17" ht="15.6" customHeight="1" x14ac:dyDescent="0.25">
      <c r="A19" s="463" t="s">
        <v>60</v>
      </c>
      <c r="B19" s="468" t="s">
        <v>188</v>
      </c>
      <c r="C19" s="238" t="s">
        <v>181</v>
      </c>
      <c r="D19" s="238" t="s">
        <v>189</v>
      </c>
      <c r="E19" s="274" t="s">
        <v>183</v>
      </c>
      <c r="F19" s="22" t="s">
        <v>155</v>
      </c>
      <c r="G19" s="239">
        <f t="shared" si="2"/>
        <v>1.0832707908497049E-2</v>
      </c>
      <c r="H19" s="113">
        <v>351.03</v>
      </c>
      <c r="I19" s="130">
        <v>3861.57</v>
      </c>
      <c r="J19" s="114">
        <v>1</v>
      </c>
      <c r="K19" s="22">
        <f t="shared" si="0"/>
        <v>1.0530899999999999</v>
      </c>
      <c r="L19" s="114">
        <v>3</v>
      </c>
      <c r="M19" s="37"/>
    </row>
    <row r="20" spans="1:17" ht="15.6" customHeight="1" x14ac:dyDescent="0.25">
      <c r="A20" s="463" t="s">
        <v>60</v>
      </c>
      <c r="B20" s="468" t="s">
        <v>190</v>
      </c>
      <c r="C20" s="238" t="s">
        <v>181</v>
      </c>
      <c r="D20" s="238" t="s">
        <v>191</v>
      </c>
      <c r="E20" s="274" t="s">
        <v>183</v>
      </c>
      <c r="F20" s="22" t="s">
        <v>155</v>
      </c>
      <c r="G20" s="239">
        <f t="shared" si="2"/>
        <v>1.0832707908497049E-2</v>
      </c>
      <c r="H20" s="113">
        <v>351.03</v>
      </c>
      <c r="I20" s="130">
        <v>3861.57</v>
      </c>
      <c r="J20" s="114">
        <v>1</v>
      </c>
      <c r="K20" s="22">
        <f t="shared" si="0"/>
        <v>1.0530899999999999</v>
      </c>
      <c r="L20" s="114">
        <v>3</v>
      </c>
      <c r="M20" s="37"/>
    </row>
    <row r="21" spans="1:17" ht="15.6" customHeight="1" x14ac:dyDescent="0.25">
      <c r="A21" s="463" t="s">
        <v>60</v>
      </c>
      <c r="B21" s="468" t="s">
        <v>192</v>
      </c>
      <c r="C21" s="238" t="s">
        <v>181</v>
      </c>
      <c r="D21" s="238" t="s">
        <v>193</v>
      </c>
      <c r="E21" s="274" t="s">
        <v>183</v>
      </c>
      <c r="F21" s="22" t="s">
        <v>155</v>
      </c>
      <c r="G21" s="239">
        <f t="shared" si="2"/>
        <v>1.0833633701840225E-2</v>
      </c>
      <c r="H21" s="113">
        <v>351.06</v>
      </c>
      <c r="I21" s="130">
        <v>3159.7</v>
      </c>
      <c r="J21" s="114">
        <v>1</v>
      </c>
      <c r="K21" s="22">
        <f t="shared" si="0"/>
        <v>1.05318</v>
      </c>
      <c r="L21" s="114">
        <v>3</v>
      </c>
      <c r="M21" s="37"/>
    </row>
    <row r="22" spans="1:17" ht="15.6" customHeight="1" x14ac:dyDescent="0.25">
      <c r="A22" s="463" t="s">
        <v>60</v>
      </c>
      <c r="B22" s="468" t="s">
        <v>194</v>
      </c>
      <c r="C22" s="238" t="s">
        <v>181</v>
      </c>
      <c r="D22" s="238" t="s">
        <v>195</v>
      </c>
      <c r="E22" s="274" t="s">
        <v>183</v>
      </c>
      <c r="F22" s="22" t="s">
        <v>155</v>
      </c>
      <c r="G22" s="239">
        <f t="shared" si="2"/>
        <v>4.3334534807360901E-2</v>
      </c>
      <c r="H22" s="113">
        <v>1404.24</v>
      </c>
      <c r="I22" s="130">
        <v>12638.78</v>
      </c>
      <c r="J22" s="114">
        <v>1</v>
      </c>
      <c r="K22" s="22">
        <f t="shared" si="0"/>
        <v>4.21272</v>
      </c>
      <c r="L22" s="114">
        <v>3</v>
      </c>
      <c r="M22" s="37"/>
    </row>
    <row r="23" spans="1:17" ht="15.6" customHeight="1" x14ac:dyDescent="0.25">
      <c r="A23" s="463" t="s">
        <v>60</v>
      </c>
      <c r="B23" s="468" t="s">
        <v>196</v>
      </c>
      <c r="C23" s="238" t="s">
        <v>181</v>
      </c>
      <c r="D23" s="238" t="s">
        <v>197</v>
      </c>
      <c r="E23" s="274" t="s">
        <v>183</v>
      </c>
      <c r="F23" s="22" t="s">
        <v>155</v>
      </c>
      <c r="G23" s="239">
        <f t="shared" si="2"/>
        <v>3.5001160327656766E-2</v>
      </c>
      <c r="H23" s="113">
        <v>1134.2</v>
      </c>
      <c r="I23" s="130">
        <v>10208.299999999999</v>
      </c>
      <c r="J23" s="114">
        <v>1</v>
      </c>
      <c r="K23" s="22">
        <f t="shared" si="0"/>
        <v>3.4026000000000005</v>
      </c>
      <c r="L23" s="114">
        <v>3</v>
      </c>
      <c r="M23" s="37"/>
    </row>
    <row r="24" spans="1:17" ht="15.6" customHeight="1" x14ac:dyDescent="0.25">
      <c r="A24" s="463" t="s">
        <v>60</v>
      </c>
      <c r="B24" s="468" t="s">
        <v>198</v>
      </c>
      <c r="C24" s="238" t="s">
        <v>181</v>
      </c>
      <c r="D24" s="238" t="s">
        <v>199</v>
      </c>
      <c r="E24" s="274" t="s">
        <v>183</v>
      </c>
      <c r="F24" s="22" t="s">
        <v>155</v>
      </c>
      <c r="G24" s="239">
        <f t="shared" si="2"/>
        <v>4.3334534807360901E-2</v>
      </c>
      <c r="H24" s="113">
        <v>1404.24</v>
      </c>
      <c r="I24" s="130">
        <v>12638.78</v>
      </c>
      <c r="J24" s="114">
        <v>1</v>
      </c>
      <c r="K24" s="22">
        <f t="shared" si="0"/>
        <v>4.21272</v>
      </c>
      <c r="L24" s="114">
        <v>3</v>
      </c>
      <c r="M24" s="37"/>
    </row>
    <row r="25" spans="1:17" ht="15.6" customHeight="1" x14ac:dyDescent="0.25">
      <c r="A25" s="463" t="s">
        <v>60</v>
      </c>
      <c r="B25" s="468" t="s">
        <v>200</v>
      </c>
      <c r="C25" s="238" t="s">
        <v>181</v>
      </c>
      <c r="D25" s="238" t="s">
        <v>201</v>
      </c>
      <c r="E25" s="274" t="s">
        <v>183</v>
      </c>
      <c r="F25" s="22" t="s">
        <v>155</v>
      </c>
      <c r="G25" s="239">
        <f t="shared" si="2"/>
        <v>1.0833633701840225E-2</v>
      </c>
      <c r="H25" s="113">
        <v>351.06</v>
      </c>
      <c r="I25" s="130">
        <v>3159.7</v>
      </c>
      <c r="J25" s="114">
        <v>1</v>
      </c>
      <c r="K25" s="22">
        <f t="shared" si="0"/>
        <v>1.05318</v>
      </c>
      <c r="L25" s="114">
        <v>3</v>
      </c>
      <c r="M25" s="37"/>
      <c r="P25" s="459" t="s">
        <v>202</v>
      </c>
    </row>
    <row r="26" spans="1:17" ht="15.6" customHeight="1" x14ac:dyDescent="0.25">
      <c r="A26" s="463" t="s">
        <v>60</v>
      </c>
      <c r="B26" s="468" t="s">
        <v>203</v>
      </c>
      <c r="C26" s="238" t="s">
        <v>181</v>
      </c>
      <c r="D26" s="238" t="s">
        <v>204</v>
      </c>
      <c r="E26" s="274" t="s">
        <v>183</v>
      </c>
      <c r="F26" s="22" t="s">
        <v>155</v>
      </c>
      <c r="G26" s="239">
        <f t="shared" si="2"/>
        <v>1.0832707908497049E-2</v>
      </c>
      <c r="H26" s="113">
        <v>351.03</v>
      </c>
      <c r="I26" s="130">
        <v>3159.46</v>
      </c>
      <c r="J26" s="114">
        <v>1</v>
      </c>
      <c r="K26" s="22">
        <f t="shared" si="0"/>
        <v>1.0530899999999999</v>
      </c>
      <c r="L26" s="114">
        <v>3</v>
      </c>
      <c r="M26" s="37"/>
    </row>
    <row r="27" spans="1:17" ht="15.6" customHeight="1" x14ac:dyDescent="0.25">
      <c r="A27" s="463" t="s">
        <v>60</v>
      </c>
      <c r="B27" s="468" t="s">
        <v>205</v>
      </c>
      <c r="C27" s="238" t="s">
        <v>181</v>
      </c>
      <c r="D27" s="238" t="s">
        <v>206</v>
      </c>
      <c r="E27" s="274" t="s">
        <v>183</v>
      </c>
      <c r="F27" s="22" t="s">
        <v>155</v>
      </c>
      <c r="G27" s="239">
        <f t="shared" si="2"/>
        <v>4.3331448829550319E-2</v>
      </c>
      <c r="H27" s="113">
        <v>1404.14</v>
      </c>
      <c r="I27" s="130">
        <v>12637.85</v>
      </c>
      <c r="J27" s="114">
        <v>1</v>
      </c>
      <c r="K27" s="22">
        <f t="shared" si="0"/>
        <v>4.2124200000000007</v>
      </c>
      <c r="L27" s="114">
        <v>3</v>
      </c>
      <c r="M27" s="37"/>
    </row>
    <row r="28" spans="1:17" ht="15.6" customHeight="1" x14ac:dyDescent="0.25">
      <c r="A28" s="463" t="s">
        <v>60</v>
      </c>
      <c r="B28" s="468" t="s">
        <v>207</v>
      </c>
      <c r="C28" s="238" t="s">
        <v>181</v>
      </c>
      <c r="D28" s="238" t="s">
        <v>208</v>
      </c>
      <c r="E28" s="274" t="s">
        <v>183</v>
      </c>
      <c r="F28" s="22" t="s">
        <v>155</v>
      </c>
      <c r="G28" s="239">
        <f t="shared" si="2"/>
        <v>1.0833016506278109E-2</v>
      </c>
      <c r="H28" s="113">
        <v>351.04</v>
      </c>
      <c r="I28" s="130">
        <v>3159.51</v>
      </c>
      <c r="J28" s="460">
        <v>1</v>
      </c>
      <c r="K28" s="22">
        <f t="shared" si="0"/>
        <v>1.0531200000000001</v>
      </c>
      <c r="L28" s="114">
        <v>3</v>
      </c>
      <c r="M28" s="37"/>
      <c r="O28" s="619" t="s">
        <v>209</v>
      </c>
      <c r="P28" s="619" t="s">
        <v>210</v>
      </c>
      <c r="Q28" s="619" t="s">
        <v>211</v>
      </c>
    </row>
    <row r="29" spans="1:17" ht="15.6" customHeight="1" x14ac:dyDescent="0.25">
      <c r="A29" s="463" t="s">
        <v>60</v>
      </c>
      <c r="B29" s="468" t="s">
        <v>212</v>
      </c>
      <c r="C29" s="238" t="s">
        <v>181</v>
      </c>
      <c r="D29" s="238" t="s">
        <v>213</v>
      </c>
      <c r="E29" s="274" t="s">
        <v>183</v>
      </c>
      <c r="F29" s="22" t="s">
        <v>155</v>
      </c>
      <c r="G29" s="239">
        <f t="shared" si="2"/>
        <v>4.3331448829550319E-2</v>
      </c>
      <c r="H29" s="113">
        <v>1404.14</v>
      </c>
      <c r="I29" s="130">
        <v>12637.85</v>
      </c>
      <c r="J29" s="114">
        <v>1</v>
      </c>
      <c r="K29" s="22">
        <f t="shared" si="0"/>
        <v>4.2124200000000007</v>
      </c>
      <c r="L29" s="114">
        <v>3</v>
      </c>
      <c r="M29" s="37"/>
      <c r="O29" s="593" t="s">
        <v>214</v>
      </c>
      <c r="P29" s="341">
        <f>SUMIFS($H$3:$H$50, $C$3:$C$50, "*Guest Room*")</f>
        <v>18767.599999999999</v>
      </c>
      <c r="Q29" s="239">
        <f t="shared" ref="Q29:Q39" si="3">P29/$H$51</f>
        <v>0.57916397157937849</v>
      </c>
    </row>
    <row r="30" spans="1:17" ht="15.6" customHeight="1" x14ac:dyDescent="0.25">
      <c r="A30" s="463" t="s">
        <v>60</v>
      </c>
      <c r="B30" s="468" t="s">
        <v>215</v>
      </c>
      <c r="C30" s="238" t="s">
        <v>181</v>
      </c>
      <c r="D30" s="238" t="s">
        <v>216</v>
      </c>
      <c r="E30" s="274" t="s">
        <v>183</v>
      </c>
      <c r="F30" s="22" t="s">
        <v>155</v>
      </c>
      <c r="G30" s="239">
        <f t="shared" si="2"/>
        <v>1.0832707908497049E-2</v>
      </c>
      <c r="H30" s="113">
        <v>351.03</v>
      </c>
      <c r="I30" s="130">
        <v>3159.46</v>
      </c>
      <c r="J30" s="114">
        <v>1</v>
      </c>
      <c r="K30" s="22">
        <f t="shared" si="0"/>
        <v>1.0530899999999999</v>
      </c>
      <c r="L30" s="114">
        <v>3</v>
      </c>
      <c r="M30" s="37"/>
      <c r="O30" s="593" t="s">
        <v>217</v>
      </c>
      <c r="P30" s="341">
        <f>SUMIFS($H$3:$H$50, $C$3:$C$50, "*Lounge*")</f>
        <v>2106.33</v>
      </c>
      <c r="Q30" s="239">
        <f t="shared" si="3"/>
        <v>6.5000876417698181E-2</v>
      </c>
    </row>
    <row r="31" spans="1:17" ht="15.6" customHeight="1" x14ac:dyDescent="0.25">
      <c r="A31" s="463" t="s">
        <v>60</v>
      </c>
      <c r="B31" s="468" t="s">
        <v>218</v>
      </c>
      <c r="C31" s="238" t="s">
        <v>181</v>
      </c>
      <c r="D31" s="238" t="s">
        <v>219</v>
      </c>
      <c r="E31" s="274" t="s">
        <v>183</v>
      </c>
      <c r="F31" s="22" t="s">
        <v>155</v>
      </c>
      <c r="G31" s="239">
        <f t="shared" si="2"/>
        <v>1.0833633701840225E-2</v>
      </c>
      <c r="H31" s="113">
        <v>351.06</v>
      </c>
      <c r="I31" s="130">
        <v>3159.7</v>
      </c>
      <c r="J31" s="114">
        <v>1</v>
      </c>
      <c r="K31" s="22">
        <f t="shared" si="0"/>
        <v>1.05318</v>
      </c>
      <c r="L31" s="114">
        <v>3</v>
      </c>
      <c r="M31" s="37"/>
      <c r="O31" s="593" t="s">
        <v>220</v>
      </c>
      <c r="P31" s="341">
        <f>SUMIFS($H$3:$H$50, $C$3:$C$50, "*Corridor*")</f>
        <v>4806.53</v>
      </c>
      <c r="Q31" s="239">
        <f t="shared" si="3"/>
        <v>0.14832844925911837</v>
      </c>
    </row>
    <row r="32" spans="1:17" ht="15.6" customHeight="1" x14ac:dyDescent="0.25">
      <c r="A32" s="463" t="s">
        <v>60</v>
      </c>
      <c r="B32" s="468" t="s">
        <v>221</v>
      </c>
      <c r="C32" s="238" t="s">
        <v>181</v>
      </c>
      <c r="D32" s="238" t="s">
        <v>222</v>
      </c>
      <c r="E32" s="274" t="s">
        <v>183</v>
      </c>
      <c r="F32" s="22" t="s">
        <v>155</v>
      </c>
      <c r="G32" s="239">
        <f t="shared" si="2"/>
        <v>4.3334534807360901E-2</v>
      </c>
      <c r="H32" s="113">
        <v>1404.24</v>
      </c>
      <c r="I32" s="130">
        <v>12638.78</v>
      </c>
      <c r="J32" s="114">
        <v>1</v>
      </c>
      <c r="K32" s="22">
        <f t="shared" si="0"/>
        <v>4.21272</v>
      </c>
      <c r="L32" s="114">
        <v>3</v>
      </c>
      <c r="M32" s="37"/>
      <c r="O32" s="593" t="s">
        <v>169</v>
      </c>
      <c r="P32" s="341">
        <f>SUMIFS($H$3:$H$50, $C$3:$C$50, "*Office*")</f>
        <v>1404.1699999999998</v>
      </c>
      <c r="Q32" s="239">
        <f t="shared" si="3"/>
        <v>4.3332374622893487E-2</v>
      </c>
    </row>
    <row r="33" spans="1:17" ht="15.6" customHeight="1" x14ac:dyDescent="0.25">
      <c r="A33" s="463" t="s">
        <v>60</v>
      </c>
      <c r="B33" s="468" t="s">
        <v>223</v>
      </c>
      <c r="C33" s="238" t="s">
        <v>181</v>
      </c>
      <c r="D33" s="238" t="s">
        <v>224</v>
      </c>
      <c r="E33" s="274" t="s">
        <v>183</v>
      </c>
      <c r="F33" s="22" t="s">
        <v>155</v>
      </c>
      <c r="G33" s="239">
        <f t="shared" si="2"/>
        <v>3.5001160327656766E-2</v>
      </c>
      <c r="H33" s="113">
        <v>1134.2</v>
      </c>
      <c r="I33" s="130">
        <v>10208.299999999999</v>
      </c>
      <c r="J33" s="114">
        <v>1</v>
      </c>
      <c r="K33" s="22">
        <f t="shared" si="0"/>
        <v>3.4026000000000005</v>
      </c>
      <c r="L33" s="114">
        <v>3</v>
      </c>
      <c r="M33" s="37"/>
      <c r="O33" s="593" t="s">
        <v>225</v>
      </c>
      <c r="P33" s="341">
        <f>SUMIFS($H$3:$H$50, $C$3:$C$50, "*Exercise*")</f>
        <v>351.03</v>
      </c>
      <c r="Q33" s="239">
        <f t="shared" si="3"/>
        <v>1.0832707908497049E-2</v>
      </c>
    </row>
    <row r="34" spans="1:17" ht="15.6" customHeight="1" x14ac:dyDescent="0.25">
      <c r="A34" s="463" t="s">
        <v>60</v>
      </c>
      <c r="B34" s="468" t="s">
        <v>226</v>
      </c>
      <c r="C34" s="238" t="s">
        <v>181</v>
      </c>
      <c r="D34" s="238" t="s">
        <v>227</v>
      </c>
      <c r="E34" s="274" t="s">
        <v>183</v>
      </c>
      <c r="F34" s="22" t="s">
        <v>155</v>
      </c>
      <c r="G34" s="239">
        <f t="shared" ref="G34:G50" si="4">H34/$H$51</f>
        <v>4.3334534807360901E-2</v>
      </c>
      <c r="H34" s="113">
        <v>1404.24</v>
      </c>
      <c r="I34" s="130">
        <v>12638.78</v>
      </c>
      <c r="J34" s="114">
        <v>1</v>
      </c>
      <c r="K34" s="22">
        <f t="shared" si="0"/>
        <v>4.21272</v>
      </c>
      <c r="L34" s="114">
        <v>3</v>
      </c>
      <c r="M34" s="37"/>
      <c r="O34" s="593" t="s">
        <v>228</v>
      </c>
      <c r="P34" s="341">
        <f>SUMIFS($H$3:$H$50, $C$3:$C$50, "*Conference*")</f>
        <v>864.15</v>
      </c>
      <c r="Q34" s="239">
        <f t="shared" si="3"/>
        <v>2.6667477250171569E-2</v>
      </c>
    </row>
    <row r="35" spans="1:17" ht="15.6" customHeight="1" x14ac:dyDescent="0.25">
      <c r="A35" s="463" t="s">
        <v>60</v>
      </c>
      <c r="B35" s="468" t="s">
        <v>229</v>
      </c>
      <c r="C35" s="238" t="s">
        <v>181</v>
      </c>
      <c r="D35" s="238" t="s">
        <v>230</v>
      </c>
      <c r="E35" s="274" t="s">
        <v>183</v>
      </c>
      <c r="F35" s="22" t="s">
        <v>155</v>
      </c>
      <c r="G35" s="239">
        <f t="shared" si="4"/>
        <v>1.0833633701840225E-2</v>
      </c>
      <c r="H35" s="113">
        <v>351.06</v>
      </c>
      <c r="I35" s="130">
        <v>3159.7</v>
      </c>
      <c r="J35" s="114">
        <v>1</v>
      </c>
      <c r="K35" s="22">
        <f t="shared" si="0"/>
        <v>1.05318</v>
      </c>
      <c r="L35" s="114">
        <v>3</v>
      </c>
      <c r="M35" s="37"/>
      <c r="O35" s="593" t="s">
        <v>231</v>
      </c>
      <c r="P35" s="341">
        <f>SUMIFS($H$3:$H$50, $C$3:$C$50, "*Mechanical*")</f>
        <v>351.06</v>
      </c>
      <c r="Q35" s="239">
        <f t="shared" si="3"/>
        <v>1.0833633701840225E-2</v>
      </c>
    </row>
    <row r="36" spans="1:17" ht="15.6" customHeight="1" x14ac:dyDescent="0.25">
      <c r="A36" s="463" t="s">
        <v>60</v>
      </c>
      <c r="B36" s="468" t="s">
        <v>232</v>
      </c>
      <c r="C36" s="238" t="s">
        <v>181</v>
      </c>
      <c r="D36" s="238" t="s">
        <v>233</v>
      </c>
      <c r="E36" s="274" t="s">
        <v>183</v>
      </c>
      <c r="F36" s="22" t="s">
        <v>155</v>
      </c>
      <c r="G36" s="239">
        <f t="shared" si="4"/>
        <v>1.0832707908497049E-2</v>
      </c>
      <c r="H36" s="113">
        <v>351.03</v>
      </c>
      <c r="I36" s="130">
        <v>3159.46</v>
      </c>
      <c r="J36" s="114">
        <v>1</v>
      </c>
      <c r="K36" s="22">
        <f t="shared" si="0"/>
        <v>1.0530899999999999</v>
      </c>
      <c r="L36" s="114">
        <v>3</v>
      </c>
      <c r="M36" s="37"/>
      <c r="O36" s="593" t="s">
        <v>234</v>
      </c>
      <c r="P36" s="341">
        <f>SUMIFS($H$3:$H$50, $C$3:$C$50, "*Laundry*")</f>
        <v>1053.1099999999999</v>
      </c>
      <c r="Q36" s="239">
        <f t="shared" si="3"/>
        <v>3.2498740921053267E-2</v>
      </c>
    </row>
    <row r="37" spans="1:17" ht="15.6" customHeight="1" x14ac:dyDescent="0.25">
      <c r="A37" s="463" t="s">
        <v>60</v>
      </c>
      <c r="B37" s="468" t="s">
        <v>235</v>
      </c>
      <c r="C37" s="238" t="s">
        <v>181</v>
      </c>
      <c r="D37" s="238" t="s">
        <v>236</v>
      </c>
      <c r="E37" s="274" t="s">
        <v>183</v>
      </c>
      <c r="F37" s="22" t="s">
        <v>155</v>
      </c>
      <c r="G37" s="239">
        <f t="shared" si="4"/>
        <v>4.3331448829550319E-2</v>
      </c>
      <c r="H37" s="113">
        <v>1404.14</v>
      </c>
      <c r="I37" s="130">
        <v>12637.85</v>
      </c>
      <c r="J37" s="114">
        <v>1</v>
      </c>
      <c r="K37" s="22">
        <f t="shared" si="0"/>
        <v>4.2124200000000007</v>
      </c>
      <c r="L37" s="114">
        <v>3</v>
      </c>
      <c r="M37" s="37"/>
      <c r="O37" s="593" t="s">
        <v>237</v>
      </c>
      <c r="P37" s="341">
        <f>SUMIFS($H$3:$H$50, $C$3:$C$50, "*Storage*")</f>
        <v>1053.3</v>
      </c>
      <c r="Q37" s="239">
        <f t="shared" si="3"/>
        <v>3.250460427889338E-2</v>
      </c>
    </row>
    <row r="38" spans="1:17" ht="15.6" customHeight="1" x14ac:dyDescent="0.25">
      <c r="A38" s="463" t="s">
        <v>60</v>
      </c>
      <c r="B38" s="468" t="s">
        <v>238</v>
      </c>
      <c r="C38" s="238" t="s">
        <v>181</v>
      </c>
      <c r="D38" s="238" t="s">
        <v>239</v>
      </c>
      <c r="E38" s="274" t="s">
        <v>183</v>
      </c>
      <c r="F38" s="22" t="s">
        <v>155</v>
      </c>
      <c r="G38" s="239">
        <f t="shared" si="4"/>
        <v>1.0833016506278109E-2</v>
      </c>
      <c r="H38" s="113">
        <v>351.04</v>
      </c>
      <c r="I38" s="130">
        <v>3159.51</v>
      </c>
      <c r="J38" s="114">
        <v>1</v>
      </c>
      <c r="K38" s="22">
        <f t="shared" si="0"/>
        <v>1.0531200000000001</v>
      </c>
      <c r="L38" s="114">
        <v>3</v>
      </c>
      <c r="M38" s="37"/>
      <c r="O38" s="593" t="s">
        <v>240</v>
      </c>
      <c r="P38" s="341">
        <f>SUMIFS($H$3:$H$50, $C$3:$C$50, "*Restroom*")</f>
        <v>351.06</v>
      </c>
      <c r="Q38" s="239">
        <f t="shared" si="3"/>
        <v>1.0833633701840225E-2</v>
      </c>
    </row>
    <row r="39" spans="1:17" ht="15.6" customHeight="1" x14ac:dyDescent="0.25">
      <c r="A39" s="463" t="s">
        <v>60</v>
      </c>
      <c r="B39" s="468" t="s">
        <v>241</v>
      </c>
      <c r="C39" s="238" t="s">
        <v>181</v>
      </c>
      <c r="D39" s="238" t="s">
        <v>242</v>
      </c>
      <c r="E39" s="274" t="s">
        <v>183</v>
      </c>
      <c r="F39" s="22" t="s">
        <v>155</v>
      </c>
      <c r="G39" s="239">
        <f t="shared" si="4"/>
        <v>4.3331448829550319E-2</v>
      </c>
      <c r="H39" s="113">
        <v>1404.14</v>
      </c>
      <c r="I39" s="130">
        <v>12637.85</v>
      </c>
      <c r="J39" s="114">
        <v>1</v>
      </c>
      <c r="K39" s="22">
        <f t="shared" si="0"/>
        <v>4.2124200000000007</v>
      </c>
      <c r="L39" s="114">
        <v>3</v>
      </c>
      <c r="M39" s="37"/>
      <c r="O39" s="593" t="s">
        <v>243</v>
      </c>
      <c r="P39" s="341">
        <f>SUMIFS($H$3:$H$50, $C$3:$C$50, "*Stair*")</f>
        <v>1296.3</v>
      </c>
      <c r="Q39" s="239">
        <f t="shared" si="3"/>
        <v>4.0003530358615293E-2</v>
      </c>
    </row>
    <row r="40" spans="1:17" ht="15.6" customHeight="1" x14ac:dyDescent="0.25">
      <c r="A40" s="463" t="s">
        <v>60</v>
      </c>
      <c r="B40" s="468" t="s">
        <v>244</v>
      </c>
      <c r="C40" s="238" t="s">
        <v>181</v>
      </c>
      <c r="D40" s="238" t="s">
        <v>245</v>
      </c>
      <c r="E40" s="274" t="s">
        <v>183</v>
      </c>
      <c r="F40" s="22" t="s">
        <v>155</v>
      </c>
      <c r="G40" s="239">
        <f t="shared" si="4"/>
        <v>1.0832707908497049E-2</v>
      </c>
      <c r="H40" s="113">
        <v>351.03</v>
      </c>
      <c r="I40" s="130">
        <v>3159.46</v>
      </c>
      <c r="J40" s="114">
        <v>1</v>
      </c>
      <c r="K40" s="22">
        <f t="shared" si="0"/>
        <v>1.0530899999999999</v>
      </c>
      <c r="L40" s="114">
        <v>3</v>
      </c>
      <c r="M40" s="37"/>
    </row>
    <row r="41" spans="1:17" ht="15.6" customHeight="1" x14ac:dyDescent="0.25">
      <c r="A41" s="463" t="s">
        <v>60</v>
      </c>
      <c r="B41" s="468" t="s">
        <v>246</v>
      </c>
      <c r="C41" s="238" t="s">
        <v>247</v>
      </c>
      <c r="D41" s="238" t="s">
        <v>153</v>
      </c>
      <c r="E41" s="274" t="s">
        <v>164</v>
      </c>
      <c r="F41" s="22" t="s">
        <v>155</v>
      </c>
      <c r="G41" s="239">
        <f t="shared" si="4"/>
        <v>3.2498740921053267E-2</v>
      </c>
      <c r="H41" s="113">
        <v>1053.1099999999999</v>
      </c>
      <c r="I41" s="130">
        <v>11584.76</v>
      </c>
      <c r="J41" s="114">
        <v>1</v>
      </c>
      <c r="K41" s="22">
        <f t="shared" si="0"/>
        <v>5.2655500000000002</v>
      </c>
      <c r="L41" s="114">
        <v>5</v>
      </c>
      <c r="M41" s="37"/>
    </row>
    <row r="42" spans="1:17" ht="15.6" customHeight="1" x14ac:dyDescent="0.25">
      <c r="A42" s="463" t="s">
        <v>60</v>
      </c>
      <c r="B42" s="468" t="s">
        <v>248</v>
      </c>
      <c r="C42" s="238" t="s">
        <v>249</v>
      </c>
      <c r="D42" s="238" t="s">
        <v>153</v>
      </c>
      <c r="E42" s="530" t="s">
        <v>250</v>
      </c>
      <c r="F42" s="22" t="s">
        <v>155</v>
      </c>
      <c r="G42" s="239">
        <f t="shared" si="4"/>
        <v>1.0833633701840225E-2</v>
      </c>
      <c r="H42" s="113">
        <v>351.06</v>
      </c>
      <c r="I42" s="130">
        <v>3861.85</v>
      </c>
      <c r="J42" s="114">
        <v>1</v>
      </c>
      <c r="K42" s="22">
        <f>(H42/1000)*L42</f>
        <v>0</v>
      </c>
      <c r="L42" s="114">
        <v>0</v>
      </c>
      <c r="M42" s="37"/>
    </row>
    <row r="43" spans="1:17" ht="15.6" customHeight="1" x14ac:dyDescent="0.25">
      <c r="A43" s="463" t="s">
        <v>60</v>
      </c>
      <c r="B43" s="468" t="s">
        <v>251</v>
      </c>
      <c r="C43" s="238" t="s">
        <v>252</v>
      </c>
      <c r="D43" s="238" t="s">
        <v>153</v>
      </c>
      <c r="E43" s="274" t="s">
        <v>164</v>
      </c>
      <c r="F43" s="22" t="s">
        <v>155</v>
      </c>
      <c r="G43" s="239">
        <f t="shared" si="4"/>
        <v>2.6667477250171569E-2</v>
      </c>
      <c r="H43" s="113">
        <v>864.15</v>
      </c>
      <c r="I43" s="130">
        <v>9506.15</v>
      </c>
      <c r="J43" s="114">
        <v>1</v>
      </c>
      <c r="K43" s="22">
        <f t="shared" si="0"/>
        <v>28.516949999999998</v>
      </c>
      <c r="L43" s="114">
        <v>33</v>
      </c>
      <c r="M43" s="37"/>
    </row>
    <row r="44" spans="1:17" ht="15.6" customHeight="1" x14ac:dyDescent="0.25">
      <c r="A44" s="463" t="s">
        <v>60</v>
      </c>
      <c r="B44" s="468" t="s">
        <v>253</v>
      </c>
      <c r="C44" s="238" t="s">
        <v>171</v>
      </c>
      <c r="D44" s="238" t="s">
        <v>153</v>
      </c>
      <c r="E44" s="530" t="s">
        <v>172</v>
      </c>
      <c r="F44" s="22" t="s">
        <v>155</v>
      </c>
      <c r="G44" s="240">
        <f t="shared" si="4"/>
        <v>6.6681808531123916E-3</v>
      </c>
      <c r="H44" s="113">
        <v>216.08</v>
      </c>
      <c r="I44" s="142">
        <v>2376.94</v>
      </c>
      <c r="J44" s="114">
        <v>1</v>
      </c>
      <c r="K44" s="345">
        <f t="shared" si="0"/>
        <v>1.0804</v>
      </c>
      <c r="L44" s="114">
        <v>5</v>
      </c>
      <c r="M44" s="37"/>
    </row>
    <row r="45" spans="1:17" ht="15.6" customHeight="1" x14ac:dyDescent="0.25">
      <c r="A45" s="463" t="s">
        <v>60</v>
      </c>
      <c r="B45" s="468" t="s">
        <v>254</v>
      </c>
      <c r="C45" s="238" t="s">
        <v>171</v>
      </c>
      <c r="D45" s="238" t="s">
        <v>157</v>
      </c>
      <c r="E45" s="530" t="s">
        <v>172</v>
      </c>
      <c r="F45" s="22" t="s">
        <v>155</v>
      </c>
      <c r="G45" s="240">
        <f t="shared" si="4"/>
        <v>6.6681808531123916E-3</v>
      </c>
      <c r="H45" s="113">
        <v>216.08</v>
      </c>
      <c r="I45" s="142">
        <v>1944.77</v>
      </c>
      <c r="J45" s="114">
        <v>1</v>
      </c>
      <c r="K45" s="345">
        <f t="shared" si="0"/>
        <v>1.0804</v>
      </c>
      <c r="L45" s="114">
        <v>5</v>
      </c>
      <c r="M45" s="37"/>
    </row>
    <row r="46" spans="1:17" ht="15.6" customHeight="1" x14ac:dyDescent="0.25">
      <c r="A46" s="463" t="s">
        <v>60</v>
      </c>
      <c r="B46" s="468" t="s">
        <v>255</v>
      </c>
      <c r="C46" s="238" t="s">
        <v>171</v>
      </c>
      <c r="D46" s="238" t="s">
        <v>159</v>
      </c>
      <c r="E46" s="530" t="s">
        <v>172</v>
      </c>
      <c r="F46" s="22" t="s">
        <v>155</v>
      </c>
      <c r="G46" s="240">
        <f t="shared" si="4"/>
        <v>6.6681808531123916E-3</v>
      </c>
      <c r="H46" s="113">
        <v>216.08</v>
      </c>
      <c r="I46" s="142">
        <v>1944.77</v>
      </c>
      <c r="J46" s="114">
        <v>1</v>
      </c>
      <c r="K46" s="345">
        <f t="shared" si="0"/>
        <v>1.0804</v>
      </c>
      <c r="L46" s="114">
        <v>5</v>
      </c>
      <c r="M46" s="37"/>
    </row>
    <row r="47" spans="1:17" ht="15.6" customHeight="1" x14ac:dyDescent="0.25">
      <c r="A47" s="463" t="s">
        <v>60</v>
      </c>
      <c r="B47" s="468" t="s">
        <v>256</v>
      </c>
      <c r="C47" s="238" t="s">
        <v>177</v>
      </c>
      <c r="D47" s="238" t="s">
        <v>153</v>
      </c>
      <c r="E47" s="274" t="s">
        <v>164</v>
      </c>
      <c r="F47" s="22" t="s">
        <v>155</v>
      </c>
      <c r="G47" s="240">
        <f t="shared" si="4"/>
        <v>6.6684894508934498E-3</v>
      </c>
      <c r="H47" s="113">
        <v>216.09</v>
      </c>
      <c r="I47" s="142">
        <v>2377.12</v>
      </c>
      <c r="J47" s="114">
        <v>1</v>
      </c>
      <c r="K47" s="22">
        <f t="shared" si="0"/>
        <v>0.43218000000000001</v>
      </c>
      <c r="L47" s="114">
        <v>2</v>
      </c>
      <c r="M47" s="37"/>
    </row>
    <row r="48" spans="1:17" ht="15.6" customHeight="1" x14ac:dyDescent="0.25">
      <c r="A48" s="463" t="s">
        <v>60</v>
      </c>
      <c r="B48" s="468" t="s">
        <v>257</v>
      </c>
      <c r="C48" s="238" t="s">
        <v>177</v>
      </c>
      <c r="D48" s="238" t="s">
        <v>157</v>
      </c>
      <c r="E48" s="274" t="s">
        <v>164</v>
      </c>
      <c r="F48" s="22" t="s">
        <v>155</v>
      </c>
      <c r="G48" s="240">
        <f t="shared" si="4"/>
        <v>6.6684894508934498E-3</v>
      </c>
      <c r="H48" s="113">
        <v>216.09</v>
      </c>
      <c r="I48" s="142">
        <v>1944.91</v>
      </c>
      <c r="J48" s="114">
        <v>1</v>
      </c>
      <c r="K48" s="22">
        <f t="shared" si="0"/>
        <v>0.43218000000000001</v>
      </c>
      <c r="L48" s="114">
        <v>2</v>
      </c>
      <c r="M48" s="37"/>
    </row>
    <row r="49" spans="1:13" ht="15.6" customHeight="1" x14ac:dyDescent="0.25">
      <c r="A49" s="463" t="s">
        <v>60</v>
      </c>
      <c r="B49" s="468" t="s">
        <v>258</v>
      </c>
      <c r="C49" s="238" t="s">
        <v>177</v>
      </c>
      <c r="D49" s="238" t="s">
        <v>159</v>
      </c>
      <c r="E49" s="274" t="s">
        <v>164</v>
      </c>
      <c r="F49" s="22" t="s">
        <v>155</v>
      </c>
      <c r="G49" s="240">
        <f t="shared" si="4"/>
        <v>6.6684894508934498E-3</v>
      </c>
      <c r="H49" s="113">
        <v>216.09</v>
      </c>
      <c r="I49" s="142">
        <v>1944.91</v>
      </c>
      <c r="J49" s="114">
        <v>1</v>
      </c>
      <c r="K49" s="22">
        <f t="shared" si="0"/>
        <v>0.43218000000000001</v>
      </c>
      <c r="L49" s="114">
        <v>2</v>
      </c>
      <c r="M49" s="37"/>
    </row>
    <row r="50" spans="1:13" ht="15.6" customHeight="1" x14ac:dyDescent="0.25">
      <c r="A50" s="463" t="s">
        <v>60</v>
      </c>
      <c r="B50" s="468" t="s">
        <v>259</v>
      </c>
      <c r="C50" s="238" t="s">
        <v>260</v>
      </c>
      <c r="D50" s="238"/>
      <c r="E50" s="274" t="s">
        <v>154</v>
      </c>
      <c r="F50" s="22" t="s">
        <v>155</v>
      </c>
      <c r="G50" s="240">
        <f t="shared" si="4"/>
        <v>1.0833633701840225E-2</v>
      </c>
      <c r="H50" s="113">
        <v>351.06</v>
      </c>
      <c r="I50" s="142">
        <v>3861.85</v>
      </c>
      <c r="J50" s="114">
        <v>1</v>
      </c>
      <c r="K50" s="22">
        <f t="shared" si="0"/>
        <v>1.7552999999999999</v>
      </c>
      <c r="L50" s="114">
        <v>5</v>
      </c>
      <c r="M50" s="465" t="s">
        <v>261</v>
      </c>
    </row>
    <row r="51" spans="1:13" ht="30.6" customHeight="1" x14ac:dyDescent="0.25">
      <c r="A51" s="463" t="s">
        <v>262</v>
      </c>
      <c r="B51" s="563" t="s">
        <v>263</v>
      </c>
      <c r="C51" s="101" t="s">
        <v>264</v>
      </c>
      <c r="D51" s="101" t="s">
        <v>265</v>
      </c>
      <c r="E51" s="101" t="s">
        <v>266</v>
      </c>
      <c r="F51" s="24" t="s">
        <v>267</v>
      </c>
      <c r="G51" s="346">
        <f ca="1">SUM(G3:G50)</f>
        <v>0.99999999999999956</v>
      </c>
      <c r="H51" s="24">
        <f>SUM(H3:H50)</f>
        <v>32404.640000000014</v>
      </c>
      <c r="I51" s="22"/>
      <c r="J51" s="22"/>
      <c r="K51" s="22">
        <f>SUM(K3:K50)</f>
        <v>169.66568999999996</v>
      </c>
      <c r="L51" s="347">
        <v>0</v>
      </c>
      <c r="M51" s="37"/>
    </row>
    <row r="52" spans="1:13" x14ac:dyDescent="0.25">
      <c r="G52" s="27"/>
      <c r="H52" s="27"/>
      <c r="I52" s="27"/>
      <c r="J52" s="27"/>
      <c r="K52" s="587"/>
    </row>
    <row r="53" spans="1:13" x14ac:dyDescent="0.25">
      <c r="B53" s="6" t="s">
        <v>268</v>
      </c>
      <c r="C53" s="6"/>
      <c r="D53" s="6"/>
      <c r="E53" s="6"/>
      <c r="F53" s="6"/>
      <c r="G53" s="28"/>
      <c r="I53" s="27"/>
      <c r="J53" s="27"/>
      <c r="K53" s="27"/>
    </row>
    <row r="54" spans="1:13" ht="14.7" customHeight="1" x14ac:dyDescent="0.25">
      <c r="B54" s="11"/>
      <c r="C54" s="11"/>
      <c r="D54" s="11"/>
      <c r="E54" s="11"/>
      <c r="G54" s="27"/>
      <c r="H54" s="27"/>
      <c r="I54" s="27"/>
      <c r="J54" s="27"/>
      <c r="K54" s="27"/>
    </row>
    <row r="55" spans="1:13" ht="20.25" customHeight="1" x14ac:dyDescent="0.25">
      <c r="A55" s="684" t="s">
        <v>269</v>
      </c>
      <c r="B55" s="685"/>
      <c r="C55" s="686"/>
      <c r="D55" s="29"/>
      <c r="E55" s="29"/>
      <c r="G55" s="27"/>
      <c r="H55" s="256"/>
      <c r="I55" s="27"/>
      <c r="J55" s="27"/>
      <c r="K55" s="27"/>
    </row>
    <row r="56" spans="1:13" ht="27" customHeight="1" x14ac:dyDescent="0.25">
      <c r="A56" s="434" t="s">
        <v>270</v>
      </c>
      <c r="B56" s="687" t="s">
        <v>271</v>
      </c>
      <c r="C56" s="688"/>
      <c r="D56" s="27"/>
      <c r="E56" s="27"/>
      <c r="G56" s="27"/>
      <c r="H56" s="27"/>
      <c r="I56" s="27"/>
      <c r="J56" s="27"/>
      <c r="K56" s="27"/>
    </row>
    <row r="57" spans="1:13" ht="14.4" x14ac:dyDescent="0.25">
      <c r="A57" s="689">
        <v>0.65</v>
      </c>
      <c r="B57" s="694" t="s">
        <v>272</v>
      </c>
      <c r="C57" s="695"/>
      <c r="D57" s="27"/>
      <c r="E57" s="27"/>
      <c r="G57" s="257"/>
      <c r="H57" s="27"/>
      <c r="I57" s="27"/>
      <c r="J57" s="27"/>
      <c r="K57" s="27"/>
    </row>
    <row r="58" spans="1:13" ht="14.4" x14ac:dyDescent="0.25">
      <c r="A58" s="690"/>
      <c r="B58" s="694" t="s">
        <v>273</v>
      </c>
      <c r="C58" s="695"/>
      <c r="G58" s="27"/>
      <c r="H58" s="27"/>
      <c r="I58" s="27"/>
      <c r="J58" s="27"/>
      <c r="K58" s="27"/>
    </row>
    <row r="59" spans="1:13" x14ac:dyDescent="0.25">
      <c r="A59" s="428"/>
      <c r="B59" s="428"/>
      <c r="C59" s="428"/>
      <c r="G59" s="27"/>
      <c r="H59" s="27"/>
      <c r="I59" s="27"/>
      <c r="J59" s="27"/>
      <c r="K59" s="27"/>
    </row>
    <row r="60" spans="1:13" x14ac:dyDescent="0.25">
      <c r="A60" s="428"/>
      <c r="B60" s="428"/>
      <c r="C60" s="428"/>
      <c r="G60" s="27"/>
      <c r="H60" s="27"/>
      <c r="I60" s="27"/>
      <c r="J60" s="27"/>
      <c r="K60" s="27"/>
    </row>
    <row r="61" spans="1:13" ht="26.4" x14ac:dyDescent="0.25">
      <c r="A61" s="428"/>
      <c r="B61" s="435" t="s">
        <v>274</v>
      </c>
      <c r="C61" s="436">
        <f>5+24+24</f>
        <v>53</v>
      </c>
      <c r="G61" s="27"/>
      <c r="H61" s="27"/>
      <c r="I61" s="27"/>
      <c r="J61" s="27"/>
      <c r="K61" s="27"/>
    </row>
    <row r="62" spans="1:13" x14ac:dyDescent="0.25">
      <c r="A62" s="428"/>
      <c r="B62" s="435" t="s">
        <v>275</v>
      </c>
      <c r="C62" s="437">
        <f>SUM(H16:H40)</f>
        <v>18767.599999999999</v>
      </c>
      <c r="G62" s="27"/>
      <c r="H62" s="27"/>
      <c r="I62" s="27"/>
      <c r="J62" s="27"/>
      <c r="K62" s="27"/>
    </row>
    <row r="63" spans="1:13" ht="26.4" x14ac:dyDescent="0.25">
      <c r="B63" s="455" t="s">
        <v>276</v>
      </c>
      <c r="C63" s="456">
        <f>C62/C61</f>
        <v>354.10566037735845</v>
      </c>
      <c r="G63" s="27"/>
      <c r="H63" s="27"/>
      <c r="I63" s="27"/>
      <c r="J63" s="27"/>
      <c r="K63" s="27"/>
    </row>
    <row r="64" spans="1:13" x14ac:dyDescent="0.25">
      <c r="A64" s="428"/>
      <c r="B64" s="435" t="s">
        <v>277</v>
      </c>
      <c r="C64" s="438">
        <f>C62/H51</f>
        <v>0.57916397157937849</v>
      </c>
      <c r="G64" s="27"/>
      <c r="H64" s="27"/>
      <c r="I64" s="27"/>
      <c r="J64" s="27"/>
      <c r="K64" s="27"/>
    </row>
    <row r="65" spans="1:13" x14ac:dyDescent="0.25">
      <c r="A65" s="428"/>
      <c r="G65" s="27"/>
      <c r="H65" s="27"/>
      <c r="I65" s="27"/>
      <c r="J65" s="27"/>
      <c r="K65" s="27"/>
    </row>
    <row r="67" spans="1:13" s="30" customFormat="1" ht="13.2" hidden="1" customHeight="1" x14ac:dyDescent="0.25">
      <c r="A67" s="30" t="s">
        <v>278</v>
      </c>
      <c r="G67" s="31"/>
      <c r="H67" s="33"/>
    </row>
    <row r="68" spans="1:13" x14ac:dyDescent="0.25">
      <c r="B68" s="26"/>
      <c r="C68" s="26"/>
      <c r="D68" s="26"/>
      <c r="E68" s="26"/>
      <c r="F68" s="26"/>
    </row>
    <row r="74" spans="1:13" x14ac:dyDescent="0.25">
      <c r="B74" s="693"/>
      <c r="C74" s="693"/>
      <c r="D74" s="693"/>
      <c r="E74" s="693"/>
      <c r="F74" s="693"/>
      <c r="G74" s="153"/>
      <c r="K74" s="693"/>
      <c r="L74" s="693"/>
      <c r="M74" s="693"/>
    </row>
    <row r="75" spans="1:13" x14ac:dyDescent="0.25">
      <c r="B75" s="602"/>
      <c r="C75" s="602"/>
      <c r="D75" s="602"/>
      <c r="E75" s="602"/>
      <c r="F75" s="7"/>
      <c r="G75" s="602"/>
      <c r="K75" s="116"/>
    </row>
    <row r="76" spans="1:13" x14ac:dyDescent="0.25">
      <c r="B76" s="692"/>
      <c r="C76" s="602"/>
      <c r="D76" s="602"/>
      <c r="E76" s="602"/>
      <c r="F76" s="7"/>
      <c r="G76" s="117"/>
    </row>
    <row r="77" spans="1:13" x14ac:dyDescent="0.25">
      <c r="B77" s="692"/>
      <c r="C77" s="602"/>
      <c r="D77" s="602"/>
      <c r="E77" s="602"/>
      <c r="F77" s="602"/>
      <c r="G77" s="117"/>
    </row>
    <row r="78" spans="1:13" x14ac:dyDescent="0.25">
      <c r="B78" s="692"/>
      <c r="C78" s="602"/>
      <c r="D78" s="602"/>
      <c r="E78" s="602"/>
      <c r="F78" s="602"/>
      <c r="G78" s="117"/>
    </row>
    <row r="79" spans="1:13" x14ac:dyDescent="0.25">
      <c r="B79" s="692"/>
      <c r="C79" s="602"/>
      <c r="D79" s="602"/>
      <c r="E79" s="602"/>
      <c r="F79" s="7"/>
      <c r="G79" s="117"/>
    </row>
    <row r="80" spans="1:13" x14ac:dyDescent="0.25">
      <c r="B80" s="692"/>
      <c r="C80" s="602"/>
      <c r="D80" s="602"/>
      <c r="E80" s="602"/>
      <c r="F80" s="602"/>
      <c r="G80" s="117"/>
    </row>
    <row r="81" spans="2:7" x14ac:dyDescent="0.25">
      <c r="B81" s="692"/>
      <c r="C81" s="602"/>
      <c r="D81" s="602"/>
      <c r="E81" s="602"/>
      <c r="F81" s="602"/>
      <c r="G81" s="117"/>
    </row>
    <row r="82" spans="2:7" x14ac:dyDescent="0.25">
      <c r="B82" s="691"/>
      <c r="C82" s="601"/>
      <c r="D82" s="601"/>
      <c r="E82" s="601"/>
      <c r="F82" s="118"/>
      <c r="G82" s="119"/>
    </row>
    <row r="83" spans="2:7" x14ac:dyDescent="0.25">
      <c r="B83" s="691"/>
      <c r="C83" s="601"/>
      <c r="D83" s="601"/>
      <c r="E83" s="601"/>
      <c r="F83" s="601"/>
      <c r="G83" s="119"/>
    </row>
    <row r="84" spans="2:7" x14ac:dyDescent="0.25">
      <c r="B84" s="691"/>
      <c r="C84" s="601"/>
      <c r="D84" s="601"/>
      <c r="E84" s="601"/>
      <c r="F84" s="601"/>
      <c r="G84" s="119"/>
    </row>
    <row r="85" spans="2:7" x14ac:dyDescent="0.25">
      <c r="B85" s="691"/>
      <c r="C85" s="601"/>
      <c r="D85" s="601"/>
      <c r="E85" s="601"/>
      <c r="F85" s="118"/>
      <c r="G85" s="119"/>
    </row>
    <row r="86" spans="2:7" x14ac:dyDescent="0.25">
      <c r="B86" s="691"/>
      <c r="C86" s="601"/>
      <c r="D86" s="601"/>
      <c r="E86" s="601"/>
      <c r="F86" s="601"/>
      <c r="G86" s="119"/>
    </row>
    <row r="87" spans="2:7" x14ac:dyDescent="0.25">
      <c r="B87" s="691"/>
      <c r="C87" s="601"/>
      <c r="D87" s="601"/>
      <c r="E87" s="601"/>
      <c r="F87" s="601"/>
      <c r="G87" s="119"/>
    </row>
  </sheetData>
  <mergeCells count="10">
    <mergeCell ref="A55:C55"/>
    <mergeCell ref="B56:C56"/>
    <mergeCell ref="A57:A58"/>
    <mergeCell ref="A1:M1"/>
    <mergeCell ref="B82:B87"/>
    <mergeCell ref="B76:B81"/>
    <mergeCell ref="B74:F74"/>
    <mergeCell ref="K74:M74"/>
    <mergeCell ref="B57:C57"/>
    <mergeCell ref="B58:C58"/>
  </mergeCells>
  <phoneticPr fontId="5" type="noConversion"/>
  <hyperlinks>
    <hyperlink ref="B57" r:id="rId1" display="https://assets.visitcalifornia.com/media/?mediaId=D0CF4716-DD37-4678-852AB388768DE451&amp;viewType=grid" xr:uid="{CE4A8294-0880-41AF-89E7-464D62AE8106}"/>
    <hyperlink ref="B58" r:id="rId2" display="https://www.ahla.com/sites/default/files/25_SOTI.pdf" xr:uid="{7C20217F-264F-4BC9-BB16-B790617935E4}"/>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0FE1BF1D-760B-41CF-BF68-E9CCA8A91162}">
          <x14:formula1>
            <xm:f>Data!$A$2:$A$200</xm:f>
          </x14:formula1>
          <xm:sqref>C3:C50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N83"/>
  <sheetViews>
    <sheetView zoomScale="80" zoomScaleNormal="80" workbookViewId="0">
      <selection sqref="A1:X1"/>
    </sheetView>
  </sheetViews>
  <sheetFormatPr defaultColWidth="9.33203125" defaultRowHeight="13.8" x14ac:dyDescent="0.25"/>
  <cols>
    <col min="1" max="1" width="24.88671875" style="104" customWidth="1"/>
    <col min="2" max="2" width="13.5546875" style="106" customWidth="1"/>
    <col min="3" max="3" width="29.109375" style="104" customWidth="1"/>
    <col min="4" max="4" width="40.88671875" style="104" customWidth="1"/>
    <col min="5" max="5" width="15.6640625" style="104" customWidth="1"/>
    <col min="6" max="6" width="10.6640625" style="104" customWidth="1"/>
    <col min="7" max="7" width="19.33203125" style="107" customWidth="1"/>
    <col min="8" max="8" width="45.88671875" style="104" customWidth="1"/>
    <col min="9" max="9" width="6.88671875" style="104" customWidth="1"/>
    <col min="10" max="12" width="7" style="104" customWidth="1"/>
    <col min="13" max="13" width="7.88671875" style="104" customWidth="1"/>
    <col min="14" max="14" width="8.6640625" style="104" customWidth="1"/>
    <col min="15" max="15" width="7" style="104" customWidth="1"/>
    <col min="16" max="16" width="7.109375" style="104" customWidth="1"/>
    <col min="17" max="17" width="7.5546875" style="104" customWidth="1"/>
    <col min="18" max="21" width="7" style="104" customWidth="1"/>
    <col min="22" max="22" width="7.6640625" style="104" customWidth="1"/>
    <col min="23" max="23" width="7" style="104" customWidth="1"/>
    <col min="24" max="24" width="7.5546875" style="104" customWidth="1"/>
    <col min="25" max="25" width="9.33203125" style="104"/>
    <col min="26" max="29" width="7.6640625" style="104" customWidth="1"/>
    <col min="30" max="30" width="9.6640625" style="104" customWidth="1"/>
    <col min="31" max="31" width="7.5546875" style="104" customWidth="1"/>
    <col min="32" max="32" width="11.44140625" style="104" customWidth="1"/>
    <col min="33" max="34" width="7.6640625" style="104" customWidth="1"/>
    <col min="35" max="35" width="11.88671875" style="104" customWidth="1"/>
    <col min="36" max="37" width="7.6640625" style="104" customWidth="1"/>
    <col min="38" max="38" width="20.6640625" style="104" customWidth="1"/>
    <col min="39" max="39" width="27.6640625" style="104" customWidth="1"/>
    <col min="40" max="40" width="18.109375" style="104" customWidth="1"/>
    <col min="41" max="41" width="15.33203125" style="104" customWidth="1"/>
    <col min="42" max="45" width="10.44140625" style="104" customWidth="1"/>
    <col min="46" max="46" width="9.88671875" style="104" customWidth="1"/>
    <col min="47" max="47" width="10.44140625" style="104" customWidth="1"/>
    <col min="48" max="48" width="21.6640625" style="104" customWidth="1"/>
    <col min="49" max="49" width="10.44140625" style="104" customWidth="1"/>
    <col min="50" max="52" width="7.44140625" style="104" customWidth="1"/>
    <col min="53" max="53" width="7.6640625" style="104" customWidth="1"/>
    <col min="54" max="54" width="7.44140625" style="104" customWidth="1"/>
    <col min="55" max="55" width="13.6640625" style="104" customWidth="1"/>
    <col min="56" max="59" width="7.44140625" style="104" customWidth="1"/>
    <col min="60" max="61" width="9.6640625" style="104" bestFit="1" customWidth="1"/>
    <col min="62" max="16384" width="9.33203125" style="104"/>
  </cols>
  <sheetData>
    <row r="1" spans="1:66" ht="31.95" customHeight="1" x14ac:dyDescent="0.25">
      <c r="A1" s="643" t="s">
        <v>279</v>
      </c>
      <c r="B1" s="643"/>
      <c r="C1" s="643"/>
      <c r="D1" s="643"/>
      <c r="E1" s="643"/>
      <c r="F1" s="643"/>
      <c r="G1" s="643"/>
      <c r="H1" s="643"/>
      <c r="I1" s="643"/>
      <c r="J1" s="643"/>
      <c r="K1" s="643"/>
      <c r="L1" s="643"/>
      <c r="M1" s="643"/>
      <c r="N1" s="643"/>
      <c r="O1" s="643"/>
      <c r="P1" s="643"/>
      <c r="Q1" s="643"/>
      <c r="R1" s="643"/>
      <c r="S1" s="643"/>
      <c r="T1" s="643"/>
      <c r="U1" s="643"/>
      <c r="V1" s="643"/>
      <c r="W1" s="643"/>
      <c r="X1" s="64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row>
    <row r="2" spans="1:66" ht="28.2" customHeight="1" x14ac:dyDescent="0.25">
      <c r="A2" s="122" t="s">
        <v>280</v>
      </c>
      <c r="B2" s="122" t="s">
        <v>9</v>
      </c>
      <c r="C2" s="122" t="s">
        <v>281</v>
      </c>
      <c r="D2" s="122" t="s">
        <v>282</v>
      </c>
      <c r="E2" s="180" t="s">
        <v>283</v>
      </c>
      <c r="F2" s="122" t="s">
        <v>284</v>
      </c>
      <c r="G2" s="129" t="s">
        <v>285</v>
      </c>
      <c r="H2" s="165" t="s">
        <v>59</v>
      </c>
      <c r="I2" s="122" t="s">
        <v>286</v>
      </c>
      <c r="J2" s="122" t="s">
        <v>287</v>
      </c>
      <c r="K2" s="122" t="s">
        <v>288</v>
      </c>
      <c r="L2" s="122" t="s">
        <v>289</v>
      </c>
      <c r="M2" s="122" t="s">
        <v>290</v>
      </c>
      <c r="N2" s="122" t="s">
        <v>291</v>
      </c>
      <c r="O2" s="122" t="s">
        <v>292</v>
      </c>
      <c r="P2" s="122" t="s">
        <v>293</v>
      </c>
      <c r="Q2" s="122" t="s">
        <v>294</v>
      </c>
      <c r="R2" s="122" t="s">
        <v>295</v>
      </c>
      <c r="S2" s="122" t="s">
        <v>296</v>
      </c>
      <c r="T2" s="122" t="s">
        <v>297</v>
      </c>
      <c r="U2" s="122" t="s">
        <v>298</v>
      </c>
      <c r="V2" s="122" t="s">
        <v>299</v>
      </c>
      <c r="W2" s="122" t="s">
        <v>300</v>
      </c>
      <c r="X2" s="122" t="s">
        <v>301</v>
      </c>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row>
    <row r="3" spans="1:66" ht="66" x14ac:dyDescent="0.25">
      <c r="A3" s="647" t="s">
        <v>302</v>
      </c>
      <c r="B3" s="647" t="s">
        <v>60</v>
      </c>
      <c r="C3" s="644" t="s">
        <v>303</v>
      </c>
      <c r="D3" s="651" t="s">
        <v>304</v>
      </c>
      <c r="E3" s="647" t="s">
        <v>305</v>
      </c>
      <c r="F3" s="173" t="s">
        <v>306</v>
      </c>
      <c r="G3" s="589" t="s">
        <v>307</v>
      </c>
      <c r="H3" s="474" t="s">
        <v>308</v>
      </c>
      <c r="I3" s="579">
        <f>I63*(1-$I$64)+I62*$I$64</f>
        <v>0.183861</v>
      </c>
      <c r="J3" s="579">
        <f t="shared" ref="J3:X3" si="0">J63*(1-$I$64)+J62*$I$64</f>
        <v>0.183861</v>
      </c>
      <c r="K3" s="579">
        <f t="shared" si="0"/>
        <v>0.183861</v>
      </c>
      <c r="L3" s="579">
        <f t="shared" si="0"/>
        <v>0.183861</v>
      </c>
      <c r="M3" s="579">
        <f t="shared" si="0"/>
        <v>0.183861</v>
      </c>
      <c r="N3" s="579">
        <f t="shared" si="0"/>
        <v>0.183861</v>
      </c>
      <c r="O3" s="579">
        <f t="shared" si="0"/>
        <v>0.183861</v>
      </c>
      <c r="P3" s="579">
        <f t="shared" si="0"/>
        <v>0.183861</v>
      </c>
      <c r="Q3" s="579">
        <f t="shared" si="0"/>
        <v>0.183861</v>
      </c>
      <c r="R3" s="579">
        <f t="shared" si="0"/>
        <v>0.183861</v>
      </c>
      <c r="S3" s="579">
        <f t="shared" si="0"/>
        <v>0.183861</v>
      </c>
      <c r="T3" s="579">
        <f t="shared" si="0"/>
        <v>0.183861</v>
      </c>
      <c r="U3" s="579">
        <f t="shared" si="0"/>
        <v>0.183861</v>
      </c>
      <c r="V3" s="579">
        <f t="shared" si="0"/>
        <v>0.183861</v>
      </c>
      <c r="W3" s="579">
        <f t="shared" si="0"/>
        <v>0.183861</v>
      </c>
      <c r="X3" s="579">
        <f t="shared" si="0"/>
        <v>0.183861</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row>
    <row r="4" spans="1:66" ht="26.4" x14ac:dyDescent="0.25">
      <c r="A4" s="648"/>
      <c r="B4" s="648"/>
      <c r="C4" s="646"/>
      <c r="D4" s="651"/>
      <c r="E4" s="648"/>
      <c r="F4" s="174" t="s">
        <v>309</v>
      </c>
      <c r="G4" s="166">
        <v>1986</v>
      </c>
      <c r="H4" s="582" t="s">
        <v>310</v>
      </c>
      <c r="I4" s="580">
        <v>0.12</v>
      </c>
      <c r="J4" s="580">
        <v>0.12</v>
      </c>
      <c r="K4" s="580">
        <v>0.12</v>
      </c>
      <c r="L4" s="580">
        <v>0.12</v>
      </c>
      <c r="M4" s="580">
        <v>0.12</v>
      </c>
      <c r="N4" s="580">
        <v>0.12</v>
      </c>
      <c r="O4" s="580">
        <v>0.12</v>
      </c>
      <c r="P4" s="580">
        <v>0.12</v>
      </c>
      <c r="Q4" s="580">
        <v>0.12</v>
      </c>
      <c r="R4" s="580">
        <v>0.12</v>
      </c>
      <c r="S4" s="580">
        <v>0.12</v>
      </c>
      <c r="T4" s="580">
        <v>0.12</v>
      </c>
      <c r="U4" s="580">
        <v>0.12</v>
      </c>
      <c r="V4" s="580">
        <v>0.12</v>
      </c>
      <c r="W4" s="580">
        <v>0.12</v>
      </c>
      <c r="X4" s="580">
        <v>0.12</v>
      </c>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row>
    <row r="5" spans="1:66" ht="18.600000000000001" customHeight="1" x14ac:dyDescent="0.25">
      <c r="A5" s="648"/>
      <c r="B5" s="648"/>
      <c r="C5" s="646"/>
      <c r="D5" s="651"/>
      <c r="E5" s="648"/>
      <c r="F5" s="175" t="s">
        <v>311</v>
      </c>
      <c r="G5" s="167">
        <v>2001</v>
      </c>
      <c r="H5" s="167" t="s">
        <v>312</v>
      </c>
      <c r="I5" s="168">
        <v>0.14000000000000001</v>
      </c>
      <c r="J5" s="167">
        <v>0.17499999999999999</v>
      </c>
      <c r="K5" s="167">
        <v>0.18099999999999999</v>
      </c>
      <c r="L5" s="167">
        <v>0.18099999999999999</v>
      </c>
      <c r="M5" s="167">
        <v>0.18099999999999999</v>
      </c>
      <c r="N5" s="167">
        <v>0.18099999999999999</v>
      </c>
      <c r="O5" s="167">
        <v>0.18099999999999999</v>
      </c>
      <c r="P5" s="167">
        <v>0.18099999999999999</v>
      </c>
      <c r="Q5" s="167">
        <v>0.18099999999999999</v>
      </c>
      <c r="R5" s="167">
        <v>0.17499999999999999</v>
      </c>
      <c r="S5" s="167">
        <v>0.17499999999999999</v>
      </c>
      <c r="T5" s="167">
        <v>0.17499999999999999</v>
      </c>
      <c r="U5" s="167">
        <v>0.17499999999999999</v>
      </c>
      <c r="V5" s="167">
        <v>0.17499999999999999</v>
      </c>
      <c r="W5" s="167">
        <v>0.17499999999999999</v>
      </c>
      <c r="X5" s="168">
        <v>0.14000000000000001</v>
      </c>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row>
    <row r="6" spans="1:66" ht="18.600000000000001" customHeight="1" x14ac:dyDescent="0.25">
      <c r="A6" s="648"/>
      <c r="B6" s="648"/>
      <c r="C6" s="646"/>
      <c r="D6" s="651"/>
      <c r="E6" s="648"/>
      <c r="F6" s="485" t="s">
        <v>313</v>
      </c>
      <c r="G6" s="169">
        <v>2013</v>
      </c>
      <c r="H6" s="169" t="s">
        <v>314</v>
      </c>
      <c r="I6" s="169">
        <v>0.105</v>
      </c>
      <c r="J6" s="169">
        <v>0.105</v>
      </c>
      <c r="K6" s="169">
        <v>0.105</v>
      </c>
      <c r="L6" s="169">
        <v>0.105</v>
      </c>
      <c r="M6" s="169">
        <v>0.105</v>
      </c>
      <c r="N6" s="169">
        <v>0.105</v>
      </c>
      <c r="O6" s="169">
        <v>0.105</v>
      </c>
      <c r="P6" s="169">
        <v>0.105</v>
      </c>
      <c r="Q6" s="169">
        <v>0.105</v>
      </c>
      <c r="R6" s="169">
        <v>0.105</v>
      </c>
      <c r="S6" s="169">
        <v>0.105</v>
      </c>
      <c r="T6" s="169">
        <v>0.105</v>
      </c>
      <c r="U6" s="169">
        <v>0.105</v>
      </c>
      <c r="V6" s="169">
        <v>0.105</v>
      </c>
      <c r="W6" s="169">
        <v>0.105</v>
      </c>
      <c r="X6" s="169">
        <v>0.105</v>
      </c>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row>
    <row r="7" spans="1:66" ht="18.600000000000001" customHeight="1" x14ac:dyDescent="0.25">
      <c r="A7" s="648"/>
      <c r="B7" s="648"/>
      <c r="C7" s="646"/>
      <c r="D7" s="651"/>
      <c r="E7" s="648"/>
      <c r="F7" s="480" t="s">
        <v>315</v>
      </c>
      <c r="G7" s="480"/>
      <c r="H7" s="482" t="s">
        <v>316</v>
      </c>
      <c r="I7" s="492" cm="1">
        <f t="array" ref="I7:X7">_xlfn.BYCOL(TRANSPOSE(Weights!$C$4:$F$19)*I3:X6,_xlfn.LAMBDA(_xlpm.c,SUM(_xlpm.c)))</f>
        <v>0.15648176590180002</v>
      </c>
      <c r="J7" s="495">
        <v>0.17252697068119999</v>
      </c>
      <c r="K7" s="495">
        <v>0.1625616758383</v>
      </c>
      <c r="L7" s="495">
        <v>0.16309401661039999</v>
      </c>
      <c r="M7" s="495">
        <v>0.15423005215800001</v>
      </c>
      <c r="N7" s="495">
        <v>0.14071349295460003</v>
      </c>
      <c r="O7" s="495">
        <v>0.1376839350089</v>
      </c>
      <c r="P7" s="495">
        <v>0.13942821251490001</v>
      </c>
      <c r="Q7" s="495">
        <v>0.13993660576999997</v>
      </c>
      <c r="R7" s="495">
        <v>0.13714593893599999</v>
      </c>
      <c r="S7" s="495">
        <v>0.14340673275009999</v>
      </c>
      <c r="T7" s="495">
        <v>0.15076170186979998</v>
      </c>
      <c r="U7" s="495">
        <v>0.14654382997019999</v>
      </c>
      <c r="V7" s="495">
        <v>0.14208802539150001</v>
      </c>
      <c r="W7" s="495">
        <v>0.13220837667249999</v>
      </c>
      <c r="X7" s="495">
        <v>0.1335591893851</v>
      </c>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row>
    <row r="8" spans="1:66" ht="18.600000000000001" customHeight="1" x14ac:dyDescent="0.25">
      <c r="A8" s="649"/>
      <c r="B8" s="649"/>
      <c r="C8" s="645"/>
      <c r="D8" s="651"/>
      <c r="E8" s="649"/>
      <c r="F8" s="486" t="s">
        <v>317</v>
      </c>
      <c r="G8" s="483">
        <v>2025</v>
      </c>
      <c r="H8" s="484" t="s">
        <v>314</v>
      </c>
      <c r="I8" s="487">
        <v>6.9000000000000006E-2</v>
      </c>
      <c r="J8" s="487">
        <v>6.9000000000000006E-2</v>
      </c>
      <c r="K8" s="487">
        <v>6.9000000000000006E-2</v>
      </c>
      <c r="L8" s="487">
        <v>6.9000000000000006E-2</v>
      </c>
      <c r="M8" s="487">
        <v>6.9000000000000006E-2</v>
      </c>
      <c r="N8" s="487">
        <v>6.9000000000000006E-2</v>
      </c>
      <c r="O8" s="487">
        <v>0.105</v>
      </c>
      <c r="P8" s="487">
        <v>6.9000000000000006E-2</v>
      </c>
      <c r="Q8" s="487">
        <v>6.9000000000000006E-2</v>
      </c>
      <c r="R8" s="487">
        <v>6.9000000000000006E-2</v>
      </c>
      <c r="S8" s="487">
        <v>6.9000000000000006E-2</v>
      </c>
      <c r="T8" s="487">
        <v>6.9000000000000006E-2</v>
      </c>
      <c r="U8" s="487">
        <v>6.9000000000000006E-2</v>
      </c>
      <c r="V8" s="487">
        <v>6.9000000000000006E-2</v>
      </c>
      <c r="W8" s="487">
        <v>4.8000000000000001E-2</v>
      </c>
      <c r="X8" s="487">
        <v>6.9000000000000006E-2</v>
      </c>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row>
    <row r="9" spans="1:66" ht="65.25" customHeight="1" x14ac:dyDescent="0.25">
      <c r="A9" s="647" t="s">
        <v>318</v>
      </c>
      <c r="B9" s="647" t="s">
        <v>60</v>
      </c>
      <c r="C9" s="644" t="s">
        <v>319</v>
      </c>
      <c r="D9" s="650" t="s">
        <v>320</v>
      </c>
      <c r="E9" s="647" t="s">
        <v>305</v>
      </c>
      <c r="F9" s="173" t="s">
        <v>306</v>
      </c>
      <c r="G9" s="589" t="s">
        <v>307</v>
      </c>
      <c r="H9" s="474" t="s">
        <v>321</v>
      </c>
      <c r="I9" s="579">
        <f>I67*(1-$I$68)+I66*$I$68</f>
        <v>0.202877</v>
      </c>
      <c r="J9" s="579">
        <f t="shared" ref="J9:X9" si="1">J67*(1-$I$68)+J66*$I$68</f>
        <v>0.19614499999999999</v>
      </c>
      <c r="K9" s="579">
        <f t="shared" si="1"/>
        <v>0.19988499999999998</v>
      </c>
      <c r="L9" s="579">
        <f t="shared" si="1"/>
        <v>0.19614499999999999</v>
      </c>
      <c r="M9" s="579">
        <f t="shared" si="1"/>
        <v>0.19614499999999999</v>
      </c>
      <c r="N9" s="579">
        <f t="shared" si="1"/>
        <v>0.202877</v>
      </c>
      <c r="O9" s="579">
        <f t="shared" si="1"/>
        <v>0.202877</v>
      </c>
      <c r="P9" s="579">
        <f t="shared" si="1"/>
        <v>0.19614499999999999</v>
      </c>
      <c r="Q9" s="579">
        <f t="shared" si="1"/>
        <v>0.19614499999999999</v>
      </c>
      <c r="R9" s="579">
        <f t="shared" si="1"/>
        <v>0.19614499999999999</v>
      </c>
      <c r="S9" s="579">
        <f t="shared" si="1"/>
        <v>0.19614499999999999</v>
      </c>
      <c r="T9" s="579">
        <f t="shared" si="1"/>
        <v>0.19614499999999999</v>
      </c>
      <c r="U9" s="579">
        <f t="shared" si="1"/>
        <v>0.19614499999999999</v>
      </c>
      <c r="V9" s="579">
        <f t="shared" si="1"/>
        <v>0.19614499999999999</v>
      </c>
      <c r="W9" s="579">
        <f t="shared" si="1"/>
        <v>0.19614499999999999</v>
      </c>
      <c r="X9" s="579">
        <f t="shared" si="1"/>
        <v>0.19614499999999999</v>
      </c>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row>
    <row r="10" spans="1:66" ht="39.6" x14ac:dyDescent="0.25">
      <c r="A10" s="648"/>
      <c r="B10" s="648"/>
      <c r="C10" s="646"/>
      <c r="D10" s="650"/>
      <c r="E10" s="648"/>
      <c r="F10" s="174" t="s">
        <v>309</v>
      </c>
      <c r="G10" s="166">
        <v>1986</v>
      </c>
      <c r="H10" s="583" t="s">
        <v>322</v>
      </c>
      <c r="I10" s="581">
        <f>1/7.52</f>
        <v>0.13297872340425532</v>
      </c>
      <c r="J10" s="581">
        <f t="shared" ref="J10:X10" si="2">1/7.52</f>
        <v>0.13297872340425532</v>
      </c>
      <c r="K10" s="581">
        <f t="shared" si="2"/>
        <v>0.13297872340425532</v>
      </c>
      <c r="L10" s="581">
        <f t="shared" si="2"/>
        <v>0.13297872340425532</v>
      </c>
      <c r="M10" s="581">
        <f t="shared" si="2"/>
        <v>0.13297872340425532</v>
      </c>
      <c r="N10" s="581">
        <f t="shared" si="2"/>
        <v>0.13297872340425532</v>
      </c>
      <c r="O10" s="581">
        <f t="shared" si="2"/>
        <v>0.13297872340425532</v>
      </c>
      <c r="P10" s="581">
        <f t="shared" si="2"/>
        <v>0.13297872340425532</v>
      </c>
      <c r="Q10" s="581">
        <f t="shared" si="2"/>
        <v>0.13297872340425532</v>
      </c>
      <c r="R10" s="581">
        <f t="shared" si="2"/>
        <v>0.13297872340425532</v>
      </c>
      <c r="S10" s="581">
        <f t="shared" si="2"/>
        <v>0.13297872340425532</v>
      </c>
      <c r="T10" s="581">
        <f t="shared" si="2"/>
        <v>0.13297872340425532</v>
      </c>
      <c r="U10" s="581">
        <f t="shared" si="2"/>
        <v>0.13297872340425532</v>
      </c>
      <c r="V10" s="581">
        <f t="shared" si="2"/>
        <v>0.13297872340425532</v>
      </c>
      <c r="W10" s="581">
        <f t="shared" si="2"/>
        <v>0.13297872340425532</v>
      </c>
      <c r="X10" s="581">
        <f t="shared" si="2"/>
        <v>0.13297872340425532</v>
      </c>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row>
    <row r="11" spans="1:66" ht="19.2" customHeight="1" x14ac:dyDescent="0.25">
      <c r="A11" s="648"/>
      <c r="B11" s="648"/>
      <c r="C11" s="646"/>
      <c r="D11" s="650"/>
      <c r="E11" s="648"/>
      <c r="F11" s="175" t="s">
        <v>311</v>
      </c>
      <c r="G11" s="167">
        <v>2001</v>
      </c>
      <c r="H11" s="167" t="s">
        <v>323</v>
      </c>
      <c r="I11" s="168">
        <v>0.182</v>
      </c>
      <c r="J11" s="168">
        <v>0.182</v>
      </c>
      <c r="K11" s="168">
        <v>0.189</v>
      </c>
      <c r="L11" s="168">
        <v>0.189</v>
      </c>
      <c r="M11" s="168">
        <v>0.189</v>
      </c>
      <c r="N11" s="168">
        <v>0.189</v>
      </c>
      <c r="O11" s="168">
        <v>0.189</v>
      </c>
      <c r="P11" s="168">
        <v>0.189</v>
      </c>
      <c r="Q11" s="168">
        <v>0.189</v>
      </c>
      <c r="R11" s="168">
        <v>0.182</v>
      </c>
      <c r="S11" s="168">
        <v>0.182</v>
      </c>
      <c r="T11" s="168">
        <v>0.182</v>
      </c>
      <c r="U11" s="168">
        <v>0.182</v>
      </c>
      <c r="V11" s="168">
        <v>0.182</v>
      </c>
      <c r="W11" s="168">
        <v>0.182</v>
      </c>
      <c r="X11" s="168">
        <v>0.182</v>
      </c>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row>
    <row r="12" spans="1:66" ht="19.2" customHeight="1" x14ac:dyDescent="0.25">
      <c r="A12" s="648"/>
      <c r="B12" s="648"/>
      <c r="C12" s="646"/>
      <c r="D12" s="650"/>
      <c r="E12" s="648"/>
      <c r="F12" s="485" t="s">
        <v>313</v>
      </c>
      <c r="G12" s="169">
        <v>2013</v>
      </c>
      <c r="H12" s="169" t="s">
        <v>324</v>
      </c>
      <c r="I12" s="169">
        <v>9.8000000000000004E-2</v>
      </c>
      <c r="J12" s="169">
        <v>6.2E-2</v>
      </c>
      <c r="K12" s="169">
        <v>8.2000000000000003E-2</v>
      </c>
      <c r="L12" s="169">
        <v>6.2E-2</v>
      </c>
      <c r="M12" s="169">
        <v>6.2E-2</v>
      </c>
      <c r="N12" s="169">
        <v>9.8000000000000004E-2</v>
      </c>
      <c r="O12" s="169">
        <v>9.8000000000000004E-2</v>
      </c>
      <c r="P12" s="169">
        <v>6.2E-2</v>
      </c>
      <c r="Q12" s="169">
        <v>6.2E-2</v>
      </c>
      <c r="R12" s="169">
        <v>6.2E-2</v>
      </c>
      <c r="S12" s="169">
        <v>6.2E-2</v>
      </c>
      <c r="T12" s="169">
        <v>6.2E-2</v>
      </c>
      <c r="U12" s="169">
        <v>6.2E-2</v>
      </c>
      <c r="V12" s="169">
        <v>6.2E-2</v>
      </c>
      <c r="W12" s="169">
        <v>6.2E-2</v>
      </c>
      <c r="X12" s="169">
        <v>6.2E-2</v>
      </c>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row>
    <row r="13" spans="1:66" ht="19.2" customHeight="1" x14ac:dyDescent="0.25">
      <c r="A13" s="648"/>
      <c r="B13" s="648"/>
      <c r="C13" s="646"/>
      <c r="D13" s="650"/>
      <c r="E13" s="648"/>
      <c r="F13" s="480" t="s">
        <v>315</v>
      </c>
      <c r="G13" s="480"/>
      <c r="H13" s="481" t="s">
        <v>316</v>
      </c>
      <c r="I13" s="492" cm="1">
        <f t="array" ref="I13:X13">_xlfn.BYCOL(TRANSPOSE(Weights!$C$4:$F$19)*I9:X12,_xlfn.LAMBDA(_xlpm.c,SUM(_xlpm.c)))</f>
        <v>0.17860676420642979</v>
      </c>
      <c r="J13" s="495">
        <v>0.18149612031059573</v>
      </c>
      <c r="K13" s="495">
        <v>0.17437331971443615</v>
      </c>
      <c r="L13" s="495">
        <v>0.17230957638757444</v>
      </c>
      <c r="M13" s="495">
        <v>0.1631227352951064</v>
      </c>
      <c r="N13" s="495">
        <v>0.15235924661347661</v>
      </c>
      <c r="O13" s="495">
        <v>0.14595334491027873</v>
      </c>
      <c r="P13" s="495">
        <v>0.14430123390071276</v>
      </c>
      <c r="Q13" s="495">
        <v>0.14531581087765957</v>
      </c>
      <c r="R13" s="495">
        <v>0.14145191390510639</v>
      </c>
      <c r="S13" s="495">
        <v>0.14876292602003191</v>
      </c>
      <c r="T13" s="495">
        <v>0.15515975376951063</v>
      </c>
      <c r="U13" s="495">
        <v>0.14838540345602125</v>
      </c>
      <c r="V13" s="495">
        <v>0.14788036062388299</v>
      </c>
      <c r="W13" s="495">
        <v>0.14080955595611702</v>
      </c>
      <c r="X13" s="495">
        <v>0.14868870555886171</v>
      </c>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row>
    <row r="14" spans="1:66" ht="19.2" customHeight="1" x14ac:dyDescent="0.25">
      <c r="A14" s="649"/>
      <c r="B14" s="649"/>
      <c r="C14" s="646"/>
      <c r="D14" s="650"/>
      <c r="E14" s="649"/>
      <c r="F14" s="486" t="s">
        <v>317</v>
      </c>
      <c r="G14" s="483">
        <v>2025</v>
      </c>
      <c r="H14" s="484" t="s">
        <v>324</v>
      </c>
      <c r="I14" s="487">
        <v>0.06</v>
      </c>
      <c r="J14" s="483">
        <v>5.5E-2</v>
      </c>
      <c r="K14" s="483">
        <v>7.0999999999999994E-2</v>
      </c>
      <c r="L14" s="483">
        <v>5.5E-2</v>
      </c>
      <c r="M14" s="483">
        <v>5.5E-2</v>
      </c>
      <c r="N14" s="487">
        <v>0.06</v>
      </c>
      <c r="O14" s="487">
        <v>0.06</v>
      </c>
      <c r="P14" s="483">
        <v>5.5E-2</v>
      </c>
      <c r="Q14" s="483">
        <v>5.5E-2</v>
      </c>
      <c r="R14" s="483">
        <v>5.5E-2</v>
      </c>
      <c r="S14" s="483">
        <v>5.5E-2</v>
      </c>
      <c r="T14" s="483">
        <v>5.5E-2</v>
      </c>
      <c r="U14" s="483">
        <v>5.5E-2</v>
      </c>
      <c r="V14" s="483">
        <v>5.5E-2</v>
      </c>
      <c r="W14" s="483">
        <v>5.5E-2</v>
      </c>
      <c r="X14" s="483">
        <v>5.5E-2</v>
      </c>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row>
    <row r="15" spans="1:66" x14ac:dyDescent="0.25">
      <c r="A15" s="647" t="s">
        <v>325</v>
      </c>
      <c r="B15" s="647" t="s">
        <v>60</v>
      </c>
      <c r="C15" s="644" t="s">
        <v>326</v>
      </c>
      <c r="D15" s="652" t="s">
        <v>327</v>
      </c>
      <c r="E15" s="647" t="s">
        <v>305</v>
      </c>
      <c r="F15" s="173" t="s">
        <v>306</v>
      </c>
      <c r="G15" s="589" t="s">
        <v>307</v>
      </c>
      <c r="H15" s="644" t="s">
        <v>328</v>
      </c>
      <c r="I15" s="170">
        <v>3.6999999999999998E-2</v>
      </c>
      <c r="J15" s="170">
        <v>5.0999999999999997E-2</v>
      </c>
      <c r="K15" s="170">
        <v>5.0999999999999997E-2</v>
      </c>
      <c r="L15" s="170">
        <v>5.0999999999999997E-2</v>
      </c>
      <c r="M15" s="170">
        <v>5.0999999999999997E-2</v>
      </c>
      <c r="N15" s="170">
        <v>5.0999999999999997E-2</v>
      </c>
      <c r="O15" s="170">
        <v>5.0999999999999997E-2</v>
      </c>
      <c r="P15" s="170">
        <v>5.0999999999999997E-2</v>
      </c>
      <c r="Q15" s="170">
        <v>5.0999999999999997E-2</v>
      </c>
      <c r="R15" s="170">
        <v>5.0999999999999997E-2</v>
      </c>
      <c r="S15" s="170">
        <v>3.6999999999999998E-2</v>
      </c>
      <c r="T15" s="170">
        <v>3.6999999999999998E-2</v>
      </c>
      <c r="U15" s="170">
        <v>3.6999999999999998E-2</v>
      </c>
      <c r="V15" s="170">
        <v>3.6999999999999998E-2</v>
      </c>
      <c r="W15" s="170">
        <v>3.6999999999999998E-2</v>
      </c>
      <c r="X15" s="170">
        <v>3.6999999999999998E-2</v>
      </c>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row>
    <row r="16" spans="1:66" ht="20.399999999999999" customHeight="1" x14ac:dyDescent="0.25">
      <c r="A16" s="648"/>
      <c r="B16" s="648"/>
      <c r="C16" s="646"/>
      <c r="D16" s="653"/>
      <c r="E16" s="648"/>
      <c r="F16" s="173" t="s">
        <v>309</v>
      </c>
      <c r="G16" s="589" t="s">
        <v>307</v>
      </c>
      <c r="H16" s="645"/>
      <c r="I16" s="166">
        <v>3.6999999999999998E-2</v>
      </c>
      <c r="J16" s="166">
        <v>5.0999999999999997E-2</v>
      </c>
      <c r="K16" s="166">
        <v>5.0999999999999997E-2</v>
      </c>
      <c r="L16" s="166">
        <v>5.0999999999999997E-2</v>
      </c>
      <c r="M16" s="166">
        <v>5.0999999999999997E-2</v>
      </c>
      <c r="N16" s="166">
        <v>5.0999999999999997E-2</v>
      </c>
      <c r="O16" s="166">
        <v>5.0999999999999997E-2</v>
      </c>
      <c r="P16" s="166">
        <v>5.0999999999999997E-2</v>
      </c>
      <c r="Q16" s="166">
        <v>5.0999999999999997E-2</v>
      </c>
      <c r="R16" s="166">
        <v>5.0999999999999997E-2</v>
      </c>
      <c r="S16" s="166">
        <v>3.6999999999999998E-2</v>
      </c>
      <c r="T16" s="166">
        <v>3.6999999999999998E-2</v>
      </c>
      <c r="U16" s="166">
        <v>3.6999999999999998E-2</v>
      </c>
      <c r="V16" s="166">
        <v>3.6999999999999998E-2</v>
      </c>
      <c r="W16" s="166">
        <v>3.6999999999999998E-2</v>
      </c>
      <c r="X16" s="166">
        <v>3.6999999999999998E-2</v>
      </c>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row>
    <row r="17" spans="1:66" ht="18.600000000000001" customHeight="1" x14ac:dyDescent="0.25">
      <c r="A17" s="648"/>
      <c r="B17" s="648"/>
      <c r="C17" s="646"/>
      <c r="D17" s="653"/>
      <c r="E17" s="648"/>
      <c r="F17" s="175" t="s">
        <v>311</v>
      </c>
      <c r="G17" s="167">
        <v>2001</v>
      </c>
      <c r="H17" s="488" t="s">
        <v>312</v>
      </c>
      <c r="I17" s="167">
        <v>3.6999999999999998E-2</v>
      </c>
      <c r="J17" s="167">
        <v>3.6999999999999998E-2</v>
      </c>
      <c r="K17" s="167">
        <v>5.0999999999999997E-2</v>
      </c>
      <c r="L17" s="167">
        <v>5.0999999999999997E-2</v>
      </c>
      <c r="M17" s="167">
        <v>5.0999999999999997E-2</v>
      </c>
      <c r="N17" s="167">
        <v>5.0999999999999997E-2</v>
      </c>
      <c r="O17" s="167">
        <v>5.0999999999999997E-2</v>
      </c>
      <c r="P17" s="167">
        <v>5.0999999999999997E-2</v>
      </c>
      <c r="Q17" s="167">
        <v>5.0999999999999997E-2</v>
      </c>
      <c r="R17" s="167">
        <v>3.6999999999999998E-2</v>
      </c>
      <c r="S17" s="167">
        <v>3.6999999999999998E-2</v>
      </c>
      <c r="T17" s="167">
        <v>3.6999999999999998E-2</v>
      </c>
      <c r="U17" s="167">
        <v>3.6999999999999998E-2</v>
      </c>
      <c r="V17" s="167">
        <v>3.6999999999999998E-2</v>
      </c>
      <c r="W17" s="167">
        <v>3.6999999999999998E-2</v>
      </c>
      <c r="X17" s="167">
        <v>3.6999999999999998E-2</v>
      </c>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row>
    <row r="18" spans="1:66" ht="18.600000000000001" customHeight="1" x14ac:dyDescent="0.25">
      <c r="A18" s="648"/>
      <c r="B18" s="648"/>
      <c r="C18" s="646"/>
      <c r="D18" s="653"/>
      <c r="E18" s="648"/>
      <c r="F18" s="485" t="s">
        <v>313</v>
      </c>
      <c r="G18" s="169">
        <v>2013</v>
      </c>
      <c r="H18" s="489" t="s">
        <v>314</v>
      </c>
      <c r="I18" s="169">
        <v>3.4000000000000002E-2</v>
      </c>
      <c r="J18" s="169">
        <v>2.8000000000000001E-2</v>
      </c>
      <c r="K18" s="169">
        <v>3.9E-2</v>
      </c>
      <c r="L18" s="169">
        <v>2.8000000000000001E-2</v>
      </c>
      <c r="M18" s="169">
        <v>3.9E-2</v>
      </c>
      <c r="N18" s="169">
        <v>3.9E-2</v>
      </c>
      <c r="O18" s="169">
        <v>3.9E-2</v>
      </c>
      <c r="P18" s="169">
        <v>2.8000000000000001E-2</v>
      </c>
      <c r="Q18" s="169">
        <v>2.8000000000000001E-2</v>
      </c>
      <c r="R18" s="169">
        <v>2.8000000000000001E-2</v>
      </c>
      <c r="S18" s="169">
        <v>2.8000000000000001E-2</v>
      </c>
      <c r="T18" s="169">
        <v>2.8000000000000001E-2</v>
      </c>
      <c r="U18" s="169">
        <v>2.8000000000000001E-2</v>
      </c>
      <c r="V18" s="169">
        <v>2.8000000000000001E-2</v>
      </c>
      <c r="W18" s="169">
        <v>2.8000000000000001E-2</v>
      </c>
      <c r="X18" s="169">
        <v>2.8000000000000001E-2</v>
      </c>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row>
    <row r="19" spans="1:66" ht="18.600000000000001" customHeight="1" x14ac:dyDescent="0.25">
      <c r="A19" s="648"/>
      <c r="B19" s="648"/>
      <c r="C19" s="646"/>
      <c r="D19" s="653"/>
      <c r="E19" s="648"/>
      <c r="F19" s="480" t="s">
        <v>315</v>
      </c>
      <c r="G19" s="480"/>
      <c r="H19" s="481" t="s">
        <v>316</v>
      </c>
      <c r="I19" s="492" cm="1">
        <f t="array" ref="I19:X19">_xlfn.BYCOL(TRANSPOSE(Weights!$C$4:$F$19)*I15:X18,_xlfn.LAMBDA(_xlpm.c,SUM(_xlpm.c)))</f>
        <v>3.6791618599999999E-2</v>
      </c>
      <c r="J19" s="495">
        <v>4.6176750599999997E-2</v>
      </c>
      <c r="K19" s="495">
        <v>5.0472280800000005E-2</v>
      </c>
      <c r="L19" s="495">
        <v>5.0016356699999993E-2</v>
      </c>
      <c r="M19" s="495">
        <v>5.03616156E-2</v>
      </c>
      <c r="N19" s="495">
        <v>4.9529487599999998E-2</v>
      </c>
      <c r="O19" s="495">
        <v>4.8066733199999996E-2</v>
      </c>
      <c r="P19" s="495">
        <v>4.7926289699999992E-2</v>
      </c>
      <c r="Q19" s="495">
        <v>4.8148439300000005E-2</v>
      </c>
      <c r="R19" s="495">
        <v>4.5041902999999994E-2</v>
      </c>
      <c r="S19" s="495">
        <v>3.5995154500000001E-2</v>
      </c>
      <c r="T19" s="495">
        <v>3.588985439999999E-2</v>
      </c>
      <c r="U19" s="495">
        <v>3.5397375399999993E-2</v>
      </c>
      <c r="V19" s="495">
        <v>3.60932302E-2</v>
      </c>
      <c r="W19" s="495">
        <v>3.6415285300000003E-2</v>
      </c>
      <c r="X19" s="495">
        <v>3.6018918100000005E-2</v>
      </c>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row>
    <row r="20" spans="1:66" ht="18.600000000000001" customHeight="1" x14ac:dyDescent="0.25">
      <c r="A20" s="649"/>
      <c r="B20" s="649"/>
      <c r="C20" s="645"/>
      <c r="D20" s="654"/>
      <c r="E20" s="649"/>
      <c r="F20" s="486" t="s">
        <v>317</v>
      </c>
      <c r="G20" s="483">
        <v>2025</v>
      </c>
      <c r="H20" s="490" t="s">
        <v>314</v>
      </c>
      <c r="I20" s="483">
        <v>2.8000000000000001E-2</v>
      </c>
      <c r="J20" s="483">
        <v>2.8000000000000001E-2</v>
      </c>
      <c r="K20" s="483">
        <v>3.4000000000000002E-2</v>
      </c>
      <c r="L20" s="483">
        <v>2.8000000000000001E-2</v>
      </c>
      <c r="M20" s="483">
        <v>3.4000000000000002E-2</v>
      </c>
      <c r="N20" s="483">
        <v>3.4000000000000002E-2</v>
      </c>
      <c r="O20" s="483">
        <v>3.9E-2</v>
      </c>
      <c r="P20" s="483">
        <v>2.8000000000000001E-2</v>
      </c>
      <c r="Q20" s="483">
        <v>2.8000000000000001E-2</v>
      </c>
      <c r="R20" s="483">
        <v>2.8000000000000001E-2</v>
      </c>
      <c r="S20" s="483">
        <v>2.8000000000000001E-2</v>
      </c>
      <c r="T20" s="483">
        <v>2.8000000000000001E-2</v>
      </c>
      <c r="U20" s="483">
        <v>2.8000000000000001E-2</v>
      </c>
      <c r="V20" s="483">
        <v>2.8000000000000001E-2</v>
      </c>
      <c r="W20" s="483">
        <v>2.8000000000000001E-2</v>
      </c>
      <c r="X20" s="483">
        <v>2.8000000000000001E-2</v>
      </c>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row>
    <row r="21" spans="1:66" ht="17.399999999999999" customHeight="1" x14ac:dyDescent="0.25">
      <c r="A21" s="647" t="s">
        <v>329</v>
      </c>
      <c r="B21" s="647" t="s">
        <v>60</v>
      </c>
      <c r="C21" s="647" t="s">
        <v>330</v>
      </c>
      <c r="D21" s="662" t="s">
        <v>331</v>
      </c>
      <c r="E21" s="661" t="s">
        <v>305</v>
      </c>
      <c r="F21" s="173" t="s">
        <v>306</v>
      </c>
      <c r="G21" s="589" t="s">
        <v>307</v>
      </c>
      <c r="H21" s="644" t="s">
        <v>332</v>
      </c>
      <c r="I21" s="171">
        <f t="shared" ref="I21:X22" si="3">0.33*1.12+0.67*0.36</f>
        <v>0.61080000000000001</v>
      </c>
      <c r="J21" s="171">
        <f t="shared" si="3"/>
        <v>0.61080000000000001</v>
      </c>
      <c r="K21" s="171">
        <f t="shared" si="3"/>
        <v>0.61080000000000001</v>
      </c>
      <c r="L21" s="171">
        <f t="shared" si="3"/>
        <v>0.61080000000000001</v>
      </c>
      <c r="M21" s="171">
        <f t="shared" si="3"/>
        <v>0.61080000000000001</v>
      </c>
      <c r="N21" s="171">
        <f t="shared" si="3"/>
        <v>0.61080000000000001</v>
      </c>
      <c r="O21" s="171">
        <f t="shared" si="3"/>
        <v>0.61080000000000001</v>
      </c>
      <c r="P21" s="171">
        <f t="shared" si="3"/>
        <v>0.61080000000000001</v>
      </c>
      <c r="Q21" s="171">
        <f t="shared" si="3"/>
        <v>0.61080000000000001</v>
      </c>
      <c r="R21" s="171">
        <f t="shared" si="3"/>
        <v>0.61080000000000001</v>
      </c>
      <c r="S21" s="171">
        <f t="shared" si="3"/>
        <v>0.61080000000000001</v>
      </c>
      <c r="T21" s="171">
        <f t="shared" si="3"/>
        <v>0.61080000000000001</v>
      </c>
      <c r="U21" s="171">
        <f t="shared" si="3"/>
        <v>0.61080000000000001</v>
      </c>
      <c r="V21" s="171">
        <f t="shared" si="3"/>
        <v>0.61080000000000001</v>
      </c>
      <c r="W21" s="171">
        <f t="shared" si="3"/>
        <v>0.61080000000000001</v>
      </c>
      <c r="X21" s="171">
        <f t="shared" si="3"/>
        <v>0.61080000000000001</v>
      </c>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row>
    <row r="22" spans="1:66" ht="17.399999999999999" customHeight="1" x14ac:dyDescent="0.25">
      <c r="A22" s="648"/>
      <c r="B22" s="648"/>
      <c r="C22" s="648"/>
      <c r="D22" s="662"/>
      <c r="E22" s="661"/>
      <c r="F22" s="173" t="s">
        <v>309</v>
      </c>
      <c r="G22" s="589" t="s">
        <v>307</v>
      </c>
      <c r="H22" s="645"/>
      <c r="I22" s="171">
        <f t="shared" si="3"/>
        <v>0.61080000000000001</v>
      </c>
      <c r="J22" s="171">
        <f t="shared" si="3"/>
        <v>0.61080000000000001</v>
      </c>
      <c r="K22" s="171">
        <f t="shared" si="3"/>
        <v>0.61080000000000001</v>
      </c>
      <c r="L22" s="171">
        <f t="shared" si="3"/>
        <v>0.61080000000000001</v>
      </c>
      <c r="M22" s="171">
        <f t="shared" si="3"/>
        <v>0.61080000000000001</v>
      </c>
      <c r="N22" s="171">
        <f t="shared" si="3"/>
        <v>0.61080000000000001</v>
      </c>
      <c r="O22" s="171">
        <f t="shared" si="3"/>
        <v>0.61080000000000001</v>
      </c>
      <c r="P22" s="171">
        <f t="shared" si="3"/>
        <v>0.61080000000000001</v>
      </c>
      <c r="Q22" s="171">
        <f t="shared" si="3"/>
        <v>0.61080000000000001</v>
      </c>
      <c r="R22" s="171">
        <f t="shared" si="3"/>
        <v>0.61080000000000001</v>
      </c>
      <c r="S22" s="171">
        <f t="shared" si="3"/>
        <v>0.61080000000000001</v>
      </c>
      <c r="T22" s="171">
        <f t="shared" si="3"/>
        <v>0.61080000000000001</v>
      </c>
      <c r="U22" s="171">
        <f t="shared" si="3"/>
        <v>0.61080000000000001</v>
      </c>
      <c r="V22" s="171">
        <f t="shared" si="3"/>
        <v>0.61080000000000001</v>
      </c>
      <c r="W22" s="171">
        <f t="shared" si="3"/>
        <v>0.61080000000000001</v>
      </c>
      <c r="X22" s="171">
        <f t="shared" si="3"/>
        <v>0.61080000000000001</v>
      </c>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row>
    <row r="23" spans="1:66" ht="17.399999999999999" customHeight="1" x14ac:dyDescent="0.25">
      <c r="A23" s="648"/>
      <c r="B23" s="648"/>
      <c r="C23" s="648"/>
      <c r="D23" s="647" t="s">
        <v>333</v>
      </c>
      <c r="E23" s="661"/>
      <c r="F23" s="175" t="s">
        <v>311</v>
      </c>
      <c r="G23" s="167">
        <v>2001</v>
      </c>
      <c r="H23" s="167" t="s">
        <v>312</v>
      </c>
      <c r="I23" s="172">
        <v>0.49</v>
      </c>
      <c r="J23" s="172">
        <v>0.49</v>
      </c>
      <c r="K23" s="172">
        <v>0.49</v>
      </c>
      <c r="L23" s="172">
        <v>0.49</v>
      </c>
      <c r="M23" s="172">
        <v>0.49</v>
      </c>
      <c r="N23" s="172">
        <v>0.49</v>
      </c>
      <c r="O23" s="172">
        <v>0.49</v>
      </c>
      <c r="P23" s="172">
        <v>0.49</v>
      </c>
      <c r="Q23" s="172">
        <v>0.49</v>
      </c>
      <c r="R23" s="172">
        <v>0.49</v>
      </c>
      <c r="S23" s="172">
        <v>0.49</v>
      </c>
      <c r="T23" s="172">
        <v>0.49</v>
      </c>
      <c r="U23" s="172">
        <v>0.49</v>
      </c>
      <c r="V23" s="172">
        <v>0.49</v>
      </c>
      <c r="W23" s="172">
        <v>0.49</v>
      </c>
      <c r="X23" s="172">
        <v>0.49</v>
      </c>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row>
    <row r="24" spans="1:66" ht="17.399999999999999" customHeight="1" x14ac:dyDescent="0.25">
      <c r="A24" s="648"/>
      <c r="B24" s="648"/>
      <c r="C24" s="648"/>
      <c r="D24" s="648"/>
      <c r="E24" s="661"/>
      <c r="F24" s="485" t="s">
        <v>313</v>
      </c>
      <c r="G24" s="169">
        <v>2013</v>
      </c>
      <c r="H24" s="169" t="s">
        <v>314</v>
      </c>
      <c r="I24" s="496">
        <v>0.36</v>
      </c>
      <c r="J24" s="496">
        <v>0.36</v>
      </c>
      <c r="K24" s="496">
        <v>0.36</v>
      </c>
      <c r="L24" s="496">
        <v>0.36</v>
      </c>
      <c r="M24" s="496">
        <v>0.36</v>
      </c>
      <c r="N24" s="496">
        <v>0.36</v>
      </c>
      <c r="O24" s="496">
        <v>0.36</v>
      </c>
      <c r="P24" s="496">
        <v>0.36</v>
      </c>
      <c r="Q24" s="496">
        <v>0.36</v>
      </c>
      <c r="R24" s="496">
        <v>0.36</v>
      </c>
      <c r="S24" s="496">
        <v>0.36</v>
      </c>
      <c r="T24" s="496">
        <v>0.36</v>
      </c>
      <c r="U24" s="496">
        <v>0.36</v>
      </c>
      <c r="V24" s="496">
        <v>0.36</v>
      </c>
      <c r="W24" s="496">
        <v>0.36</v>
      </c>
      <c r="X24" s="496">
        <v>0.36</v>
      </c>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row>
    <row r="25" spans="1:66" ht="17.399999999999999" customHeight="1" x14ac:dyDescent="0.25">
      <c r="A25" s="648"/>
      <c r="B25" s="648"/>
      <c r="C25" s="648"/>
      <c r="D25" s="648"/>
      <c r="E25" s="661"/>
      <c r="F25" s="480" t="s">
        <v>315</v>
      </c>
      <c r="G25" s="480"/>
      <c r="H25" s="481" t="s">
        <v>316</v>
      </c>
      <c r="I25" s="493" cm="1">
        <f t="array" ref="I25:X25">_xlfn.BYCOL(TRANSPOSE(Weights!$C$4:$F$19)*I21:X24,_xlfn.LAMBDA(_xlpm.c,SUM(_xlpm.c)))</f>
        <v>0.56227077151999993</v>
      </c>
      <c r="J25" s="494">
        <v>0.56742890887999997</v>
      </c>
      <c r="K25" s="494">
        <v>0.57456316359999993</v>
      </c>
      <c r="L25" s="494">
        <v>0.57506559668000001</v>
      </c>
      <c r="M25" s="494">
        <v>0.57710610683999997</v>
      </c>
      <c r="N25" s="494">
        <v>0.56863661764000017</v>
      </c>
      <c r="O25" s="494">
        <v>0.52876281043999995</v>
      </c>
      <c r="P25" s="494">
        <v>0.56632172268000003</v>
      </c>
      <c r="Q25" s="494">
        <v>0.56788878931999998</v>
      </c>
      <c r="R25" s="494">
        <v>0.55253345048000002</v>
      </c>
      <c r="S25" s="494">
        <v>0.55810841620000007</v>
      </c>
      <c r="T25" s="494">
        <v>0.55020572432000003</v>
      </c>
      <c r="U25" s="494">
        <v>0.54702841440000005</v>
      </c>
      <c r="V25" s="494">
        <v>0.55657562447999998</v>
      </c>
      <c r="W25" s="494">
        <v>0.58109568868000006</v>
      </c>
      <c r="X25" s="494">
        <v>0.54868049444</v>
      </c>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row>
    <row r="26" spans="1:66" ht="17.399999999999999" customHeight="1" x14ac:dyDescent="0.25">
      <c r="A26" s="648"/>
      <c r="B26" s="648"/>
      <c r="C26" s="648"/>
      <c r="D26" s="649"/>
      <c r="E26" s="661"/>
      <c r="F26" s="486" t="s">
        <v>317</v>
      </c>
      <c r="G26" s="483">
        <v>2025</v>
      </c>
      <c r="H26" s="483" t="s">
        <v>314</v>
      </c>
      <c r="I26" s="497">
        <v>0.36</v>
      </c>
      <c r="J26" s="497">
        <v>0.36</v>
      </c>
      <c r="K26" s="497">
        <v>0.36</v>
      </c>
      <c r="L26" s="497">
        <v>0.36</v>
      </c>
      <c r="M26" s="497">
        <v>0.36</v>
      </c>
      <c r="N26" s="497">
        <v>0.36</v>
      </c>
      <c r="O26" s="497">
        <v>0.36</v>
      </c>
      <c r="P26" s="497">
        <v>0.36</v>
      </c>
      <c r="Q26" s="497">
        <v>0.36</v>
      </c>
      <c r="R26" s="497">
        <v>0.36</v>
      </c>
      <c r="S26" s="497">
        <v>0.36</v>
      </c>
      <c r="T26" s="497">
        <v>0.36</v>
      </c>
      <c r="U26" s="497">
        <v>0.36</v>
      </c>
      <c r="V26" s="497">
        <v>0.36</v>
      </c>
      <c r="W26" s="497">
        <v>0.36</v>
      </c>
      <c r="X26" s="497">
        <v>0.36</v>
      </c>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row>
    <row r="27" spans="1:66" ht="18" customHeight="1" x14ac:dyDescent="0.25">
      <c r="A27" s="648"/>
      <c r="B27" s="648"/>
      <c r="C27" s="648"/>
      <c r="D27" s="644" t="s">
        <v>331</v>
      </c>
      <c r="E27" s="647" t="s">
        <v>334</v>
      </c>
      <c r="F27" s="173" t="s">
        <v>306</v>
      </c>
      <c r="G27" s="589" t="s">
        <v>307</v>
      </c>
      <c r="H27" s="644" t="s">
        <v>335</v>
      </c>
      <c r="I27" s="171">
        <f>0.79*0.33+0.67*I42</f>
        <v>0.42820000000000003</v>
      </c>
      <c r="J27" s="171">
        <f t="shared" ref="J27:X27" si="4">0.79*0.33+0.67*J42</f>
        <v>0.42820000000000003</v>
      </c>
      <c r="K27" s="171">
        <f t="shared" si="4"/>
        <v>0.42820000000000003</v>
      </c>
      <c r="L27" s="171">
        <f t="shared" si="4"/>
        <v>0.42820000000000003</v>
      </c>
      <c r="M27" s="171">
        <f t="shared" si="4"/>
        <v>0.42820000000000003</v>
      </c>
      <c r="N27" s="171">
        <f t="shared" si="4"/>
        <v>0.42820000000000003</v>
      </c>
      <c r="O27" s="171">
        <f t="shared" si="4"/>
        <v>0.42820000000000003</v>
      </c>
      <c r="P27" s="171">
        <f t="shared" si="4"/>
        <v>0.42820000000000003</v>
      </c>
      <c r="Q27" s="171">
        <f t="shared" si="4"/>
        <v>0.42820000000000003</v>
      </c>
      <c r="R27" s="171">
        <f t="shared" si="4"/>
        <v>0.42820000000000003</v>
      </c>
      <c r="S27" s="171">
        <f t="shared" si="4"/>
        <v>0.42820000000000003</v>
      </c>
      <c r="T27" s="171">
        <f t="shared" si="4"/>
        <v>0.42820000000000003</v>
      </c>
      <c r="U27" s="171">
        <f t="shared" si="4"/>
        <v>0.42820000000000003</v>
      </c>
      <c r="V27" s="171">
        <f t="shared" si="4"/>
        <v>0.42820000000000003</v>
      </c>
      <c r="W27" s="171">
        <f t="shared" si="4"/>
        <v>0.42820000000000003</v>
      </c>
      <c r="X27" s="171">
        <f t="shared" si="4"/>
        <v>0.42820000000000003</v>
      </c>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row>
    <row r="28" spans="1:66" ht="18" customHeight="1" x14ac:dyDescent="0.25">
      <c r="A28" s="648"/>
      <c r="B28" s="648"/>
      <c r="C28" s="648"/>
      <c r="D28" s="645"/>
      <c r="E28" s="648"/>
      <c r="F28" s="173" t="s">
        <v>309</v>
      </c>
      <c r="G28" s="589" t="s">
        <v>307</v>
      </c>
      <c r="H28" s="645"/>
      <c r="I28" s="171">
        <f>0.79*0.33+0.67*I30</f>
        <v>0.42820000000000003</v>
      </c>
      <c r="J28" s="171">
        <f t="shared" ref="J28:X28" si="5">0.79*0.33+0.67*J30</f>
        <v>0.42820000000000003</v>
      </c>
      <c r="K28" s="171">
        <f t="shared" si="5"/>
        <v>0.42820000000000003</v>
      </c>
      <c r="L28" s="171">
        <f t="shared" si="5"/>
        <v>0.42820000000000003</v>
      </c>
      <c r="M28" s="171">
        <f t="shared" si="5"/>
        <v>0.42820000000000003</v>
      </c>
      <c r="N28" s="171">
        <f t="shared" si="5"/>
        <v>0.42820000000000003</v>
      </c>
      <c r="O28" s="171">
        <f t="shared" si="5"/>
        <v>0.42820000000000003</v>
      </c>
      <c r="P28" s="171">
        <f t="shared" si="5"/>
        <v>0.42820000000000003</v>
      </c>
      <c r="Q28" s="171">
        <f t="shared" si="5"/>
        <v>0.42820000000000003</v>
      </c>
      <c r="R28" s="171">
        <f t="shared" si="5"/>
        <v>0.42820000000000003</v>
      </c>
      <c r="S28" s="171">
        <f t="shared" si="5"/>
        <v>0.42820000000000003</v>
      </c>
      <c r="T28" s="171">
        <f t="shared" si="5"/>
        <v>0.42820000000000003</v>
      </c>
      <c r="U28" s="171">
        <f t="shared" si="5"/>
        <v>0.42820000000000003</v>
      </c>
      <c r="V28" s="171">
        <f t="shared" si="5"/>
        <v>0.42820000000000003</v>
      </c>
      <c r="W28" s="171">
        <f t="shared" si="5"/>
        <v>0.42820000000000003</v>
      </c>
      <c r="X28" s="171">
        <f t="shared" si="5"/>
        <v>0.42820000000000003</v>
      </c>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row>
    <row r="29" spans="1:66" ht="18" customHeight="1" x14ac:dyDescent="0.25">
      <c r="A29" s="648"/>
      <c r="B29" s="648"/>
      <c r="C29" s="648"/>
      <c r="D29" s="647" t="s">
        <v>333</v>
      </c>
      <c r="E29" s="648"/>
      <c r="F29" s="175" t="s">
        <v>311</v>
      </c>
      <c r="G29" s="167">
        <v>2001</v>
      </c>
      <c r="H29" s="488" t="s">
        <v>336</v>
      </c>
      <c r="I29" s="335">
        <v>0.46</v>
      </c>
      <c r="J29" s="335">
        <v>0.36</v>
      </c>
      <c r="K29" s="335">
        <v>0.4</v>
      </c>
      <c r="L29" s="335">
        <v>0.4</v>
      </c>
      <c r="M29" s="335">
        <v>0.4</v>
      </c>
      <c r="N29" s="335">
        <v>0.4</v>
      </c>
      <c r="O29" s="335">
        <v>0.4</v>
      </c>
      <c r="P29" s="335">
        <v>0.4</v>
      </c>
      <c r="Q29" s="335">
        <v>0.4</v>
      </c>
      <c r="R29" s="335">
        <v>0.36</v>
      </c>
      <c r="S29" s="335">
        <v>0.36</v>
      </c>
      <c r="T29" s="335">
        <v>0.36</v>
      </c>
      <c r="U29" s="335">
        <v>0.36</v>
      </c>
      <c r="V29" s="335">
        <v>0.31</v>
      </c>
      <c r="W29" s="335">
        <v>0.31</v>
      </c>
      <c r="X29" s="335">
        <v>0.46</v>
      </c>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row>
    <row r="30" spans="1:66" ht="18" customHeight="1" x14ac:dyDescent="0.25">
      <c r="A30" s="648"/>
      <c r="B30" s="648"/>
      <c r="C30" s="648"/>
      <c r="D30" s="648"/>
      <c r="E30" s="648"/>
      <c r="F30" s="485" t="s">
        <v>313</v>
      </c>
      <c r="G30" s="169">
        <v>2013</v>
      </c>
      <c r="H30" s="169" t="s">
        <v>314</v>
      </c>
      <c r="I30" s="169">
        <v>0.25</v>
      </c>
      <c r="J30" s="169">
        <v>0.25</v>
      </c>
      <c r="K30" s="169">
        <v>0.25</v>
      </c>
      <c r="L30" s="169">
        <v>0.25</v>
      </c>
      <c r="M30" s="169">
        <v>0.25</v>
      </c>
      <c r="N30" s="169">
        <v>0.25</v>
      </c>
      <c r="O30" s="169">
        <v>0.25</v>
      </c>
      <c r="P30" s="169">
        <v>0.25</v>
      </c>
      <c r="Q30" s="169">
        <v>0.25</v>
      </c>
      <c r="R30" s="169">
        <v>0.25</v>
      </c>
      <c r="S30" s="169">
        <v>0.25</v>
      </c>
      <c r="T30" s="169">
        <v>0.25</v>
      </c>
      <c r="U30" s="169">
        <v>0.25</v>
      </c>
      <c r="V30" s="169">
        <v>0.25</v>
      </c>
      <c r="W30" s="169">
        <v>0.25</v>
      </c>
      <c r="X30" s="169">
        <v>0.25</v>
      </c>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row>
    <row r="31" spans="1:66" ht="18" customHeight="1" x14ac:dyDescent="0.25">
      <c r="A31" s="648"/>
      <c r="B31" s="648"/>
      <c r="C31" s="648"/>
      <c r="D31" s="648"/>
      <c r="E31" s="648"/>
      <c r="F31" s="480" t="s">
        <v>315</v>
      </c>
      <c r="G31" s="480"/>
      <c r="H31" s="481" t="s">
        <v>316</v>
      </c>
      <c r="I31" s="493" cm="1">
        <f t="array" ref="I31:X31">_xlfn.BYCOL(TRANSPOSE(Weights!$C$4:$F$19)*I27:X30,_xlfn.LAMBDA(_xlpm.c,SUM(_xlpm.c)))</f>
        <v>0.42401107208</v>
      </c>
      <c r="J31" s="494">
        <v>0.40248780602000001</v>
      </c>
      <c r="K31" s="494">
        <v>0.41447883640000005</v>
      </c>
      <c r="L31" s="494">
        <v>0.41474084572000003</v>
      </c>
      <c r="M31" s="494">
        <v>0.41396902485999998</v>
      </c>
      <c r="N31" s="494">
        <v>0.40369470556000009</v>
      </c>
      <c r="O31" s="494">
        <v>0.37980125326000003</v>
      </c>
      <c r="P31" s="494">
        <v>0.40182654272000007</v>
      </c>
      <c r="Q31" s="494">
        <v>0.40334804578000005</v>
      </c>
      <c r="R31" s="494">
        <v>0.39050926141999998</v>
      </c>
      <c r="S31" s="494">
        <v>0.3943648998</v>
      </c>
      <c r="T31" s="494">
        <v>0.38947499728000001</v>
      </c>
      <c r="U31" s="494">
        <v>0.38567810410000003</v>
      </c>
      <c r="V31" s="494">
        <v>0.38191345342000005</v>
      </c>
      <c r="W31" s="494">
        <v>0.40350101872000005</v>
      </c>
      <c r="X31" s="494">
        <v>0.41793024676000007</v>
      </c>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row>
    <row r="32" spans="1:66" ht="18" customHeight="1" x14ac:dyDescent="0.25">
      <c r="A32" s="649"/>
      <c r="B32" s="649"/>
      <c r="C32" s="649"/>
      <c r="D32" s="649"/>
      <c r="E32" s="649"/>
      <c r="F32" s="486" t="s">
        <v>317</v>
      </c>
      <c r="G32" s="483">
        <v>2025</v>
      </c>
      <c r="H32" s="484" t="s">
        <v>314</v>
      </c>
      <c r="I32" s="483">
        <v>0.25</v>
      </c>
      <c r="J32" s="483">
        <v>0.25</v>
      </c>
      <c r="K32" s="483">
        <v>0.25</v>
      </c>
      <c r="L32" s="483">
        <v>0.25</v>
      </c>
      <c r="M32" s="483">
        <v>0.25</v>
      </c>
      <c r="N32" s="483">
        <v>0.25</v>
      </c>
      <c r="O32" s="483">
        <v>0.25</v>
      </c>
      <c r="P32" s="483">
        <v>0.25</v>
      </c>
      <c r="Q32" s="483">
        <v>0.25</v>
      </c>
      <c r="R32" s="483">
        <v>0.25</v>
      </c>
      <c r="S32" s="483">
        <v>0.25</v>
      </c>
      <c r="T32" s="483">
        <v>0.25</v>
      </c>
      <c r="U32" s="483">
        <v>0.25</v>
      </c>
      <c r="V32" s="483">
        <v>0.25</v>
      </c>
      <c r="W32" s="483">
        <v>0.25</v>
      </c>
      <c r="X32" s="483">
        <v>0.25</v>
      </c>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row>
    <row r="33" spans="1:66" ht="17.399999999999999" customHeight="1" x14ac:dyDescent="0.25">
      <c r="A33" s="647" t="s">
        <v>337</v>
      </c>
      <c r="B33" s="647" t="s">
        <v>60</v>
      </c>
      <c r="C33" s="647" t="s">
        <v>338</v>
      </c>
      <c r="D33" s="662" t="s">
        <v>331</v>
      </c>
      <c r="E33" s="647" t="s">
        <v>305</v>
      </c>
      <c r="F33" s="173" t="s">
        <v>306</v>
      </c>
      <c r="G33" s="589" t="s">
        <v>307</v>
      </c>
      <c r="H33" s="644" t="s">
        <v>332</v>
      </c>
      <c r="I33" s="171">
        <f>0.338*1.12+0.67*0.36</f>
        <v>0.61976000000000009</v>
      </c>
      <c r="J33" s="171">
        <f t="shared" ref="J33:X34" si="6">0.338*1.12+0.67*0.36</f>
        <v>0.61976000000000009</v>
      </c>
      <c r="K33" s="171">
        <f t="shared" si="6"/>
        <v>0.61976000000000009</v>
      </c>
      <c r="L33" s="171">
        <f t="shared" si="6"/>
        <v>0.61976000000000009</v>
      </c>
      <c r="M33" s="171">
        <f t="shared" si="6"/>
        <v>0.61976000000000009</v>
      </c>
      <c r="N33" s="171">
        <f t="shared" si="6"/>
        <v>0.61976000000000009</v>
      </c>
      <c r="O33" s="171">
        <f t="shared" si="6"/>
        <v>0.61976000000000009</v>
      </c>
      <c r="P33" s="171">
        <f t="shared" si="6"/>
        <v>0.61976000000000009</v>
      </c>
      <c r="Q33" s="171">
        <f t="shared" si="6"/>
        <v>0.61976000000000009</v>
      </c>
      <c r="R33" s="171">
        <f t="shared" si="6"/>
        <v>0.61976000000000009</v>
      </c>
      <c r="S33" s="171">
        <f t="shared" si="6"/>
        <v>0.61976000000000009</v>
      </c>
      <c r="T33" s="171">
        <f t="shared" si="6"/>
        <v>0.61976000000000009</v>
      </c>
      <c r="U33" s="171">
        <f t="shared" si="6"/>
        <v>0.61976000000000009</v>
      </c>
      <c r="V33" s="171">
        <f t="shared" si="6"/>
        <v>0.61976000000000009</v>
      </c>
      <c r="W33" s="171">
        <f t="shared" si="6"/>
        <v>0.61976000000000009</v>
      </c>
      <c r="X33" s="171">
        <f t="shared" si="6"/>
        <v>0.61976000000000009</v>
      </c>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row>
    <row r="34" spans="1:66" ht="17.399999999999999" customHeight="1" x14ac:dyDescent="0.25">
      <c r="A34" s="648"/>
      <c r="B34" s="648"/>
      <c r="C34" s="648"/>
      <c r="D34" s="662"/>
      <c r="E34" s="648"/>
      <c r="F34" s="173" t="s">
        <v>309</v>
      </c>
      <c r="G34" s="589" t="s">
        <v>307</v>
      </c>
      <c r="H34" s="645"/>
      <c r="I34" s="171">
        <f>0.338*1.12+0.67*0.36</f>
        <v>0.61976000000000009</v>
      </c>
      <c r="J34" s="171">
        <f t="shared" si="6"/>
        <v>0.61976000000000009</v>
      </c>
      <c r="K34" s="171">
        <f t="shared" si="6"/>
        <v>0.61976000000000009</v>
      </c>
      <c r="L34" s="171">
        <f t="shared" si="6"/>
        <v>0.61976000000000009</v>
      </c>
      <c r="M34" s="171">
        <f t="shared" si="6"/>
        <v>0.61976000000000009</v>
      </c>
      <c r="N34" s="171">
        <f t="shared" si="6"/>
        <v>0.61976000000000009</v>
      </c>
      <c r="O34" s="171">
        <f t="shared" si="6"/>
        <v>0.61976000000000009</v>
      </c>
      <c r="P34" s="171">
        <f t="shared" si="6"/>
        <v>0.61976000000000009</v>
      </c>
      <c r="Q34" s="171">
        <f t="shared" si="6"/>
        <v>0.61976000000000009</v>
      </c>
      <c r="R34" s="171">
        <f t="shared" si="6"/>
        <v>0.61976000000000009</v>
      </c>
      <c r="S34" s="171">
        <f t="shared" si="6"/>
        <v>0.61976000000000009</v>
      </c>
      <c r="T34" s="171">
        <f t="shared" si="6"/>
        <v>0.61976000000000009</v>
      </c>
      <c r="U34" s="171">
        <f t="shared" si="6"/>
        <v>0.61976000000000009</v>
      </c>
      <c r="V34" s="171">
        <f t="shared" si="6"/>
        <v>0.61976000000000009</v>
      </c>
      <c r="W34" s="171">
        <f t="shared" si="6"/>
        <v>0.61976000000000009</v>
      </c>
      <c r="X34" s="171">
        <f t="shared" si="6"/>
        <v>0.61976000000000009</v>
      </c>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row>
    <row r="35" spans="1:66" ht="17.399999999999999" customHeight="1" x14ac:dyDescent="0.25">
      <c r="A35" s="648"/>
      <c r="B35" s="648"/>
      <c r="C35" s="648"/>
      <c r="D35" s="652" t="s">
        <v>333</v>
      </c>
      <c r="E35" s="648"/>
      <c r="F35" s="175" t="s">
        <v>311</v>
      </c>
      <c r="G35" s="167">
        <v>2001</v>
      </c>
      <c r="H35" s="167" t="s">
        <v>323</v>
      </c>
      <c r="I35" s="172">
        <v>0.49</v>
      </c>
      <c r="J35" s="172">
        <v>0.49</v>
      </c>
      <c r="K35" s="172">
        <v>0.81</v>
      </c>
      <c r="L35" s="172">
        <v>0.81</v>
      </c>
      <c r="M35" s="172">
        <v>0.81</v>
      </c>
      <c r="N35" s="172">
        <v>0.81</v>
      </c>
      <c r="O35" s="172">
        <v>0.81</v>
      </c>
      <c r="P35" s="172">
        <v>0.81</v>
      </c>
      <c r="Q35" s="172">
        <v>0.81</v>
      </c>
      <c r="R35" s="172">
        <v>0.49</v>
      </c>
      <c r="S35" s="172">
        <v>0.49</v>
      </c>
      <c r="T35" s="172">
        <v>0.49</v>
      </c>
      <c r="U35" s="172">
        <v>0.49</v>
      </c>
      <c r="V35" s="172">
        <v>0.49</v>
      </c>
      <c r="W35" s="172">
        <v>0.49</v>
      </c>
      <c r="X35" s="172">
        <v>0.49</v>
      </c>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row>
    <row r="36" spans="1:66" ht="17.399999999999999" customHeight="1" x14ac:dyDescent="0.25">
      <c r="A36" s="648"/>
      <c r="B36" s="648"/>
      <c r="C36" s="648"/>
      <c r="D36" s="653"/>
      <c r="E36" s="648"/>
      <c r="F36" s="485" t="s">
        <v>313</v>
      </c>
      <c r="G36" s="169">
        <v>2013</v>
      </c>
      <c r="H36" s="169" t="s">
        <v>324</v>
      </c>
      <c r="I36" s="169">
        <v>0.36</v>
      </c>
      <c r="J36" s="169">
        <v>0.36</v>
      </c>
      <c r="K36" s="169">
        <v>0.36</v>
      </c>
      <c r="L36" s="169">
        <v>0.36</v>
      </c>
      <c r="M36" s="169">
        <v>0.36</v>
      </c>
      <c r="N36" s="169">
        <v>0.36</v>
      </c>
      <c r="O36" s="169">
        <v>0.36</v>
      </c>
      <c r="P36" s="169">
        <v>0.36</v>
      </c>
      <c r="Q36" s="169">
        <v>0.36</v>
      </c>
      <c r="R36" s="169">
        <v>0.36</v>
      </c>
      <c r="S36" s="169">
        <v>0.36</v>
      </c>
      <c r="T36" s="169">
        <v>0.36</v>
      </c>
      <c r="U36" s="169">
        <v>0.36</v>
      </c>
      <c r="V36" s="169">
        <v>0.36</v>
      </c>
      <c r="W36" s="169">
        <v>0.36</v>
      </c>
      <c r="X36" s="169">
        <v>0.36</v>
      </c>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row>
    <row r="37" spans="1:66" ht="17.399999999999999" customHeight="1" x14ac:dyDescent="0.25">
      <c r="A37" s="648"/>
      <c r="B37" s="648"/>
      <c r="C37" s="648"/>
      <c r="D37" s="653"/>
      <c r="E37" s="648"/>
      <c r="F37" s="480" t="s">
        <v>315</v>
      </c>
      <c r="G37" s="480"/>
      <c r="H37" s="481" t="s">
        <v>316</v>
      </c>
      <c r="I37" s="493" cm="1">
        <f t="array" ref="I37:X37">_xlfn.BYCOL(TRANSPOSE(Weights!$C$4:$F$19)*I33:X36,_xlfn.LAMBDA(_xlpm.c,SUM(_xlpm.c)))</f>
        <v>0.56830102534399995</v>
      </c>
      <c r="J37" s="494">
        <v>0.57349497313600006</v>
      </c>
      <c r="K37" s="494">
        <v>0.64803428551999998</v>
      </c>
      <c r="L37" s="494">
        <v>0.64803493069600004</v>
      </c>
      <c r="M37" s="494">
        <v>0.6379915994480001</v>
      </c>
      <c r="N37" s="494">
        <v>0.60592815120800014</v>
      </c>
      <c r="O37" s="494">
        <v>0.58891388256800004</v>
      </c>
      <c r="P37" s="494">
        <v>0.60230829829600008</v>
      </c>
      <c r="Q37" s="494">
        <v>0.60616422650400004</v>
      </c>
      <c r="R37" s="494">
        <v>0.55843480305600013</v>
      </c>
      <c r="S37" s="494">
        <v>0.56423673364000015</v>
      </c>
      <c r="T37" s="494">
        <v>0.55586069750400002</v>
      </c>
      <c r="U37" s="494">
        <v>0.55297535008000009</v>
      </c>
      <c r="V37" s="494">
        <v>0.56248517545600007</v>
      </c>
      <c r="W37" s="494">
        <v>0.58847890429600003</v>
      </c>
      <c r="X37" s="494">
        <v>0.55408406256800002</v>
      </c>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row>
    <row r="38" spans="1:66" ht="17.399999999999999" customHeight="1" x14ac:dyDescent="0.25">
      <c r="A38" s="648"/>
      <c r="B38" s="648"/>
      <c r="C38" s="648"/>
      <c r="D38" s="654"/>
      <c r="E38" s="649"/>
      <c r="F38" s="486" t="s">
        <v>317</v>
      </c>
      <c r="G38" s="483">
        <v>2025</v>
      </c>
      <c r="H38" s="484" t="s">
        <v>324</v>
      </c>
      <c r="I38" s="484">
        <v>0.36</v>
      </c>
      <c r="J38" s="484">
        <v>0.36</v>
      </c>
      <c r="K38" s="484">
        <v>0.36</v>
      </c>
      <c r="L38" s="484">
        <v>0.36</v>
      </c>
      <c r="M38" s="484">
        <v>0.36</v>
      </c>
      <c r="N38" s="484">
        <v>0.36</v>
      </c>
      <c r="O38" s="484">
        <v>0.36</v>
      </c>
      <c r="P38" s="484">
        <v>0.36</v>
      </c>
      <c r="Q38" s="484">
        <v>0.34</v>
      </c>
      <c r="R38" s="484">
        <v>0.36</v>
      </c>
      <c r="S38" s="483">
        <v>0.34</v>
      </c>
      <c r="T38" s="483">
        <v>0.34</v>
      </c>
      <c r="U38" s="483">
        <v>0.34</v>
      </c>
      <c r="V38" s="483">
        <v>0.34</v>
      </c>
      <c r="W38" s="483">
        <v>0.34</v>
      </c>
      <c r="X38" s="483">
        <v>0.36</v>
      </c>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ht="18" customHeight="1" x14ac:dyDescent="0.25">
      <c r="A39" s="648"/>
      <c r="B39" s="648"/>
      <c r="C39" s="648"/>
      <c r="D39" s="644" t="s">
        <v>331</v>
      </c>
      <c r="E39" s="647" t="s">
        <v>334</v>
      </c>
      <c r="F39" s="173" t="s">
        <v>306</v>
      </c>
      <c r="G39" s="589" t="s">
        <v>307</v>
      </c>
      <c r="H39" s="644" t="s">
        <v>335</v>
      </c>
      <c r="I39" s="171">
        <f>0.79*0.33+0.67*I42</f>
        <v>0.42820000000000003</v>
      </c>
      <c r="J39" s="171">
        <f t="shared" ref="J39:X39" si="7">0.79*0.33+0.67*J42</f>
        <v>0.42820000000000003</v>
      </c>
      <c r="K39" s="171">
        <f t="shared" si="7"/>
        <v>0.42820000000000003</v>
      </c>
      <c r="L39" s="171">
        <f t="shared" si="7"/>
        <v>0.42820000000000003</v>
      </c>
      <c r="M39" s="171">
        <f t="shared" si="7"/>
        <v>0.42820000000000003</v>
      </c>
      <c r="N39" s="171">
        <f t="shared" si="7"/>
        <v>0.42820000000000003</v>
      </c>
      <c r="O39" s="171">
        <f t="shared" si="7"/>
        <v>0.42820000000000003</v>
      </c>
      <c r="P39" s="171">
        <f t="shared" si="7"/>
        <v>0.42820000000000003</v>
      </c>
      <c r="Q39" s="171">
        <f t="shared" si="7"/>
        <v>0.42820000000000003</v>
      </c>
      <c r="R39" s="171">
        <f t="shared" si="7"/>
        <v>0.42820000000000003</v>
      </c>
      <c r="S39" s="171">
        <f t="shared" si="7"/>
        <v>0.42820000000000003</v>
      </c>
      <c r="T39" s="171">
        <f t="shared" si="7"/>
        <v>0.42820000000000003</v>
      </c>
      <c r="U39" s="171">
        <f t="shared" si="7"/>
        <v>0.42820000000000003</v>
      </c>
      <c r="V39" s="171">
        <f t="shared" si="7"/>
        <v>0.42820000000000003</v>
      </c>
      <c r="W39" s="171">
        <f t="shared" si="7"/>
        <v>0.42820000000000003</v>
      </c>
      <c r="X39" s="171">
        <f t="shared" si="7"/>
        <v>0.42820000000000003</v>
      </c>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ht="18" customHeight="1" x14ac:dyDescent="0.25">
      <c r="A40" s="648"/>
      <c r="B40" s="648"/>
      <c r="C40" s="648"/>
      <c r="D40" s="645"/>
      <c r="E40" s="648"/>
      <c r="F40" s="173" t="s">
        <v>309</v>
      </c>
      <c r="G40" s="589" t="s">
        <v>307</v>
      </c>
      <c r="H40" s="645"/>
      <c r="I40" s="171">
        <f>0.79*0.33+0.67*I42</f>
        <v>0.42820000000000003</v>
      </c>
      <c r="J40" s="171">
        <f t="shared" ref="J40:X40" si="8">0.79*0.33+0.67*J42</f>
        <v>0.42820000000000003</v>
      </c>
      <c r="K40" s="171">
        <f t="shared" si="8"/>
        <v>0.42820000000000003</v>
      </c>
      <c r="L40" s="171">
        <f t="shared" si="8"/>
        <v>0.42820000000000003</v>
      </c>
      <c r="M40" s="171">
        <f t="shared" si="8"/>
        <v>0.42820000000000003</v>
      </c>
      <c r="N40" s="171">
        <f t="shared" si="8"/>
        <v>0.42820000000000003</v>
      </c>
      <c r="O40" s="171">
        <f t="shared" si="8"/>
        <v>0.42820000000000003</v>
      </c>
      <c r="P40" s="171">
        <f t="shared" si="8"/>
        <v>0.42820000000000003</v>
      </c>
      <c r="Q40" s="171">
        <f t="shared" si="8"/>
        <v>0.42820000000000003</v>
      </c>
      <c r="R40" s="171">
        <f t="shared" si="8"/>
        <v>0.42820000000000003</v>
      </c>
      <c r="S40" s="171">
        <f t="shared" si="8"/>
        <v>0.42820000000000003</v>
      </c>
      <c r="T40" s="171">
        <f t="shared" si="8"/>
        <v>0.42820000000000003</v>
      </c>
      <c r="U40" s="171">
        <f t="shared" si="8"/>
        <v>0.42820000000000003</v>
      </c>
      <c r="V40" s="171">
        <f t="shared" si="8"/>
        <v>0.42820000000000003</v>
      </c>
      <c r="W40" s="171">
        <f t="shared" si="8"/>
        <v>0.42820000000000003</v>
      </c>
      <c r="X40" s="171">
        <f t="shared" si="8"/>
        <v>0.42820000000000003</v>
      </c>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ht="18" customHeight="1" x14ac:dyDescent="0.25">
      <c r="A41" s="648"/>
      <c r="B41" s="648"/>
      <c r="C41" s="648"/>
      <c r="D41" s="647" t="s">
        <v>333</v>
      </c>
      <c r="E41" s="648"/>
      <c r="F41" s="175" t="s">
        <v>311</v>
      </c>
      <c r="G41" s="167">
        <v>2001</v>
      </c>
      <c r="H41" s="491" t="s">
        <v>339</v>
      </c>
      <c r="I41" s="172">
        <v>0.43</v>
      </c>
      <c r="J41" s="172">
        <v>0.36</v>
      </c>
      <c r="K41" s="172">
        <v>0.55000000000000004</v>
      </c>
      <c r="L41" s="172">
        <v>0.55000000000000004</v>
      </c>
      <c r="M41" s="172">
        <v>0.55000000000000004</v>
      </c>
      <c r="N41" s="172">
        <v>0.61</v>
      </c>
      <c r="O41" s="172">
        <v>0.61</v>
      </c>
      <c r="P41" s="172">
        <v>0.61</v>
      </c>
      <c r="Q41" s="172">
        <v>0.61</v>
      </c>
      <c r="R41" s="172">
        <v>0.36</v>
      </c>
      <c r="S41" s="172">
        <v>0.36</v>
      </c>
      <c r="T41" s="172">
        <v>0.36</v>
      </c>
      <c r="U41" s="172">
        <v>0.36</v>
      </c>
      <c r="V41" s="172">
        <v>0.36</v>
      </c>
      <c r="W41" s="172">
        <v>0.36</v>
      </c>
      <c r="X41" s="172">
        <v>0.43</v>
      </c>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row r="42" spans="1:66" ht="18" customHeight="1" x14ac:dyDescent="0.25">
      <c r="A42" s="648"/>
      <c r="B42" s="648"/>
      <c r="C42" s="648"/>
      <c r="D42" s="648"/>
      <c r="E42" s="648"/>
      <c r="F42" s="485" t="s">
        <v>313</v>
      </c>
      <c r="G42" s="169">
        <v>2013</v>
      </c>
      <c r="H42" s="169" t="s">
        <v>324</v>
      </c>
      <c r="I42" s="169">
        <v>0.25</v>
      </c>
      <c r="J42" s="169">
        <v>0.25</v>
      </c>
      <c r="K42" s="169">
        <v>0.25</v>
      </c>
      <c r="L42" s="169">
        <v>0.25</v>
      </c>
      <c r="M42" s="169">
        <v>0.25</v>
      </c>
      <c r="N42" s="169">
        <v>0.25</v>
      </c>
      <c r="O42" s="169">
        <v>0.25</v>
      </c>
      <c r="P42" s="169">
        <v>0.25</v>
      </c>
      <c r="Q42" s="169">
        <v>0.25</v>
      </c>
      <c r="R42" s="169">
        <v>0.25</v>
      </c>
      <c r="S42" s="169">
        <v>0.25</v>
      </c>
      <c r="T42" s="169">
        <v>0.25</v>
      </c>
      <c r="U42" s="169">
        <v>0.25</v>
      </c>
      <c r="V42" s="169">
        <v>0.25</v>
      </c>
      <c r="W42" s="169">
        <v>0.25</v>
      </c>
      <c r="X42" s="169">
        <v>0.25</v>
      </c>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row>
    <row r="43" spans="1:66" ht="18" customHeight="1" x14ac:dyDescent="0.25">
      <c r="A43" s="648"/>
      <c r="B43" s="648"/>
      <c r="C43" s="648"/>
      <c r="D43" s="648"/>
      <c r="E43" s="648"/>
      <c r="F43" s="480" t="s">
        <v>315</v>
      </c>
      <c r="G43" s="480"/>
      <c r="H43" s="481" t="s">
        <v>316</v>
      </c>
      <c r="I43" s="493" cm="1">
        <f t="array" ref="I43:X43">_xlfn.BYCOL(TRANSPOSE(Weights!$C$4:$F$19)*I39:X42,_xlfn.LAMBDA(_xlpm.c,SUM(_xlpm.c)))</f>
        <v>0.41628550207999998</v>
      </c>
      <c r="J43" s="494">
        <v>0.40248780602000001</v>
      </c>
      <c r="K43" s="494">
        <v>0.4457795464</v>
      </c>
      <c r="L43" s="494">
        <v>0.44579434072000002</v>
      </c>
      <c r="M43" s="494">
        <v>0.43924012486000003</v>
      </c>
      <c r="N43" s="494">
        <v>0.42356417056000006</v>
      </c>
      <c r="O43" s="494">
        <v>0.41584183126000002</v>
      </c>
      <c r="P43" s="494">
        <v>0.42088208972000007</v>
      </c>
      <c r="Q43" s="494">
        <v>0.42389049778000004</v>
      </c>
      <c r="R43" s="494">
        <v>0.39050926141999998</v>
      </c>
      <c r="S43" s="494">
        <v>0.3943648998</v>
      </c>
      <c r="T43" s="494">
        <v>0.38947499728000001</v>
      </c>
      <c r="U43" s="494">
        <v>0.38567810410000003</v>
      </c>
      <c r="V43" s="494">
        <v>0.39389843842000005</v>
      </c>
      <c r="W43" s="494">
        <v>0.40905162372000003</v>
      </c>
      <c r="X43" s="494">
        <v>0.40929282376000004</v>
      </c>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row>
    <row r="44" spans="1:66" ht="18" customHeight="1" x14ac:dyDescent="0.25">
      <c r="A44" s="649"/>
      <c r="B44" s="649"/>
      <c r="C44" s="649"/>
      <c r="D44" s="649"/>
      <c r="E44" s="649"/>
      <c r="F44" s="486" t="s">
        <v>317</v>
      </c>
      <c r="G44" s="483">
        <v>2025</v>
      </c>
      <c r="H44" s="484" t="s">
        <v>324</v>
      </c>
      <c r="I44" s="483">
        <v>0.25</v>
      </c>
      <c r="J44" s="483">
        <v>0.25</v>
      </c>
      <c r="K44" s="483">
        <v>0.25</v>
      </c>
      <c r="L44" s="483">
        <v>0.25</v>
      </c>
      <c r="M44" s="483">
        <v>0.25</v>
      </c>
      <c r="N44" s="483">
        <v>0.25</v>
      </c>
      <c r="O44" s="483">
        <v>0.25</v>
      </c>
      <c r="P44" s="483">
        <v>0.25</v>
      </c>
      <c r="Q44" s="483">
        <v>0.22</v>
      </c>
      <c r="R44" s="483">
        <v>0.25</v>
      </c>
      <c r="S44" s="483">
        <v>0.22</v>
      </c>
      <c r="T44" s="483">
        <v>0.22</v>
      </c>
      <c r="U44" s="483">
        <v>0.22</v>
      </c>
      <c r="V44" s="483">
        <v>0.22</v>
      </c>
      <c r="W44" s="483">
        <v>0.22</v>
      </c>
      <c r="X44" s="483">
        <v>0.25</v>
      </c>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row>
    <row r="45" spans="1:66" ht="22.95" customHeight="1" x14ac:dyDescent="0.2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row>
    <row r="46" spans="1:66" ht="21" customHeight="1" x14ac:dyDescent="0.25">
      <c r="A46" s="3"/>
      <c r="B46" s="3"/>
      <c r="C46" s="663" t="s">
        <v>340</v>
      </c>
      <c r="D46" s="663"/>
      <c r="E46" s="663"/>
      <c r="F46" s="663"/>
      <c r="G46" s="663"/>
      <c r="H46" s="663"/>
      <c r="I46" s="663"/>
      <c r="J46" s="663"/>
      <c r="K46" s="663"/>
      <c r="L46" s="663"/>
      <c r="M46" s="663"/>
      <c r="N46" s="663"/>
      <c r="O46" s="663"/>
      <c r="P46" s="663"/>
      <c r="Q46" s="663"/>
      <c r="R46" s="663"/>
      <c r="S46" s="663"/>
      <c r="T46" s="663"/>
      <c r="U46" s="663"/>
      <c r="V46" s="663"/>
      <c r="W46" s="663"/>
      <c r="X46" s="66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row>
    <row r="47" spans="1:66" ht="39.6" customHeight="1" x14ac:dyDescent="0.25">
      <c r="A47" s="3"/>
      <c r="B47" s="3"/>
      <c r="C47" s="498"/>
      <c r="D47" s="498" t="s">
        <v>139</v>
      </c>
      <c r="E47" s="498" t="s">
        <v>341</v>
      </c>
      <c r="F47" s="54" t="s">
        <v>284</v>
      </c>
      <c r="G47" s="129" t="s">
        <v>342</v>
      </c>
      <c r="H47" s="129" t="s">
        <v>271</v>
      </c>
      <c r="I47" s="655" t="s">
        <v>343</v>
      </c>
      <c r="J47" s="656"/>
      <c r="K47" s="656"/>
      <c r="L47" s="656"/>
      <c r="M47" s="656"/>
      <c r="N47" s="656"/>
      <c r="O47" s="656"/>
      <c r="P47" s="656"/>
      <c r="Q47" s="656"/>
      <c r="R47" s="656"/>
      <c r="S47" s="656"/>
      <c r="T47" s="656"/>
      <c r="U47" s="656"/>
      <c r="V47" s="656"/>
      <c r="W47" s="656"/>
      <c r="X47" s="657"/>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row>
    <row r="48" spans="1:66" ht="21.6" customHeight="1" x14ac:dyDescent="0.25">
      <c r="A48" s="3"/>
      <c r="B48" s="3"/>
      <c r="C48" s="658" t="s">
        <v>340</v>
      </c>
      <c r="D48" s="658" t="s">
        <v>60</v>
      </c>
      <c r="E48" s="658"/>
      <c r="F48" s="164" t="s">
        <v>306</v>
      </c>
      <c r="G48" s="164">
        <v>1.1000000000000001</v>
      </c>
      <c r="H48" s="176" t="s">
        <v>344</v>
      </c>
      <c r="I48" s="662">
        <v>0.31440000000000001</v>
      </c>
      <c r="J48" s="662"/>
      <c r="K48" s="662"/>
      <c r="L48" s="662"/>
      <c r="M48" s="662"/>
      <c r="N48" s="662"/>
      <c r="O48" s="662"/>
      <c r="P48" s="662"/>
      <c r="Q48" s="662"/>
      <c r="R48" s="662"/>
      <c r="S48" s="662"/>
      <c r="T48" s="662"/>
      <c r="U48" s="662"/>
      <c r="V48" s="662"/>
      <c r="W48" s="662"/>
      <c r="X48" s="662"/>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row>
    <row r="49" spans="1:66" ht="21.6" customHeight="1" x14ac:dyDescent="0.25">
      <c r="A49" s="3"/>
      <c r="B49" s="3"/>
      <c r="C49" s="659"/>
      <c r="D49" s="659"/>
      <c r="E49" s="659"/>
      <c r="F49" s="164" t="s">
        <v>309</v>
      </c>
      <c r="G49" s="164">
        <v>1.1000000000000001</v>
      </c>
      <c r="H49" s="176" t="s">
        <v>344</v>
      </c>
      <c r="I49" s="662">
        <v>0.31440000000000001</v>
      </c>
      <c r="J49" s="662"/>
      <c r="K49" s="662"/>
      <c r="L49" s="662"/>
      <c r="M49" s="662"/>
      <c r="N49" s="662"/>
      <c r="O49" s="662"/>
      <c r="P49" s="662"/>
      <c r="Q49" s="662"/>
      <c r="R49" s="662"/>
      <c r="S49" s="662"/>
      <c r="T49" s="662"/>
      <c r="U49" s="662"/>
      <c r="V49" s="662"/>
      <c r="W49" s="662"/>
      <c r="X49" s="662"/>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row>
    <row r="50" spans="1:66" ht="21.6" customHeight="1" x14ac:dyDescent="0.25">
      <c r="A50" s="3"/>
      <c r="B50" s="3"/>
      <c r="C50" s="659"/>
      <c r="D50" s="659"/>
      <c r="E50" s="659"/>
      <c r="F50" s="164" t="s">
        <v>311</v>
      </c>
      <c r="G50" s="164">
        <v>1.1000000000000001</v>
      </c>
      <c r="H50" s="176" t="s">
        <v>344</v>
      </c>
      <c r="I50" s="662">
        <v>0.31440000000000001</v>
      </c>
      <c r="J50" s="662"/>
      <c r="K50" s="662"/>
      <c r="L50" s="662"/>
      <c r="M50" s="662"/>
      <c r="N50" s="662"/>
      <c r="O50" s="662"/>
      <c r="P50" s="662"/>
      <c r="Q50" s="662"/>
      <c r="R50" s="662"/>
      <c r="S50" s="662"/>
      <c r="T50" s="662"/>
      <c r="U50" s="662"/>
      <c r="V50" s="662"/>
      <c r="W50" s="662"/>
      <c r="X50" s="662"/>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row>
    <row r="51" spans="1:66" ht="34.200000000000003" customHeight="1" x14ac:dyDescent="0.25">
      <c r="A51" s="3"/>
      <c r="B51" s="3"/>
      <c r="C51" s="659"/>
      <c r="D51" s="659"/>
      <c r="E51" s="659"/>
      <c r="F51" s="164" t="s">
        <v>313</v>
      </c>
      <c r="G51" s="164" t="s">
        <v>345</v>
      </c>
      <c r="H51" s="604" t="s">
        <v>346</v>
      </c>
      <c r="I51" s="662">
        <v>0.28770000000000001</v>
      </c>
      <c r="J51" s="662"/>
      <c r="K51" s="662"/>
      <c r="L51" s="662"/>
      <c r="M51" s="662"/>
      <c r="N51" s="662"/>
      <c r="O51" s="662"/>
      <c r="P51" s="662"/>
      <c r="Q51" s="662"/>
      <c r="R51" s="662"/>
      <c r="S51" s="662"/>
      <c r="T51" s="662"/>
      <c r="U51" s="662"/>
      <c r="V51" s="662"/>
      <c r="W51" s="662"/>
      <c r="X51" s="662"/>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row>
    <row r="52" spans="1:66" ht="34.200000000000003" customHeight="1" x14ac:dyDescent="0.25">
      <c r="A52" s="3"/>
      <c r="B52" s="3"/>
      <c r="C52" s="659"/>
      <c r="D52" s="659"/>
      <c r="E52" s="659"/>
      <c r="F52" s="463" t="s">
        <v>315</v>
      </c>
      <c r="G52" s="464"/>
      <c r="H52" s="499" t="s">
        <v>347</v>
      </c>
      <c r="I52" s="664">
        <f>I50</f>
        <v>0.31440000000000001</v>
      </c>
      <c r="J52" s="665"/>
      <c r="K52" s="665"/>
      <c r="L52" s="665"/>
      <c r="M52" s="665"/>
      <c r="N52" s="665"/>
      <c r="O52" s="665"/>
      <c r="P52" s="665"/>
      <c r="Q52" s="665"/>
      <c r="R52" s="665"/>
      <c r="S52" s="665"/>
      <c r="T52" s="665"/>
      <c r="U52" s="665"/>
      <c r="V52" s="665"/>
      <c r="W52" s="665"/>
      <c r="X52" s="66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row>
    <row r="53" spans="1:66" ht="34.200000000000003" customHeight="1" x14ac:dyDescent="0.25">
      <c r="A53" s="3"/>
      <c r="B53" s="3"/>
      <c r="C53" s="660"/>
      <c r="D53" s="660"/>
      <c r="E53" s="660"/>
      <c r="F53" s="164" t="s">
        <v>317</v>
      </c>
      <c r="G53" s="164" t="s">
        <v>348</v>
      </c>
      <c r="H53" s="604" t="s">
        <v>349</v>
      </c>
      <c r="I53" s="662">
        <v>0.17150000000000001</v>
      </c>
      <c r="J53" s="662"/>
      <c r="K53" s="662"/>
      <c r="L53" s="662"/>
      <c r="M53" s="662"/>
      <c r="N53" s="662"/>
      <c r="O53" s="662"/>
      <c r="P53" s="662"/>
      <c r="Q53" s="662"/>
      <c r="R53" s="662"/>
      <c r="S53" s="662"/>
      <c r="T53" s="662"/>
      <c r="U53" s="662"/>
      <c r="V53" s="662"/>
      <c r="W53" s="662"/>
      <c r="X53" s="662"/>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row>
    <row r="54" spans="1:66" s="3" customFormat="1" ht="14.4" x14ac:dyDescent="0.3">
      <c r="B54" s="152"/>
      <c r="E54" s="670" t="s">
        <v>47</v>
      </c>
      <c r="F54" s="670"/>
      <c r="G54" s="670"/>
      <c r="H54" s="670"/>
      <c r="I54" s="670"/>
      <c r="J54" s="670"/>
      <c r="K54" s="670"/>
      <c r="L54" s="670"/>
      <c r="M54" s="670"/>
      <c r="N54" s="670"/>
      <c r="O54" s="670"/>
      <c r="P54" s="670"/>
      <c r="Q54" s="670"/>
      <c r="R54" s="670"/>
      <c r="S54" s="670"/>
      <c r="T54" s="670"/>
      <c r="U54" s="670"/>
      <c r="V54" s="670"/>
      <c r="W54" s="670"/>
      <c r="X54" s="670"/>
    </row>
    <row r="55" spans="1:66" s="139" customFormat="1" ht="22.2" customHeight="1" x14ac:dyDescent="0.3">
      <c r="B55" s="182"/>
      <c r="E55" s="668" t="s">
        <v>350</v>
      </c>
      <c r="F55" s="668"/>
      <c r="G55" s="668"/>
      <c r="H55" s="668"/>
      <c r="I55" s="668"/>
      <c r="J55" s="668"/>
      <c r="K55" s="668"/>
      <c r="L55" s="668"/>
      <c r="M55" s="668"/>
      <c r="N55" s="668"/>
      <c r="O55" s="668"/>
      <c r="P55" s="668"/>
      <c r="Q55" s="668"/>
      <c r="R55" s="668"/>
      <c r="S55" s="668"/>
      <c r="T55" s="668"/>
      <c r="U55" s="668"/>
      <c r="V55" s="668"/>
      <c r="W55" s="668"/>
      <c r="X55" s="668"/>
    </row>
    <row r="56" spans="1:66" s="3" customFormat="1" ht="83.4" customHeight="1" x14ac:dyDescent="0.25">
      <c r="B56" s="152"/>
      <c r="E56" s="669" t="s">
        <v>351</v>
      </c>
      <c r="F56" s="669"/>
      <c r="G56" s="669"/>
      <c r="H56" s="669"/>
      <c r="I56" s="669"/>
      <c r="J56" s="669"/>
      <c r="K56" s="669"/>
      <c r="L56" s="669"/>
      <c r="M56" s="669"/>
      <c r="N56" s="669"/>
      <c r="O56" s="669"/>
      <c r="P56" s="669"/>
      <c r="Q56" s="669"/>
      <c r="R56" s="669"/>
      <c r="S56" s="669"/>
      <c r="T56" s="669"/>
      <c r="U56" s="669"/>
      <c r="V56" s="669"/>
      <c r="W56" s="669"/>
      <c r="X56" s="669"/>
    </row>
    <row r="57" spans="1:66" s="3" customFormat="1" x14ac:dyDescent="0.25">
      <c r="B57" s="152"/>
      <c r="E57" s="668"/>
      <c r="F57" s="668"/>
      <c r="G57" s="668"/>
      <c r="H57" s="668"/>
      <c r="I57" s="668"/>
      <c r="J57" s="668"/>
      <c r="K57" s="668"/>
      <c r="L57" s="668"/>
      <c r="M57" s="668"/>
      <c r="N57" s="668"/>
      <c r="O57" s="668"/>
      <c r="P57" s="668"/>
      <c r="Q57" s="668"/>
      <c r="R57" s="668"/>
      <c r="S57" s="668"/>
      <c r="T57" s="668"/>
      <c r="U57" s="668"/>
      <c r="V57" s="668"/>
      <c r="W57" s="668"/>
      <c r="X57" s="668"/>
    </row>
    <row r="58" spans="1:66" s="3" customFormat="1" ht="14.4" customHeight="1" x14ac:dyDescent="0.25">
      <c r="B58" s="152"/>
      <c r="E58" s="667" t="s">
        <v>352</v>
      </c>
      <c r="F58" s="667"/>
      <c r="G58" s="667"/>
      <c r="H58" s="667"/>
      <c r="I58" s="667"/>
      <c r="J58" s="667"/>
      <c r="K58" s="667"/>
      <c r="L58" s="667"/>
      <c r="M58" s="667"/>
      <c r="N58" s="667"/>
      <c r="O58" s="667"/>
      <c r="P58" s="667"/>
      <c r="Q58" s="667"/>
      <c r="R58" s="667"/>
      <c r="S58" s="667"/>
      <c r="T58" s="667"/>
      <c r="U58" s="667"/>
      <c r="V58" s="667"/>
      <c r="W58" s="667"/>
      <c r="X58" s="667"/>
    </row>
    <row r="59" spans="1:66" s="3" customFormat="1" ht="14.4" customHeight="1" x14ac:dyDescent="0.25">
      <c r="B59" s="152"/>
      <c r="E59" s="606"/>
      <c r="F59" s="606"/>
      <c r="G59" s="606"/>
      <c r="H59" s="606"/>
      <c r="I59" s="606"/>
      <c r="J59" s="606"/>
      <c r="K59" s="606"/>
      <c r="L59" s="606"/>
      <c r="M59" s="606"/>
      <c r="N59" s="606"/>
      <c r="O59" s="606"/>
      <c r="P59" s="606"/>
      <c r="Q59" s="606"/>
      <c r="R59" s="606"/>
      <c r="S59" s="606"/>
      <c r="T59" s="606"/>
      <c r="U59" s="606"/>
      <c r="V59" s="606"/>
      <c r="W59" s="606"/>
      <c r="X59" s="606"/>
    </row>
    <row r="60" spans="1:66" s="3" customFormat="1" ht="14.4" customHeight="1" x14ac:dyDescent="0.25">
      <c r="A60" s="428" t="s">
        <v>353</v>
      </c>
      <c r="B60" s="573"/>
      <c r="C60" s="428"/>
      <c r="D60" s="428"/>
      <c r="E60" s="428"/>
      <c r="F60" s="574"/>
      <c r="G60" s="575"/>
      <c r="H60" s="428"/>
      <c r="I60" s="428"/>
      <c r="J60" s="428"/>
      <c r="K60" s="428"/>
      <c r="L60" s="428"/>
      <c r="M60" s="428"/>
      <c r="N60" s="428"/>
      <c r="O60" s="428"/>
      <c r="P60" s="428"/>
      <c r="Q60" s="428"/>
      <c r="R60" s="428"/>
      <c r="S60" s="428"/>
      <c r="T60" s="428"/>
      <c r="U60" s="428"/>
      <c r="V60" s="428"/>
      <c r="W60" s="428"/>
      <c r="X60" s="428"/>
    </row>
    <row r="61" spans="1:66" s="3" customFormat="1" ht="14.4" customHeight="1" x14ac:dyDescent="0.25">
      <c r="A61" s="640" t="s">
        <v>354</v>
      </c>
      <c r="B61" s="640" t="s">
        <v>60</v>
      </c>
      <c r="C61" s="641" t="s">
        <v>303</v>
      </c>
      <c r="D61" s="641" t="s">
        <v>355</v>
      </c>
      <c r="E61" s="640" t="s">
        <v>356</v>
      </c>
      <c r="F61" s="631" t="s">
        <v>306</v>
      </c>
      <c r="G61" s="634" t="s">
        <v>307</v>
      </c>
      <c r="H61" s="576" t="s">
        <v>357</v>
      </c>
      <c r="I61" s="577">
        <v>0.35199999999999998</v>
      </c>
      <c r="J61" s="577">
        <v>0.35199999999999998</v>
      </c>
      <c r="K61" s="577">
        <v>0.35199999999999998</v>
      </c>
      <c r="L61" s="577">
        <v>0.35199999999999998</v>
      </c>
      <c r="M61" s="577">
        <v>0.35199999999999998</v>
      </c>
      <c r="N61" s="577">
        <v>0.35199999999999998</v>
      </c>
      <c r="O61" s="577">
        <v>0.35199999999999998</v>
      </c>
      <c r="P61" s="577">
        <v>0.35199999999999998</v>
      </c>
      <c r="Q61" s="577">
        <v>0.35199999999999998</v>
      </c>
      <c r="R61" s="577">
        <v>0.35199999999999998</v>
      </c>
      <c r="S61" s="577">
        <v>0.35199999999999998</v>
      </c>
      <c r="T61" s="577">
        <v>0.35199999999999998</v>
      </c>
      <c r="U61" s="577">
        <v>0.35199999999999998</v>
      </c>
      <c r="V61" s="577">
        <v>0.35199999999999998</v>
      </c>
      <c r="W61" s="577">
        <v>0.35199999999999998</v>
      </c>
      <c r="X61" s="577">
        <v>0.35199999999999998</v>
      </c>
    </row>
    <row r="62" spans="1:66" s="3" customFormat="1" ht="14.4" customHeight="1" x14ac:dyDescent="0.25">
      <c r="A62" s="640"/>
      <c r="B62" s="640"/>
      <c r="C62" s="641"/>
      <c r="D62" s="641"/>
      <c r="E62" s="640"/>
      <c r="F62" s="632"/>
      <c r="G62" s="635"/>
      <c r="H62" s="605" t="s">
        <v>358</v>
      </c>
      <c r="I62" s="578">
        <v>0.105</v>
      </c>
      <c r="J62" s="578">
        <v>0.105</v>
      </c>
      <c r="K62" s="578">
        <v>0.105</v>
      </c>
      <c r="L62" s="578">
        <v>0.105</v>
      </c>
      <c r="M62" s="578">
        <v>0.105</v>
      </c>
      <c r="N62" s="578">
        <v>0.105</v>
      </c>
      <c r="O62" s="578">
        <v>0.105</v>
      </c>
      <c r="P62" s="578">
        <v>0.105</v>
      </c>
      <c r="Q62" s="578">
        <v>0.105</v>
      </c>
      <c r="R62" s="578">
        <v>0.105</v>
      </c>
      <c r="S62" s="578">
        <v>0.105</v>
      </c>
      <c r="T62" s="578">
        <v>0.105</v>
      </c>
      <c r="U62" s="578">
        <v>0.105</v>
      </c>
      <c r="V62" s="578">
        <v>0.105</v>
      </c>
      <c r="W62" s="578">
        <v>0.105</v>
      </c>
      <c r="X62" s="578">
        <v>0.105</v>
      </c>
    </row>
    <row r="63" spans="1:66" s="3" customFormat="1" ht="14.4" customHeight="1" x14ac:dyDescent="0.25">
      <c r="A63" s="640"/>
      <c r="B63" s="640"/>
      <c r="C63" s="641"/>
      <c r="D63" s="641"/>
      <c r="E63" s="640"/>
      <c r="F63" s="632"/>
      <c r="G63" s="635"/>
      <c r="H63" s="605" t="s">
        <v>359</v>
      </c>
      <c r="I63" s="578">
        <v>0.20200000000000001</v>
      </c>
      <c r="J63" s="578">
        <v>0.20200000000000001</v>
      </c>
      <c r="K63" s="578">
        <v>0.20200000000000001</v>
      </c>
      <c r="L63" s="578">
        <v>0.20200000000000001</v>
      </c>
      <c r="M63" s="578">
        <v>0.20200000000000001</v>
      </c>
      <c r="N63" s="578">
        <v>0.20200000000000001</v>
      </c>
      <c r="O63" s="578">
        <v>0.20200000000000001</v>
      </c>
      <c r="P63" s="578">
        <v>0.20200000000000001</v>
      </c>
      <c r="Q63" s="578">
        <v>0.20200000000000001</v>
      </c>
      <c r="R63" s="578">
        <v>0.20200000000000001</v>
      </c>
      <c r="S63" s="578">
        <v>0.20200000000000001</v>
      </c>
      <c r="T63" s="578">
        <v>0.20200000000000001</v>
      </c>
      <c r="U63" s="578">
        <v>0.20200000000000001</v>
      </c>
      <c r="V63" s="578">
        <v>0.20200000000000001</v>
      </c>
      <c r="W63" s="578">
        <v>0.20200000000000001</v>
      </c>
      <c r="X63" s="578">
        <v>0.20200000000000001</v>
      </c>
    </row>
    <row r="64" spans="1:66" s="3" customFormat="1" ht="47.25" customHeight="1" x14ac:dyDescent="0.25">
      <c r="A64" s="640"/>
      <c r="B64" s="640"/>
      <c r="C64" s="641"/>
      <c r="D64" s="641"/>
      <c r="E64" s="642"/>
      <c r="F64" s="633"/>
      <c r="G64" s="636"/>
      <c r="H64" s="474" t="s">
        <v>360</v>
      </c>
      <c r="I64" s="637">
        <v>0.187</v>
      </c>
      <c r="J64" s="638"/>
      <c r="K64" s="638"/>
      <c r="L64" s="638"/>
      <c r="M64" s="638"/>
      <c r="N64" s="638"/>
      <c r="O64" s="638"/>
      <c r="P64" s="638"/>
      <c r="Q64" s="638"/>
      <c r="R64" s="638"/>
      <c r="S64" s="638"/>
      <c r="T64" s="638"/>
      <c r="U64" s="638"/>
      <c r="V64" s="638"/>
      <c r="W64" s="638"/>
      <c r="X64" s="639"/>
    </row>
    <row r="65" spans="1:66" s="3" customFormat="1" ht="14.4" customHeight="1" x14ac:dyDescent="0.25">
      <c r="A65" s="640" t="s">
        <v>354</v>
      </c>
      <c r="B65" s="640" t="s">
        <v>60</v>
      </c>
      <c r="C65" s="641" t="s">
        <v>319</v>
      </c>
      <c r="D65" s="641" t="s">
        <v>361</v>
      </c>
      <c r="E65" s="640" t="s">
        <v>356</v>
      </c>
      <c r="F65" s="631" t="s">
        <v>306</v>
      </c>
      <c r="G65" s="634" t="s">
        <v>307</v>
      </c>
      <c r="H65" s="576" t="s">
        <v>357</v>
      </c>
      <c r="I65" s="577">
        <v>0.35199999999999998</v>
      </c>
      <c r="J65" s="577">
        <v>0.35199999999999998</v>
      </c>
      <c r="K65" s="577">
        <v>0.35199999999999998</v>
      </c>
      <c r="L65" s="577">
        <v>0.35199999999999998</v>
      </c>
      <c r="M65" s="577">
        <v>0.35199999999999998</v>
      </c>
      <c r="N65" s="577">
        <v>0.35199999999999998</v>
      </c>
      <c r="O65" s="577">
        <v>0.35199999999999998</v>
      </c>
      <c r="P65" s="577">
        <v>0.35199999999999998</v>
      </c>
      <c r="Q65" s="577">
        <v>0.35199999999999998</v>
      </c>
      <c r="R65" s="577">
        <v>0.35199999999999998</v>
      </c>
      <c r="S65" s="577">
        <v>0.35199999999999998</v>
      </c>
      <c r="T65" s="577">
        <v>0.35199999999999998</v>
      </c>
      <c r="U65" s="577">
        <v>0.35199999999999998</v>
      </c>
      <c r="V65" s="577">
        <v>0.35199999999999998</v>
      </c>
      <c r="W65" s="577">
        <v>0.35199999999999998</v>
      </c>
      <c r="X65" s="577">
        <v>0.35199999999999998</v>
      </c>
    </row>
    <row r="66" spans="1:66" s="3" customFormat="1" ht="14.4" customHeight="1" x14ac:dyDescent="0.25">
      <c r="A66" s="640"/>
      <c r="B66" s="640"/>
      <c r="C66" s="641"/>
      <c r="D66" s="641"/>
      <c r="E66" s="640"/>
      <c r="F66" s="632"/>
      <c r="G66" s="635"/>
      <c r="H66" s="605" t="s">
        <v>362</v>
      </c>
      <c r="I66" s="578">
        <v>9.8000000000000004E-2</v>
      </c>
      <c r="J66" s="578">
        <v>6.2E-2</v>
      </c>
      <c r="K66" s="578">
        <v>8.2000000000000003E-2</v>
      </c>
      <c r="L66" s="578">
        <v>6.2E-2</v>
      </c>
      <c r="M66" s="578">
        <v>6.2E-2</v>
      </c>
      <c r="N66" s="578">
        <v>9.8000000000000004E-2</v>
      </c>
      <c r="O66" s="578">
        <v>9.8000000000000004E-2</v>
      </c>
      <c r="P66" s="578">
        <v>6.2E-2</v>
      </c>
      <c r="Q66" s="578">
        <v>6.2E-2</v>
      </c>
      <c r="R66" s="578">
        <v>6.2E-2</v>
      </c>
      <c r="S66" s="578">
        <v>6.2E-2</v>
      </c>
      <c r="T66" s="578">
        <v>6.2E-2</v>
      </c>
      <c r="U66" s="578">
        <v>6.2E-2</v>
      </c>
      <c r="V66" s="578">
        <v>6.2E-2</v>
      </c>
      <c r="W66" s="578">
        <v>6.2E-2</v>
      </c>
      <c r="X66" s="578">
        <v>6.2E-2</v>
      </c>
    </row>
    <row r="67" spans="1:66" s="3" customFormat="1" ht="14.4" customHeight="1" x14ac:dyDescent="0.25">
      <c r="A67" s="640"/>
      <c r="B67" s="640"/>
      <c r="C67" s="641"/>
      <c r="D67" s="641"/>
      <c r="E67" s="640"/>
      <c r="F67" s="632"/>
      <c r="G67" s="635"/>
      <c r="H67" s="605" t="s">
        <v>363</v>
      </c>
      <c r="I67" s="578">
        <v>0.22700000000000001</v>
      </c>
      <c r="J67" s="578">
        <v>0.22700000000000001</v>
      </c>
      <c r="K67" s="578">
        <v>0.22700000000000001</v>
      </c>
      <c r="L67" s="578">
        <v>0.22700000000000001</v>
      </c>
      <c r="M67" s="578">
        <v>0.22700000000000001</v>
      </c>
      <c r="N67" s="578">
        <v>0.22700000000000001</v>
      </c>
      <c r="O67" s="578">
        <v>0.22700000000000001</v>
      </c>
      <c r="P67" s="578">
        <v>0.22700000000000001</v>
      </c>
      <c r="Q67" s="578">
        <v>0.22700000000000001</v>
      </c>
      <c r="R67" s="578">
        <v>0.22700000000000001</v>
      </c>
      <c r="S67" s="578">
        <v>0.22700000000000001</v>
      </c>
      <c r="T67" s="578">
        <v>0.22700000000000001</v>
      </c>
      <c r="U67" s="578">
        <v>0.22700000000000001</v>
      </c>
      <c r="V67" s="578">
        <v>0.22700000000000001</v>
      </c>
      <c r="W67" s="578">
        <v>0.22700000000000001</v>
      </c>
      <c r="X67" s="578">
        <v>0.22700000000000001</v>
      </c>
    </row>
    <row r="68" spans="1:66" s="3" customFormat="1" ht="43.5" customHeight="1" x14ac:dyDescent="0.25">
      <c r="A68" s="640"/>
      <c r="B68" s="640"/>
      <c r="C68" s="641"/>
      <c r="D68" s="641"/>
      <c r="E68" s="642"/>
      <c r="F68" s="633"/>
      <c r="G68" s="636"/>
      <c r="H68" s="474" t="s">
        <v>360</v>
      </c>
      <c r="I68" s="637">
        <v>0.187</v>
      </c>
      <c r="J68" s="638"/>
      <c r="K68" s="638"/>
      <c r="L68" s="638"/>
      <c r="M68" s="638"/>
      <c r="N68" s="638"/>
      <c r="O68" s="638"/>
      <c r="P68" s="638"/>
      <c r="Q68" s="638"/>
      <c r="R68" s="638"/>
      <c r="S68" s="638"/>
      <c r="T68" s="638"/>
      <c r="U68" s="638"/>
      <c r="V68" s="638"/>
      <c r="W68" s="638"/>
      <c r="X68" s="639"/>
    </row>
    <row r="69" spans="1:66" x14ac:dyDescent="0.25">
      <c r="A69" s="3"/>
      <c r="B69" s="152"/>
      <c r="C69" s="3"/>
      <c r="D69" s="3"/>
      <c r="E69" s="12"/>
      <c r="F69" s="12"/>
      <c r="G69" s="12"/>
      <c r="H69" s="12"/>
      <c r="I69" s="12"/>
      <c r="J69" s="12"/>
      <c r="K69" s="12"/>
      <c r="L69" s="12"/>
      <c r="M69" s="12"/>
      <c r="N69" s="12"/>
      <c r="O69" s="12"/>
      <c r="P69" s="12"/>
      <c r="Q69" s="12"/>
      <c r="R69" s="12"/>
      <c r="S69" s="12"/>
      <c r="T69" s="12"/>
      <c r="U69" s="12"/>
      <c r="V69" s="12"/>
      <c r="W69" s="12"/>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row>
    <row r="70" spans="1:66" x14ac:dyDescent="0.25">
      <c r="A70" s="3"/>
      <c r="B70" s="152"/>
      <c r="C70" s="3"/>
      <c r="D70" s="3"/>
      <c r="E70" s="3"/>
      <c r="F70" s="3"/>
      <c r="G70" s="600"/>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row>
    <row r="71" spans="1:66" x14ac:dyDescent="0.25">
      <c r="A71" s="3"/>
      <c r="B71" s="152"/>
      <c r="C71" s="3"/>
      <c r="D71" s="3"/>
      <c r="E71" s="3"/>
      <c r="F71" s="3"/>
      <c r="G71" s="600"/>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row>
    <row r="72" spans="1:66" x14ac:dyDescent="0.25">
      <c r="A72" s="3"/>
      <c r="B72" s="152"/>
      <c r="C72" s="3"/>
      <c r="D72" s="3"/>
      <c r="E72" s="3"/>
      <c r="F72" s="3"/>
      <c r="G72" s="600"/>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row>
    <row r="73" spans="1:66" x14ac:dyDescent="0.25">
      <c r="A73" s="3"/>
      <c r="B73" s="152"/>
      <c r="C73" s="3"/>
      <c r="D73" s="3"/>
      <c r="E73" s="3"/>
      <c r="F73" s="3"/>
      <c r="G73" s="600"/>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row>
    <row r="74" spans="1:66" x14ac:dyDescent="0.25">
      <c r="A74" s="3"/>
      <c r="B74" s="152"/>
      <c r="C74" s="3"/>
      <c r="D74" s="3"/>
      <c r="E74" s="3"/>
      <c r="F74" s="3"/>
      <c r="G74" s="600"/>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row>
    <row r="75" spans="1:66" x14ac:dyDescent="0.25">
      <c r="A75" s="3"/>
      <c r="B75" s="152"/>
      <c r="C75" s="3"/>
      <c r="D75" s="3"/>
      <c r="E75" s="3"/>
      <c r="F75" s="3"/>
      <c r="G75" s="600"/>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row>
    <row r="76" spans="1:66" x14ac:dyDescent="0.25">
      <c r="A76" s="3"/>
      <c r="B76" s="152"/>
      <c r="C76" s="3"/>
      <c r="D76" s="3"/>
      <c r="E76" s="3"/>
      <c r="F76" s="3"/>
      <c r="G76" s="600"/>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row>
    <row r="77" spans="1:66" x14ac:dyDescent="0.25">
      <c r="A77" s="3"/>
      <c r="B77" s="152"/>
      <c r="C77" s="3"/>
      <c r="D77" s="3"/>
      <c r="E77" s="3"/>
      <c r="F77" s="3"/>
      <c r="G77" s="600"/>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row>
    <row r="78" spans="1:66" x14ac:dyDescent="0.25">
      <c r="A78" s="3"/>
      <c r="B78" s="152"/>
      <c r="C78" s="3"/>
      <c r="D78" s="3"/>
      <c r="E78" s="3"/>
      <c r="F78" s="3"/>
      <c r="G78" s="600"/>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row>
    <row r="79" spans="1:66" x14ac:dyDescent="0.25">
      <c r="A79" s="3"/>
      <c r="B79" s="152"/>
      <c r="C79" s="3"/>
      <c r="D79" s="3"/>
      <c r="E79" s="3"/>
      <c r="F79" s="3"/>
      <c r="G79" s="600"/>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row>
    <row r="80" spans="1:66" x14ac:dyDescent="0.25">
      <c r="A80" s="3"/>
      <c r="B80" s="152"/>
      <c r="C80" s="3"/>
      <c r="D80" s="3"/>
      <c r="E80" s="3"/>
      <c r="F80" s="3"/>
      <c r="G80" s="600"/>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row>
    <row r="81" spans="1:66" x14ac:dyDescent="0.25">
      <c r="A81" s="3"/>
      <c r="B81" s="152"/>
      <c r="C81" s="3"/>
      <c r="D81" s="3"/>
      <c r="E81" s="3"/>
      <c r="F81" s="3"/>
      <c r="G81" s="600"/>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row>
    <row r="82" spans="1:66" x14ac:dyDescent="0.25">
      <c r="A82" s="3"/>
      <c r="B82" s="152"/>
      <c r="C82" s="3"/>
      <c r="D82" s="3"/>
      <c r="E82" s="3"/>
      <c r="F82" s="3"/>
      <c r="G82" s="600"/>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row>
    <row r="83" spans="1:66" x14ac:dyDescent="0.25">
      <c r="A83" s="3"/>
      <c r="B83" s="152"/>
      <c r="C83" s="3"/>
      <c r="D83" s="3"/>
      <c r="E83" s="3"/>
      <c r="F83" s="3"/>
      <c r="G83" s="600"/>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row>
  </sheetData>
  <mergeCells count="71">
    <mergeCell ref="C48:C53"/>
    <mergeCell ref="D48:D53"/>
    <mergeCell ref="C46:X46"/>
    <mergeCell ref="I52:X52"/>
    <mergeCell ref="E58:X58"/>
    <mergeCell ref="E55:X55"/>
    <mergeCell ref="E56:X56"/>
    <mergeCell ref="E54:X54"/>
    <mergeCell ref="E57:X57"/>
    <mergeCell ref="A33:A44"/>
    <mergeCell ref="A21:A32"/>
    <mergeCell ref="B21:B32"/>
    <mergeCell ref="C21:C32"/>
    <mergeCell ref="B33:B44"/>
    <mergeCell ref="C33:C44"/>
    <mergeCell ref="H27:H28"/>
    <mergeCell ref="H33:H34"/>
    <mergeCell ref="H39:H40"/>
    <mergeCell ref="D39:D40"/>
    <mergeCell ref="E27:E32"/>
    <mergeCell ref="D29:D32"/>
    <mergeCell ref="E39:E44"/>
    <mergeCell ref="D41:D44"/>
    <mergeCell ref="E15:E20"/>
    <mergeCell ref="D15:D20"/>
    <mergeCell ref="I47:X47"/>
    <mergeCell ref="E48:E53"/>
    <mergeCell ref="E33:E38"/>
    <mergeCell ref="D23:D26"/>
    <mergeCell ref="E21:E26"/>
    <mergeCell ref="D21:D22"/>
    <mergeCell ref="D33:D34"/>
    <mergeCell ref="D35:D38"/>
    <mergeCell ref="I51:X51"/>
    <mergeCell ref="I50:X50"/>
    <mergeCell ref="I49:X49"/>
    <mergeCell ref="I53:X53"/>
    <mergeCell ref="I48:X48"/>
    <mergeCell ref="H21:H22"/>
    <mergeCell ref="A1:X1"/>
    <mergeCell ref="D27:D28"/>
    <mergeCell ref="C15:C20"/>
    <mergeCell ref="B15:B20"/>
    <mergeCell ref="A15:A20"/>
    <mergeCell ref="A3:A8"/>
    <mergeCell ref="B3:B8"/>
    <mergeCell ref="H15:H16"/>
    <mergeCell ref="E9:E14"/>
    <mergeCell ref="A9:A14"/>
    <mergeCell ref="B9:B14"/>
    <mergeCell ref="C9:C14"/>
    <mergeCell ref="D9:D14"/>
    <mergeCell ref="E3:E8"/>
    <mergeCell ref="D3:D8"/>
    <mergeCell ref="C3:C8"/>
    <mergeCell ref="F61:F64"/>
    <mergeCell ref="G61:G64"/>
    <mergeCell ref="I64:X64"/>
    <mergeCell ref="A65:A68"/>
    <mergeCell ref="B65:B68"/>
    <mergeCell ref="C65:C68"/>
    <mergeCell ref="D65:D68"/>
    <mergeCell ref="E65:E68"/>
    <mergeCell ref="F65:F68"/>
    <mergeCell ref="G65:G68"/>
    <mergeCell ref="I68:X68"/>
    <mergeCell ref="A61:A64"/>
    <mergeCell ref="B61:B64"/>
    <mergeCell ref="C61:C64"/>
    <mergeCell ref="D61:D64"/>
    <mergeCell ref="E61:E64"/>
  </mergeCells>
  <phoneticPr fontId="5" type="noConversion"/>
  <hyperlinks>
    <hyperlink ref="H48" r:id="rId1" xr:uid="{8E627805-0D71-4CE0-8DCD-B56FF7F9D45D}"/>
    <hyperlink ref="E54" r:id="rId2"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789A677C-CF10-4A88-A0D2-CAFD5BCA875F}"/>
  </hyperlinks>
  <pageMargins left="0.7" right="0.7" top="0.75" bottom="0.75" header="0.3" footer="0.3"/>
  <pageSetup orientation="portrait"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88"/>
  <sheetViews>
    <sheetView zoomScale="90" zoomScaleNormal="90" workbookViewId="0">
      <selection sqref="A1:F1"/>
    </sheetView>
  </sheetViews>
  <sheetFormatPr defaultColWidth="8.6640625" defaultRowHeight="13.2" x14ac:dyDescent="0.25"/>
  <cols>
    <col min="1" max="1" width="20.33203125" style="5" customWidth="1"/>
    <col min="2" max="2" width="28.33203125" style="5" customWidth="1"/>
    <col min="3" max="3" width="29.109375" style="5" customWidth="1"/>
    <col min="4" max="4" width="31" style="5" customWidth="1"/>
    <col min="5" max="5" width="27.5546875" style="5" customWidth="1"/>
    <col min="6" max="6" width="32.6640625" style="5" customWidth="1"/>
    <col min="7" max="7" width="81.6640625" style="5" bestFit="1" customWidth="1"/>
    <col min="8" max="8" width="36.109375" style="5" customWidth="1"/>
    <col min="9" max="11" width="12.6640625" style="5" customWidth="1"/>
    <col min="12" max="19" width="15.33203125" style="5" customWidth="1"/>
    <col min="20" max="20" width="14.6640625" style="5" customWidth="1"/>
    <col min="21" max="21" width="13.5546875" style="5" customWidth="1"/>
    <col min="22" max="22" width="15.6640625" style="5" customWidth="1"/>
    <col min="23" max="29" width="11" style="5" customWidth="1"/>
    <col min="30" max="38" width="6.5546875" style="5" customWidth="1"/>
    <col min="39" max="39" width="8.6640625" style="5" customWidth="1"/>
    <col min="40" max="16384" width="8.6640625" style="5"/>
  </cols>
  <sheetData>
    <row r="1" spans="1:9" ht="27" customHeight="1" x14ac:dyDescent="0.25">
      <c r="A1" s="643" t="str">
        <f>"HVAC system - "&amp;Prototype!A2</f>
        <v>HVAC system - HotelSmall</v>
      </c>
      <c r="B1" s="643"/>
      <c r="C1" s="643"/>
      <c r="D1" s="643"/>
      <c r="E1" s="643"/>
      <c r="F1" s="643"/>
      <c r="G1" s="588"/>
    </row>
    <row r="2" spans="1:9" ht="22.2" customHeight="1" x14ac:dyDescent="0.25">
      <c r="A2" s="54" t="s">
        <v>284</v>
      </c>
      <c r="B2" s="121" t="s">
        <v>341</v>
      </c>
      <c r="C2" s="121" t="s">
        <v>364</v>
      </c>
      <c r="D2" s="121" t="s">
        <v>365</v>
      </c>
      <c r="E2" s="121" t="s">
        <v>366</v>
      </c>
      <c r="F2" s="121" t="s">
        <v>271</v>
      </c>
      <c r="G2" s="121" t="s">
        <v>367</v>
      </c>
    </row>
    <row r="3" spans="1:9" ht="31.95" customHeight="1" x14ac:dyDescent="0.25">
      <c r="A3" s="662" t="s">
        <v>368</v>
      </c>
      <c r="B3" s="464" t="s">
        <v>369</v>
      </c>
      <c r="C3" s="590" t="s">
        <v>370</v>
      </c>
      <c r="D3" s="589" t="s">
        <v>371</v>
      </c>
      <c r="E3" s="589"/>
      <c r="F3" s="464" t="s">
        <v>372</v>
      </c>
      <c r="G3" s="589"/>
      <c r="H3" s="598"/>
      <c r="I3" s="598"/>
    </row>
    <row r="4" spans="1:9" ht="13.2" customHeight="1" x14ac:dyDescent="0.25">
      <c r="A4" s="662"/>
      <c r="B4" s="662" t="s">
        <v>373</v>
      </c>
      <c r="C4" s="701" t="s">
        <v>370</v>
      </c>
      <c r="D4" s="661" t="s">
        <v>371</v>
      </c>
      <c r="E4" s="708"/>
      <c r="F4" s="662" t="s">
        <v>372</v>
      </c>
      <c r="G4" s="662"/>
      <c r="H4" s="115"/>
      <c r="I4" s="115"/>
    </row>
    <row r="5" spans="1:9" ht="22.2" customHeight="1" x14ac:dyDescent="0.25">
      <c r="A5" s="662"/>
      <c r="B5" s="662"/>
      <c r="C5" s="701"/>
      <c r="D5" s="661"/>
      <c r="E5" s="708"/>
      <c r="F5" s="662"/>
      <c r="G5" s="662"/>
    </row>
    <row r="6" spans="1:9" ht="42" customHeight="1" x14ac:dyDescent="0.25">
      <c r="A6" s="661" t="s">
        <v>374</v>
      </c>
      <c r="B6" s="464" t="s">
        <v>369</v>
      </c>
      <c r="C6" s="263" t="s">
        <v>375</v>
      </c>
      <c r="D6" s="463" t="s">
        <v>375</v>
      </c>
      <c r="E6" s="589"/>
      <c r="F6" s="589" t="s">
        <v>376</v>
      </c>
      <c r="G6" s="464" t="s">
        <v>377</v>
      </c>
      <c r="H6" s="596"/>
    </row>
    <row r="7" spans="1:9" ht="31.95" customHeight="1" x14ac:dyDescent="0.25">
      <c r="A7" s="661"/>
      <c r="B7" s="464" t="s">
        <v>373</v>
      </c>
      <c r="C7" s="263" t="s">
        <v>378</v>
      </c>
      <c r="D7" s="595" t="s">
        <v>379</v>
      </c>
      <c r="E7" s="464" t="s">
        <v>380</v>
      </c>
      <c r="F7" s="589" t="s">
        <v>381</v>
      </c>
      <c r="G7" s="464" t="s">
        <v>382</v>
      </c>
    </row>
    <row r="8" spans="1:9" ht="17.7" customHeight="1" x14ac:dyDescent="0.25">
      <c r="A8" s="598"/>
    </row>
    <row r="9" spans="1:9" ht="17.7" customHeight="1" x14ac:dyDescent="0.25"/>
    <row r="10" spans="1:9" ht="17.7" customHeight="1" x14ac:dyDescent="0.25"/>
    <row r="11" spans="1:9" ht="48" customHeight="1" x14ac:dyDescent="0.25">
      <c r="A11" s="643" t="s">
        <v>383</v>
      </c>
      <c r="B11" s="643"/>
      <c r="C11" s="643"/>
      <c r="D11" s="643"/>
      <c r="E11" s="643"/>
      <c r="F11" s="643"/>
      <c r="G11" s="643"/>
      <c r="H11" s="143"/>
    </row>
    <row r="12" spans="1:9" ht="37.950000000000003" customHeight="1" x14ac:dyDescent="0.25">
      <c r="A12" s="54" t="s">
        <v>284</v>
      </c>
      <c r="B12" s="54" t="s">
        <v>384</v>
      </c>
      <c r="C12" s="136" t="s">
        <v>385</v>
      </c>
      <c r="D12" s="136" t="s">
        <v>386</v>
      </c>
      <c r="E12" s="622" t="s">
        <v>387</v>
      </c>
      <c r="F12" s="121" t="s">
        <v>388</v>
      </c>
      <c r="G12" s="54" t="s">
        <v>367</v>
      </c>
    </row>
    <row r="13" spans="1:9" ht="16.95" customHeight="1" x14ac:dyDescent="0.25">
      <c r="A13" s="164" t="s">
        <v>306</v>
      </c>
      <c r="B13" s="699">
        <v>2008</v>
      </c>
      <c r="C13" s="697" t="s">
        <v>389</v>
      </c>
      <c r="D13" s="698" t="s">
        <v>390</v>
      </c>
      <c r="E13" s="698" t="s">
        <v>390</v>
      </c>
      <c r="F13" s="707" t="s">
        <v>391</v>
      </c>
      <c r="G13" s="700"/>
    </row>
    <row r="14" spans="1:9" ht="21" customHeight="1" x14ac:dyDescent="0.25">
      <c r="A14" s="164" t="s">
        <v>309</v>
      </c>
      <c r="B14" s="699"/>
      <c r="C14" s="697"/>
      <c r="D14" s="698"/>
      <c r="E14" s="698"/>
      <c r="F14" s="707"/>
      <c r="G14" s="700"/>
    </row>
    <row r="15" spans="1:9" ht="21.6" customHeight="1" x14ac:dyDescent="0.25">
      <c r="A15" s="164" t="s">
        <v>311</v>
      </c>
      <c r="B15" s="699"/>
      <c r="C15" s="697"/>
      <c r="D15" s="698"/>
      <c r="E15" s="698"/>
      <c r="F15" s="707"/>
      <c r="G15" s="700"/>
    </row>
    <row r="16" spans="1:9" ht="33.6" customHeight="1" x14ac:dyDescent="0.25">
      <c r="A16" s="164" t="s">
        <v>313</v>
      </c>
      <c r="B16" s="133">
        <v>2013</v>
      </c>
      <c r="C16" s="164" t="s">
        <v>389</v>
      </c>
      <c r="D16" s="192" t="s">
        <v>390</v>
      </c>
      <c r="E16" s="193" t="s">
        <v>390</v>
      </c>
      <c r="F16" s="134" t="s">
        <v>392</v>
      </c>
      <c r="G16" s="135"/>
    </row>
    <row r="17" spans="1:38" ht="66" customHeight="1" x14ac:dyDescent="0.25">
      <c r="A17" s="470" t="s">
        <v>374</v>
      </c>
      <c r="B17" s="133">
        <v>2025</v>
      </c>
      <c r="C17" s="164" t="s">
        <v>389</v>
      </c>
      <c r="D17" s="604" t="s">
        <v>393</v>
      </c>
      <c r="E17" s="604" t="s">
        <v>394</v>
      </c>
      <c r="F17" s="134" t="s">
        <v>395</v>
      </c>
      <c r="G17" s="135" t="s">
        <v>396</v>
      </c>
    </row>
    <row r="18" spans="1:38" ht="20.399999999999999" customHeight="1" x14ac:dyDescent="0.25">
      <c r="A18" s="7"/>
      <c r="B18" s="7"/>
      <c r="C18" s="602"/>
      <c r="D18" s="602"/>
      <c r="E18" s="160"/>
      <c r="F18" s="161"/>
      <c r="G18" s="162"/>
    </row>
    <row r="19" spans="1:38" ht="20.399999999999999" customHeight="1" x14ac:dyDescent="0.25">
      <c r="A19" s="7"/>
      <c r="B19" s="7"/>
      <c r="C19" s="602"/>
      <c r="D19" s="602"/>
      <c r="E19" s="160"/>
      <c r="F19" s="161"/>
      <c r="G19" s="162"/>
    </row>
    <row r="20" spans="1:38" ht="20.399999999999999" customHeight="1" x14ac:dyDescent="0.25">
      <c r="D20" s="162"/>
    </row>
    <row r="21" spans="1:38" ht="32.4" customHeight="1" x14ac:dyDescent="0.25">
      <c r="A21" s="706" t="s">
        <v>397</v>
      </c>
      <c r="B21" s="706"/>
      <c r="C21" s="706"/>
      <c r="D21" s="706"/>
      <c r="E21" s="706"/>
      <c r="F21" s="706"/>
      <c r="G21" s="706"/>
      <c r="H21" s="706"/>
    </row>
    <row r="22" spans="1:38" ht="32.1" customHeight="1" x14ac:dyDescent="0.25">
      <c r="A22" s="472" t="s">
        <v>284</v>
      </c>
      <c r="B22" s="472" t="s">
        <v>398</v>
      </c>
      <c r="C22" s="472" t="s">
        <v>399</v>
      </c>
      <c r="D22" s="200" t="s">
        <v>400</v>
      </c>
      <c r="E22" s="200" t="s">
        <v>401</v>
      </c>
      <c r="F22" s="200" t="s">
        <v>402</v>
      </c>
      <c r="G22" s="200" t="s">
        <v>403</v>
      </c>
      <c r="H22" s="200" t="s">
        <v>404</v>
      </c>
    </row>
    <row r="23" spans="1:38" ht="110.1" customHeight="1" x14ac:dyDescent="0.25">
      <c r="A23" s="464" t="s">
        <v>315</v>
      </c>
      <c r="B23" s="463" t="s">
        <v>405</v>
      </c>
      <c r="C23" s="473" t="s">
        <v>406</v>
      </c>
      <c r="D23" s="473">
        <v>1.33</v>
      </c>
      <c r="E23" s="473">
        <v>0.65</v>
      </c>
      <c r="F23" s="474" t="s">
        <v>407</v>
      </c>
      <c r="G23" s="475"/>
      <c r="H23" s="478" t="s">
        <v>408</v>
      </c>
    </row>
    <row r="24" spans="1:38" x14ac:dyDescent="0.25">
      <c r="A24" s="586" t="s">
        <v>409</v>
      </c>
      <c r="B24" s="185"/>
      <c r="C24" s="186"/>
      <c r="D24" s="186"/>
      <c r="E24" s="186"/>
      <c r="F24" s="190"/>
      <c r="G24" s="190"/>
      <c r="H24" s="191"/>
    </row>
    <row r="25" spans="1:38" x14ac:dyDescent="0.25">
      <c r="A25" s="586" t="s">
        <v>410</v>
      </c>
      <c r="B25" s="185"/>
      <c r="C25" s="186"/>
      <c r="D25" s="186"/>
      <c r="E25" s="186"/>
      <c r="F25" s="190"/>
      <c r="G25" s="190"/>
      <c r="H25" s="191"/>
    </row>
    <row r="26" spans="1:38" ht="36" customHeight="1" x14ac:dyDescent="0.25">
      <c r="A26" s="702" t="s">
        <v>374</v>
      </c>
      <c r="B26" s="702" t="s">
        <v>411</v>
      </c>
      <c r="C26" s="479" t="s">
        <v>412</v>
      </c>
      <c r="D26" s="471" t="s">
        <v>413</v>
      </c>
      <c r="E26" s="702">
        <v>0.65</v>
      </c>
      <c r="F26" s="703" t="s">
        <v>414</v>
      </c>
      <c r="G26" s="479">
        <v>0.45</v>
      </c>
      <c r="H26" s="705" t="s">
        <v>415</v>
      </c>
    </row>
    <row r="27" spans="1:38" ht="32.1" customHeight="1" x14ac:dyDescent="0.25">
      <c r="A27" s="702"/>
      <c r="B27" s="702"/>
      <c r="C27" s="479" t="s">
        <v>416</v>
      </c>
      <c r="D27" s="471" t="s">
        <v>413</v>
      </c>
      <c r="E27" s="702"/>
      <c r="F27" s="704"/>
      <c r="G27" s="479">
        <v>0.97799999999999998</v>
      </c>
      <c r="H27" s="702"/>
    </row>
    <row r="28" spans="1:38" ht="12.75" customHeight="1" x14ac:dyDescent="0.25">
      <c r="A28" s="7"/>
      <c r="B28" s="7"/>
      <c r="C28" s="137"/>
      <c r="D28" s="476"/>
      <c r="E28" s="7"/>
      <c r="F28" s="598"/>
      <c r="G28" s="162"/>
      <c r="H28" s="7"/>
    </row>
    <row r="29" spans="1:38" ht="36" customHeight="1" x14ac:dyDescent="0.25">
      <c r="A29" s="696" t="s">
        <v>417</v>
      </c>
      <c r="B29" s="669"/>
      <c r="C29" s="669"/>
      <c r="D29" s="669"/>
      <c r="E29" s="669"/>
      <c r="F29" s="669"/>
      <c r="G29" s="669"/>
      <c r="H29" s="669"/>
    </row>
    <row r="30" spans="1:38" ht="32.1" customHeight="1" x14ac:dyDescent="0.25">
      <c r="A30" s="696" t="s">
        <v>418</v>
      </c>
      <c r="B30" s="669"/>
      <c r="C30" s="669"/>
      <c r="D30" s="669"/>
      <c r="E30" s="669"/>
      <c r="F30" s="669"/>
      <c r="G30" s="669"/>
      <c r="H30" s="669"/>
    </row>
    <row r="31" spans="1:38" ht="16.95" customHeight="1" x14ac:dyDescent="0.25">
      <c r="A31" s="599"/>
      <c r="B31" s="137"/>
      <c r="C31" s="137"/>
      <c r="D31" s="477"/>
      <c r="E31" s="8"/>
      <c r="H31" s="194"/>
      <c r="I31" s="194"/>
      <c r="J31" s="194"/>
    </row>
    <row r="32" spans="1:38" x14ac:dyDescent="0.25">
      <c r="A32" s="131"/>
      <c r="B32" s="92"/>
      <c r="C32" s="92"/>
      <c r="D32" s="92"/>
      <c r="E32" s="92"/>
      <c r="F32" s="613"/>
      <c r="G32" s="613"/>
      <c r="U32" s="55"/>
      <c r="V32" s="55"/>
      <c r="W32" s="87"/>
      <c r="X32" s="87"/>
      <c r="Y32" s="87"/>
      <c r="Z32" s="87"/>
      <c r="AA32" s="87"/>
      <c r="AB32" s="87"/>
      <c r="AC32" s="87"/>
      <c r="AD32" s="87"/>
      <c r="AE32" s="87"/>
      <c r="AF32" s="87"/>
      <c r="AG32" s="87"/>
      <c r="AH32" s="87"/>
      <c r="AI32" s="87"/>
      <c r="AJ32" s="87"/>
      <c r="AK32" s="87"/>
      <c r="AL32" s="87"/>
    </row>
    <row r="33" spans="1:40" x14ac:dyDescent="0.25">
      <c r="A33" s="131"/>
      <c r="B33" s="92"/>
      <c r="C33" s="92"/>
      <c r="E33" s="92"/>
      <c r="F33" s="92"/>
      <c r="G33" s="92"/>
      <c r="I33" s="613"/>
      <c r="W33" s="55"/>
      <c r="X33" s="55"/>
      <c r="Y33" s="87"/>
      <c r="Z33" s="87"/>
      <c r="AA33" s="87"/>
      <c r="AB33" s="87"/>
      <c r="AC33" s="87"/>
      <c r="AD33" s="87"/>
      <c r="AE33" s="87"/>
      <c r="AF33" s="87"/>
      <c r="AG33" s="87"/>
      <c r="AH33" s="87"/>
      <c r="AI33" s="87"/>
      <c r="AJ33" s="87"/>
      <c r="AK33" s="87"/>
      <c r="AL33" s="87"/>
      <c r="AM33" s="87"/>
      <c r="AN33" s="87"/>
    </row>
    <row r="34" spans="1:40" x14ac:dyDescent="0.25">
      <c r="A34" s="131"/>
      <c r="B34" s="92"/>
      <c r="C34" s="92"/>
      <c r="E34" s="92"/>
      <c r="F34" s="254"/>
      <c r="G34" s="92"/>
      <c r="H34" s="613"/>
      <c r="I34" s="613"/>
      <c r="W34" s="55"/>
      <c r="X34" s="132"/>
      <c r="Y34" s="87"/>
      <c r="Z34" s="87"/>
      <c r="AA34" s="87"/>
      <c r="AB34" s="87"/>
      <c r="AC34" s="87"/>
      <c r="AD34" s="87"/>
      <c r="AE34" s="87"/>
      <c r="AF34" s="87"/>
      <c r="AG34" s="87"/>
      <c r="AH34" s="87"/>
      <c r="AI34" s="87"/>
      <c r="AJ34" s="87"/>
      <c r="AK34" s="87"/>
      <c r="AL34" s="87"/>
      <c r="AM34" s="87"/>
      <c r="AN34" s="87"/>
    </row>
    <row r="35" spans="1:40" x14ac:dyDescent="0.25">
      <c r="A35" s="131"/>
      <c r="B35" s="92"/>
      <c r="C35" s="92"/>
      <c r="D35" s="92"/>
      <c r="E35" s="92"/>
      <c r="F35" s="92"/>
      <c r="G35" s="92"/>
      <c r="H35" s="613"/>
      <c r="I35" s="613"/>
      <c r="W35" s="598"/>
      <c r="X35" s="598"/>
      <c r="Y35" s="55"/>
      <c r="Z35" s="55"/>
      <c r="AA35" s="55"/>
      <c r="AB35" s="55"/>
      <c r="AC35" s="55"/>
      <c r="AD35" s="55"/>
      <c r="AE35" s="55"/>
      <c r="AF35" s="55"/>
      <c r="AG35" s="55"/>
      <c r="AH35" s="55"/>
      <c r="AI35" s="55"/>
      <c r="AJ35" s="55"/>
      <c r="AK35" s="55"/>
      <c r="AL35" s="55"/>
      <c r="AM35" s="55"/>
      <c r="AN35" s="55"/>
    </row>
    <row r="36" spans="1:40" x14ac:dyDescent="0.25">
      <c r="A36" s="131"/>
      <c r="B36" s="92"/>
      <c r="C36" s="92"/>
      <c r="D36" s="92"/>
      <c r="E36" s="92"/>
      <c r="F36" s="613"/>
      <c r="G36" s="613"/>
      <c r="W36" s="43"/>
      <c r="X36" s="43"/>
      <c r="Y36" s="43"/>
      <c r="Z36" s="43"/>
      <c r="AA36" s="43"/>
      <c r="AB36" s="43"/>
      <c r="AC36" s="43"/>
      <c r="AD36" s="43"/>
      <c r="AE36" s="43"/>
      <c r="AF36" s="43"/>
      <c r="AG36" s="43"/>
      <c r="AH36" s="43"/>
      <c r="AI36" s="43"/>
      <c r="AJ36" s="43"/>
      <c r="AK36" s="43"/>
      <c r="AL36" s="43"/>
    </row>
    <row r="37" spans="1:40" x14ac:dyDescent="0.25">
      <c r="A37" s="131"/>
      <c r="B37" s="255"/>
      <c r="C37" s="92"/>
      <c r="D37" s="92"/>
      <c r="E37" s="92"/>
      <c r="F37" s="613"/>
      <c r="G37" s="613"/>
    </row>
    <row r="38" spans="1:40" x14ac:dyDescent="0.25">
      <c r="A38" s="131"/>
      <c r="B38" s="92"/>
      <c r="C38" s="92"/>
      <c r="D38" s="92"/>
      <c r="E38" s="92"/>
      <c r="F38" s="613"/>
      <c r="G38" s="613"/>
      <c r="U38" s="41"/>
      <c r="V38" s="41"/>
      <c r="W38" s="88"/>
      <c r="X38" s="88"/>
      <c r="Y38" s="88"/>
      <c r="Z38" s="88"/>
      <c r="AA38" s="88"/>
      <c r="AB38" s="88"/>
      <c r="AC38" s="88"/>
      <c r="AD38" s="88"/>
      <c r="AE38" s="88"/>
      <c r="AF38" s="88"/>
      <c r="AG38" s="88"/>
      <c r="AH38" s="88"/>
      <c r="AI38" s="88"/>
      <c r="AJ38" s="88"/>
      <c r="AK38" s="88"/>
      <c r="AL38" s="88"/>
    </row>
    <row r="39" spans="1:40" ht="16.95" customHeight="1" x14ac:dyDescent="0.25">
      <c r="A39" s="131"/>
      <c r="B39" s="92"/>
      <c r="C39" s="92"/>
      <c r="D39" s="92"/>
      <c r="E39" s="92"/>
      <c r="F39" s="613"/>
      <c r="G39" s="613"/>
      <c r="V39" s="89"/>
      <c r="W39" s="90"/>
      <c r="X39" s="90"/>
      <c r="Y39" s="90"/>
      <c r="Z39" s="90"/>
      <c r="AA39" s="90"/>
      <c r="AB39" s="90"/>
      <c r="AC39" s="90"/>
      <c r="AD39" s="90"/>
      <c r="AE39" s="90"/>
      <c r="AF39" s="90"/>
      <c r="AG39" s="90"/>
      <c r="AH39" s="90"/>
      <c r="AI39" s="90"/>
      <c r="AJ39" s="90"/>
      <c r="AK39" s="90"/>
      <c r="AL39" s="90"/>
    </row>
    <row r="40" spans="1:40" x14ac:dyDescent="0.25">
      <c r="A40" s="131"/>
      <c r="B40" s="92"/>
      <c r="C40" s="92"/>
      <c r="D40" s="92"/>
      <c r="E40" s="92"/>
      <c r="F40" s="613"/>
      <c r="G40" s="613"/>
      <c r="T40" s="613"/>
      <c r="U40" s="43"/>
      <c r="V40" s="89"/>
      <c r="W40" s="90"/>
      <c r="X40" s="90"/>
      <c r="Y40" s="90"/>
      <c r="Z40" s="90"/>
      <c r="AA40" s="90"/>
      <c r="AB40" s="90"/>
      <c r="AC40" s="90"/>
      <c r="AD40" s="90"/>
      <c r="AE40" s="90"/>
      <c r="AF40" s="90"/>
      <c r="AG40" s="90"/>
      <c r="AH40" s="90"/>
      <c r="AI40" s="90"/>
      <c r="AJ40" s="90"/>
      <c r="AK40" s="90"/>
      <c r="AL40" s="90"/>
    </row>
    <row r="41" spans="1:40" x14ac:dyDescent="0.25">
      <c r="A41" s="131"/>
      <c r="B41" s="92"/>
      <c r="C41" s="92"/>
      <c r="D41" s="92"/>
      <c r="E41" s="92"/>
      <c r="F41" s="613"/>
      <c r="G41" s="613"/>
      <c r="T41" s="612"/>
      <c r="U41" s="43"/>
      <c r="V41" s="89"/>
      <c r="W41" s="90"/>
      <c r="X41" s="90"/>
      <c r="Y41" s="90"/>
      <c r="Z41" s="90"/>
      <c r="AA41" s="90"/>
      <c r="AB41" s="90"/>
      <c r="AC41" s="90"/>
      <c r="AD41" s="90"/>
      <c r="AE41" s="90"/>
      <c r="AF41" s="90"/>
      <c r="AG41" s="90"/>
      <c r="AH41" s="90"/>
      <c r="AI41" s="90"/>
      <c r="AJ41" s="90"/>
      <c r="AK41" s="90"/>
      <c r="AL41" s="90"/>
    </row>
    <row r="42" spans="1:40" x14ac:dyDescent="0.25">
      <c r="A42" s="131"/>
      <c r="B42" s="92"/>
      <c r="C42" s="92"/>
      <c r="D42" s="92"/>
      <c r="E42" s="92"/>
      <c r="F42" s="613"/>
      <c r="G42" s="613"/>
      <c r="T42" s="612"/>
      <c r="U42" s="43"/>
      <c r="V42" s="89"/>
      <c r="W42" s="90"/>
      <c r="X42" s="90"/>
      <c r="Y42" s="90"/>
      <c r="Z42" s="90"/>
      <c r="AA42" s="90"/>
      <c r="AB42" s="90"/>
      <c r="AC42" s="90"/>
      <c r="AD42" s="90"/>
      <c r="AE42" s="90"/>
      <c r="AF42" s="90"/>
      <c r="AG42" s="90"/>
      <c r="AH42" s="90"/>
      <c r="AI42" s="90"/>
      <c r="AJ42" s="90"/>
      <c r="AK42" s="90"/>
      <c r="AL42" s="90"/>
    </row>
    <row r="43" spans="1:40" x14ac:dyDescent="0.25">
      <c r="A43" s="131"/>
      <c r="B43" s="92"/>
      <c r="C43" s="92"/>
      <c r="D43" s="92"/>
      <c r="E43" s="92"/>
      <c r="F43" s="613"/>
      <c r="G43" s="613"/>
      <c r="U43" s="43"/>
      <c r="V43" s="89"/>
      <c r="W43" s="90"/>
      <c r="X43" s="90"/>
      <c r="Y43" s="90"/>
      <c r="Z43" s="90"/>
      <c r="AA43" s="90"/>
      <c r="AB43" s="90"/>
      <c r="AC43" s="90"/>
      <c r="AD43" s="90"/>
      <c r="AE43" s="90"/>
      <c r="AF43" s="90"/>
      <c r="AG43" s="90"/>
      <c r="AH43" s="90"/>
      <c r="AI43" s="90"/>
      <c r="AJ43" s="90"/>
      <c r="AK43" s="90"/>
      <c r="AL43" s="90"/>
    </row>
    <row r="44" spans="1:40" x14ac:dyDescent="0.25">
      <c r="A44" s="131"/>
      <c r="B44" s="92"/>
      <c r="C44" s="92"/>
      <c r="D44" s="92"/>
      <c r="E44" s="92"/>
      <c r="F44" s="613"/>
      <c r="G44" s="613"/>
      <c r="U44" s="43"/>
      <c r="V44" s="89"/>
      <c r="W44" s="90"/>
      <c r="X44" s="90"/>
      <c r="Y44" s="90"/>
      <c r="Z44" s="90"/>
      <c r="AA44" s="90"/>
      <c r="AB44" s="90"/>
      <c r="AC44" s="90"/>
      <c r="AD44" s="90"/>
      <c r="AE44" s="90"/>
      <c r="AF44" s="90"/>
      <c r="AG44" s="90"/>
      <c r="AH44" s="90"/>
      <c r="AI44" s="90"/>
      <c r="AJ44" s="90"/>
      <c r="AK44" s="90"/>
      <c r="AL44" s="90"/>
    </row>
    <row r="45" spans="1:40" x14ac:dyDescent="0.25">
      <c r="A45" s="131"/>
      <c r="B45" s="92"/>
      <c r="C45" s="92"/>
      <c r="D45" s="92"/>
      <c r="E45" s="92"/>
      <c r="F45" s="613"/>
      <c r="G45" s="613"/>
      <c r="U45" s="43"/>
      <c r="V45" s="89"/>
      <c r="W45" s="90"/>
      <c r="X45" s="90"/>
      <c r="Y45" s="90"/>
      <c r="Z45" s="90"/>
      <c r="AA45" s="90"/>
      <c r="AB45" s="90"/>
      <c r="AC45" s="90"/>
      <c r="AD45" s="90"/>
      <c r="AE45" s="90"/>
      <c r="AF45" s="90"/>
      <c r="AG45" s="90"/>
      <c r="AH45" s="90"/>
      <c r="AI45" s="90"/>
      <c r="AJ45" s="90"/>
      <c r="AK45" s="90"/>
      <c r="AL45" s="90"/>
    </row>
    <row r="46" spans="1:40" x14ac:dyDescent="0.25">
      <c r="A46" s="131"/>
      <c r="B46" s="92"/>
      <c r="C46" s="92"/>
      <c r="D46" s="92"/>
      <c r="E46" s="92"/>
      <c r="F46" s="613"/>
      <c r="G46" s="613"/>
      <c r="U46" s="43"/>
      <c r="V46" s="89"/>
      <c r="W46" s="90"/>
      <c r="X46" s="90"/>
      <c r="Y46" s="90"/>
      <c r="Z46" s="90"/>
      <c r="AA46" s="90"/>
      <c r="AB46" s="90"/>
      <c r="AC46" s="90"/>
      <c r="AD46" s="90"/>
      <c r="AE46" s="90"/>
      <c r="AF46" s="90"/>
      <c r="AG46" s="90"/>
      <c r="AH46" s="90"/>
      <c r="AI46" s="90"/>
      <c r="AJ46" s="90"/>
      <c r="AK46" s="90"/>
      <c r="AL46" s="90"/>
    </row>
    <row r="47" spans="1:40" x14ac:dyDescent="0.25">
      <c r="A47" s="131"/>
      <c r="B47" s="92"/>
      <c r="C47" s="92"/>
      <c r="D47" s="92"/>
      <c r="E47" s="92"/>
      <c r="F47" s="613"/>
      <c r="G47" s="613"/>
      <c r="U47" s="43"/>
      <c r="V47" s="89"/>
      <c r="W47" s="90"/>
      <c r="X47" s="90"/>
      <c r="Y47" s="90"/>
      <c r="Z47" s="90"/>
      <c r="AA47" s="90"/>
      <c r="AB47" s="90"/>
      <c r="AC47" s="90"/>
      <c r="AD47" s="90"/>
      <c r="AE47" s="90"/>
      <c r="AF47" s="90"/>
      <c r="AG47" s="90"/>
      <c r="AH47" s="90"/>
      <c r="AI47" s="90"/>
      <c r="AJ47" s="90"/>
      <c r="AK47" s="90"/>
      <c r="AL47" s="90"/>
    </row>
    <row r="48" spans="1:40" x14ac:dyDescent="0.25">
      <c r="U48" s="43"/>
      <c r="V48" s="89"/>
      <c r="W48" s="90"/>
      <c r="X48" s="90"/>
      <c r="Y48" s="90"/>
      <c r="Z48" s="90"/>
      <c r="AA48" s="90"/>
      <c r="AB48" s="90"/>
      <c r="AC48" s="90"/>
      <c r="AD48" s="90"/>
      <c r="AE48" s="90"/>
      <c r="AF48" s="90"/>
      <c r="AG48" s="90"/>
      <c r="AH48" s="90"/>
      <c r="AI48" s="90"/>
      <c r="AJ48" s="90"/>
      <c r="AK48" s="90"/>
      <c r="AL48" s="90"/>
    </row>
    <row r="49" spans="14:38" x14ac:dyDescent="0.25">
      <c r="N49" s="56"/>
      <c r="O49" s="56"/>
      <c r="U49" s="43"/>
      <c r="V49" s="89"/>
      <c r="W49" s="90"/>
      <c r="X49" s="90"/>
      <c r="Y49" s="90"/>
      <c r="Z49" s="90"/>
      <c r="AA49" s="90"/>
      <c r="AB49" s="90"/>
      <c r="AC49" s="90"/>
      <c r="AD49" s="90"/>
      <c r="AE49" s="90"/>
      <c r="AF49" s="90"/>
      <c r="AG49" s="90"/>
      <c r="AH49" s="90"/>
      <c r="AI49" s="90"/>
      <c r="AJ49" s="90"/>
      <c r="AK49" s="90"/>
      <c r="AL49" s="90"/>
    </row>
    <row r="50" spans="14:38" x14ac:dyDescent="0.25">
      <c r="U50" s="43"/>
      <c r="V50" s="89"/>
      <c r="W50" s="90"/>
      <c r="X50" s="90"/>
      <c r="Y50" s="90"/>
      <c r="Z50" s="90"/>
      <c r="AA50" s="90"/>
      <c r="AB50" s="90"/>
      <c r="AC50" s="90"/>
      <c r="AD50" s="90"/>
      <c r="AE50" s="90"/>
      <c r="AF50" s="90"/>
      <c r="AG50" s="90"/>
      <c r="AH50" s="90"/>
      <c r="AI50" s="90"/>
      <c r="AJ50" s="90"/>
      <c r="AK50" s="90"/>
      <c r="AL50" s="90"/>
    </row>
    <row r="52" spans="14:38" x14ac:dyDescent="0.25">
      <c r="U52" s="43"/>
      <c r="V52" s="89"/>
      <c r="W52" s="90"/>
      <c r="X52" s="90"/>
      <c r="Y52" s="90"/>
      <c r="Z52" s="90"/>
      <c r="AA52" s="90"/>
      <c r="AB52" s="90"/>
      <c r="AC52" s="90"/>
      <c r="AD52" s="90"/>
      <c r="AE52" s="90"/>
      <c r="AF52" s="90"/>
      <c r="AG52" s="90"/>
      <c r="AH52" s="90"/>
      <c r="AI52" s="90"/>
      <c r="AJ52" s="90"/>
      <c r="AK52" s="90"/>
      <c r="AL52" s="90"/>
    </row>
    <row r="53" spans="14:38" x14ac:dyDescent="0.25">
      <c r="U53" s="43"/>
      <c r="V53" s="89"/>
      <c r="W53" s="90"/>
      <c r="X53" s="90"/>
      <c r="Y53" s="90"/>
      <c r="Z53" s="90"/>
      <c r="AA53" s="90"/>
      <c r="AB53" s="90"/>
      <c r="AC53" s="90"/>
      <c r="AD53" s="90"/>
      <c r="AE53" s="90"/>
      <c r="AF53" s="90"/>
      <c r="AG53" s="90"/>
      <c r="AH53" s="90"/>
      <c r="AI53" s="90"/>
      <c r="AJ53" s="90"/>
      <c r="AK53" s="90"/>
      <c r="AL53" s="90"/>
    </row>
    <row r="54" spans="14:38" x14ac:dyDescent="0.25">
      <c r="U54" s="43"/>
      <c r="V54" s="89"/>
      <c r="W54" s="90"/>
      <c r="X54" s="90"/>
      <c r="Y54" s="90"/>
      <c r="Z54" s="90"/>
      <c r="AA54" s="90"/>
      <c r="AB54" s="90"/>
      <c r="AC54" s="90"/>
      <c r="AD54" s="90"/>
      <c r="AE54" s="90"/>
      <c r="AF54" s="90"/>
      <c r="AG54" s="90"/>
      <c r="AH54" s="90"/>
      <c r="AI54" s="90"/>
      <c r="AJ54" s="90"/>
      <c r="AK54" s="90"/>
      <c r="AL54" s="90"/>
    </row>
    <row r="55" spans="14:38" x14ac:dyDescent="0.25">
      <c r="U55" s="43"/>
      <c r="V55" s="89"/>
      <c r="W55" s="90"/>
      <c r="X55" s="90"/>
      <c r="Y55" s="90"/>
      <c r="Z55" s="90"/>
      <c r="AA55" s="90"/>
      <c r="AB55" s="90"/>
      <c r="AC55" s="90"/>
      <c r="AD55" s="90"/>
      <c r="AE55" s="90"/>
      <c r="AF55" s="90"/>
      <c r="AG55" s="90"/>
      <c r="AH55" s="90"/>
      <c r="AI55" s="90"/>
      <c r="AJ55" s="90"/>
      <c r="AK55" s="90"/>
      <c r="AL55" s="90"/>
    </row>
    <row r="56" spans="14:38" x14ac:dyDescent="0.25">
      <c r="U56" s="43"/>
      <c r="V56" s="89"/>
      <c r="W56" s="90"/>
      <c r="X56" s="90"/>
      <c r="Y56" s="90"/>
      <c r="Z56" s="90"/>
      <c r="AA56" s="90"/>
      <c r="AB56" s="90"/>
      <c r="AC56" s="90"/>
      <c r="AD56" s="90"/>
      <c r="AE56" s="90"/>
      <c r="AF56" s="90"/>
      <c r="AG56" s="90"/>
      <c r="AH56" s="90"/>
      <c r="AI56" s="90"/>
      <c r="AJ56" s="90"/>
      <c r="AK56" s="90"/>
      <c r="AL56" s="90"/>
    </row>
    <row r="57" spans="14:38" x14ac:dyDescent="0.25">
      <c r="U57" s="43"/>
      <c r="V57" s="89"/>
      <c r="W57" s="90"/>
      <c r="X57" s="90"/>
      <c r="Y57" s="90"/>
      <c r="Z57" s="90"/>
      <c r="AA57" s="90"/>
      <c r="AB57" s="90"/>
      <c r="AC57" s="90"/>
      <c r="AD57" s="90"/>
      <c r="AE57" s="90"/>
      <c r="AF57" s="90"/>
      <c r="AG57" s="90"/>
      <c r="AH57" s="90"/>
      <c r="AI57" s="90"/>
      <c r="AJ57" s="90"/>
      <c r="AK57" s="90"/>
      <c r="AL57" s="90"/>
    </row>
    <row r="58" spans="14:38" x14ac:dyDescent="0.25">
      <c r="U58" s="43"/>
      <c r="V58" s="89"/>
      <c r="W58" s="90"/>
      <c r="X58" s="90"/>
      <c r="Y58" s="90"/>
      <c r="Z58" s="90"/>
      <c r="AA58" s="90"/>
      <c r="AB58" s="90"/>
      <c r="AC58" s="90"/>
      <c r="AD58" s="90"/>
      <c r="AE58" s="90"/>
      <c r="AF58" s="90"/>
      <c r="AG58" s="90"/>
      <c r="AH58" s="90"/>
      <c r="AI58" s="90"/>
      <c r="AJ58" s="90"/>
      <c r="AK58" s="90"/>
      <c r="AL58" s="90"/>
    </row>
    <row r="59" spans="14:38" x14ac:dyDescent="0.25">
      <c r="U59" s="43"/>
      <c r="V59" s="89"/>
      <c r="W59" s="90"/>
      <c r="X59" s="90"/>
      <c r="Y59" s="90"/>
      <c r="Z59" s="90"/>
      <c r="AA59" s="90"/>
      <c r="AB59" s="90"/>
      <c r="AC59" s="90"/>
      <c r="AD59" s="90"/>
      <c r="AE59" s="90"/>
      <c r="AF59" s="90"/>
      <c r="AG59" s="90"/>
      <c r="AH59" s="90"/>
      <c r="AI59" s="90"/>
      <c r="AJ59" s="90"/>
      <c r="AK59" s="90"/>
      <c r="AL59" s="90"/>
    </row>
    <row r="60" spans="14:38" x14ac:dyDescent="0.25">
      <c r="U60" s="43"/>
      <c r="W60" s="42"/>
      <c r="X60" s="42"/>
      <c r="Y60" s="42"/>
      <c r="Z60" s="42"/>
      <c r="AA60" s="42"/>
      <c r="AB60" s="42"/>
      <c r="AC60" s="42"/>
      <c r="AD60" s="42"/>
      <c r="AE60" s="42"/>
      <c r="AF60" s="42"/>
      <c r="AG60" s="42"/>
      <c r="AH60" s="42"/>
      <c r="AI60" s="42"/>
      <c r="AJ60" s="42"/>
      <c r="AK60" s="42"/>
      <c r="AL60" s="42"/>
    </row>
    <row r="61" spans="14:38" x14ac:dyDescent="0.25">
      <c r="U61" s="52"/>
      <c r="W61" s="43"/>
      <c r="X61" s="43"/>
      <c r="Y61" s="43"/>
      <c r="Z61" s="43"/>
      <c r="AA61" s="43"/>
      <c r="AB61" s="43"/>
      <c r="AC61" s="43"/>
      <c r="AD61" s="43"/>
      <c r="AE61" s="43"/>
      <c r="AF61" s="43"/>
      <c r="AG61" s="43"/>
      <c r="AH61" s="43"/>
      <c r="AI61" s="43"/>
      <c r="AJ61" s="43"/>
      <c r="AK61" s="43"/>
      <c r="AL61" s="43"/>
    </row>
    <row r="62" spans="14:38" x14ac:dyDescent="0.25">
      <c r="U62" s="43"/>
    </row>
    <row r="65" spans="21:38" x14ac:dyDescent="0.25">
      <c r="U65" s="41"/>
      <c r="V65" s="41"/>
      <c r="W65" s="88"/>
      <c r="X65" s="88"/>
      <c r="Y65" s="88"/>
      <c r="Z65" s="88"/>
      <c r="AA65" s="88"/>
      <c r="AB65" s="88"/>
      <c r="AC65" s="88"/>
      <c r="AD65" s="88"/>
      <c r="AE65" s="88"/>
      <c r="AF65" s="88"/>
      <c r="AG65" s="88"/>
      <c r="AH65" s="88"/>
      <c r="AI65" s="88"/>
      <c r="AJ65" s="88"/>
      <c r="AK65" s="88"/>
      <c r="AL65" s="88"/>
    </row>
    <row r="66" spans="21:38" x14ac:dyDescent="0.25">
      <c r="V66" s="53"/>
    </row>
    <row r="67" spans="21:38" x14ac:dyDescent="0.25">
      <c r="U67" s="43"/>
      <c r="V67" s="53"/>
    </row>
    <row r="68" spans="21:38" x14ac:dyDescent="0.25">
      <c r="U68" s="43"/>
      <c r="V68" s="53"/>
    </row>
    <row r="69" spans="21:38" x14ac:dyDescent="0.25">
      <c r="U69" s="43"/>
      <c r="V69" s="53"/>
    </row>
    <row r="70" spans="21:38" x14ac:dyDescent="0.25">
      <c r="U70" s="43"/>
      <c r="V70" s="53"/>
    </row>
    <row r="71" spans="21:38" x14ac:dyDescent="0.25">
      <c r="U71" s="43"/>
      <c r="V71" s="53"/>
    </row>
    <row r="72" spans="21:38" x14ac:dyDescent="0.25">
      <c r="U72" s="43"/>
      <c r="V72" s="53"/>
    </row>
    <row r="73" spans="21:38" x14ac:dyDescent="0.25">
      <c r="U73" s="43"/>
      <c r="V73" s="53"/>
    </row>
    <row r="74" spans="21:38" x14ac:dyDescent="0.25">
      <c r="U74" s="43"/>
      <c r="V74" s="53"/>
    </row>
    <row r="75" spans="21:38" x14ac:dyDescent="0.25">
      <c r="U75" s="43"/>
      <c r="V75" s="53"/>
    </row>
    <row r="76" spans="21:38" x14ac:dyDescent="0.25">
      <c r="U76" s="43"/>
      <c r="V76" s="53"/>
    </row>
    <row r="77" spans="21:38" x14ac:dyDescent="0.25">
      <c r="U77" s="43"/>
      <c r="V77" s="53"/>
    </row>
    <row r="78" spans="21:38" x14ac:dyDescent="0.25">
      <c r="U78" s="43"/>
      <c r="V78" s="53"/>
    </row>
    <row r="79" spans="21:38" x14ac:dyDescent="0.25">
      <c r="U79" s="43"/>
      <c r="V79" s="53"/>
    </row>
    <row r="80" spans="21:38" x14ac:dyDescent="0.25">
      <c r="U80" s="43"/>
      <c r="V80" s="53"/>
    </row>
    <row r="81" spans="21:38" x14ac:dyDescent="0.25">
      <c r="U81" s="43"/>
      <c r="V81" s="53"/>
    </row>
    <row r="82" spans="21:38" x14ac:dyDescent="0.25">
      <c r="U82" s="43"/>
      <c r="V82" s="53"/>
    </row>
    <row r="83" spans="21:38" x14ac:dyDescent="0.25">
      <c r="U83" s="43"/>
      <c r="V83" s="53"/>
    </row>
    <row r="84" spans="21:38" x14ac:dyDescent="0.25">
      <c r="U84" s="43"/>
      <c r="V84" s="53"/>
    </row>
    <row r="85" spans="21:38" x14ac:dyDescent="0.25">
      <c r="U85" s="43"/>
      <c r="V85" s="53"/>
    </row>
    <row r="86" spans="21:38" x14ac:dyDescent="0.25">
      <c r="U86" s="43"/>
      <c r="V86" s="53"/>
    </row>
    <row r="87" spans="21:38" x14ac:dyDescent="0.25">
      <c r="U87" s="43"/>
      <c r="W87" s="42"/>
      <c r="X87" s="42"/>
      <c r="Y87" s="42"/>
      <c r="Z87" s="42"/>
      <c r="AA87" s="42"/>
      <c r="AB87" s="42"/>
      <c r="AC87" s="42"/>
      <c r="AD87" s="42"/>
      <c r="AE87" s="42"/>
      <c r="AF87" s="42"/>
      <c r="AG87" s="42"/>
      <c r="AH87" s="42"/>
      <c r="AI87" s="42"/>
      <c r="AJ87" s="42"/>
      <c r="AK87" s="42"/>
      <c r="AL87" s="42"/>
    </row>
    <row r="88" spans="21:38" x14ac:dyDescent="0.25">
      <c r="U88" s="52"/>
      <c r="W88" s="43"/>
      <c r="X88" s="43"/>
      <c r="Y88" s="43"/>
      <c r="Z88" s="43"/>
      <c r="AA88" s="43"/>
      <c r="AB88" s="43"/>
      <c r="AC88" s="43"/>
      <c r="AD88" s="43"/>
      <c r="AE88" s="43"/>
      <c r="AF88" s="43"/>
      <c r="AG88" s="43"/>
      <c r="AH88" s="43"/>
      <c r="AI88" s="43"/>
      <c r="AJ88" s="43"/>
      <c r="AK88" s="43"/>
      <c r="AL88" s="43"/>
    </row>
  </sheetData>
  <mergeCells count="24">
    <mergeCell ref="E26:E27"/>
    <mergeCell ref="F26:F27"/>
    <mergeCell ref="H26:H27"/>
    <mergeCell ref="A21:H21"/>
    <mergeCell ref="G4:G5"/>
    <mergeCell ref="A11:G11"/>
    <mergeCell ref="D13:D15"/>
    <mergeCell ref="F13:F15"/>
    <mergeCell ref="E4:E5"/>
    <mergeCell ref="F4:F5"/>
    <mergeCell ref="A1:F1"/>
    <mergeCell ref="A3:A5"/>
    <mergeCell ref="A6:A7"/>
    <mergeCell ref="C13:C15"/>
    <mergeCell ref="E13:E15"/>
    <mergeCell ref="B13:B15"/>
    <mergeCell ref="G13:G15"/>
    <mergeCell ref="B4:B5"/>
    <mergeCell ref="C4:C5"/>
    <mergeCell ref="D4:D5"/>
    <mergeCell ref="B26:B27"/>
    <mergeCell ref="A26:A27"/>
    <mergeCell ref="A29:H29"/>
    <mergeCell ref="A30:H30"/>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D73"/>
  <sheetViews>
    <sheetView zoomScale="85" zoomScaleNormal="85" workbookViewId="0">
      <pane ySplit="2" topLeftCell="A3" activePane="bottomLeft" state="frozen"/>
      <selection pane="bottomLeft" sqref="A1:K1"/>
    </sheetView>
  </sheetViews>
  <sheetFormatPr defaultColWidth="9.33203125" defaultRowHeight="13.8" x14ac:dyDescent="0.25"/>
  <cols>
    <col min="1" max="10" width="28.33203125" style="104" customWidth="1"/>
    <col min="11" max="11" width="42" style="104" customWidth="1"/>
    <col min="12" max="12" width="27.33203125" style="104" customWidth="1"/>
    <col min="13" max="13" width="13.6640625" style="104" customWidth="1"/>
    <col min="14" max="14" width="12.33203125" style="104" customWidth="1"/>
    <col min="15" max="15" width="13.6640625" style="104" customWidth="1"/>
    <col min="16" max="16" width="11.6640625" style="104" customWidth="1"/>
    <col min="17" max="17" width="13.6640625" style="104" customWidth="1"/>
    <col min="18" max="18" width="12.33203125" style="104" customWidth="1"/>
    <col min="19" max="19" width="13.6640625" style="104" customWidth="1"/>
    <col min="20" max="20" width="12.33203125" style="104" customWidth="1"/>
    <col min="21" max="21" width="13.6640625" style="104" customWidth="1"/>
    <col min="22" max="22" width="11.6640625" style="104" customWidth="1"/>
    <col min="23" max="24" width="10.6640625" style="104" customWidth="1"/>
    <col min="25" max="25" width="9.33203125" style="104"/>
    <col min="26" max="30" width="11.33203125" style="104" customWidth="1"/>
    <col min="31" max="16384" width="9.33203125" style="104"/>
  </cols>
  <sheetData>
    <row r="1" spans="1:30" ht="24.6" customHeight="1" x14ac:dyDescent="0.25">
      <c r="A1" s="710" t="s">
        <v>422</v>
      </c>
      <c r="B1" s="710"/>
      <c r="C1" s="710"/>
      <c r="D1" s="710"/>
      <c r="E1" s="710"/>
      <c r="F1" s="710"/>
      <c r="G1" s="710"/>
      <c r="H1" s="710"/>
      <c r="I1" s="710"/>
      <c r="J1" s="710"/>
      <c r="K1" s="710"/>
      <c r="L1" s="3"/>
      <c r="M1" s="3"/>
      <c r="N1" s="3"/>
      <c r="O1" s="3"/>
      <c r="P1" s="3"/>
      <c r="Q1" s="3"/>
      <c r="R1" s="3"/>
      <c r="S1" s="3"/>
      <c r="T1" s="3"/>
      <c r="U1" s="3"/>
      <c r="V1" s="3"/>
      <c r="W1" s="3"/>
      <c r="X1" s="3"/>
      <c r="Y1" s="3"/>
      <c r="Z1" s="3"/>
      <c r="AA1" s="3"/>
      <c r="AB1" s="3"/>
      <c r="AC1" s="3"/>
      <c r="AD1" s="3"/>
    </row>
    <row r="2" spans="1:30" s="105" customFormat="1" ht="66" x14ac:dyDescent="0.25">
      <c r="A2" s="199" t="s">
        <v>423</v>
      </c>
      <c r="B2" s="200" t="s">
        <v>424</v>
      </c>
      <c r="C2" s="201" t="s">
        <v>425</v>
      </c>
      <c r="D2" s="375" t="s">
        <v>426</v>
      </c>
      <c r="E2" s="376" t="s">
        <v>427</v>
      </c>
      <c r="F2" s="609" t="s">
        <v>428</v>
      </c>
      <c r="G2" s="609" t="s">
        <v>429</v>
      </c>
      <c r="H2" s="609" t="s">
        <v>430</v>
      </c>
      <c r="I2" s="609" t="s">
        <v>431</v>
      </c>
      <c r="J2" s="199" t="s">
        <v>432</v>
      </c>
      <c r="K2" s="199" t="s">
        <v>367</v>
      </c>
      <c r="L2" s="148"/>
      <c r="M2" s="5"/>
      <c r="N2" s="5"/>
      <c r="O2" s="5"/>
      <c r="P2" s="5"/>
      <c r="Q2" s="5"/>
      <c r="R2" s="5"/>
      <c r="S2" s="5"/>
      <c r="T2" s="5"/>
      <c r="U2" s="5"/>
      <c r="V2" s="5"/>
      <c r="W2" s="5"/>
      <c r="X2" s="5"/>
      <c r="Y2" s="5"/>
      <c r="Z2" s="5"/>
      <c r="AA2" s="5"/>
      <c r="AB2" s="5"/>
      <c r="AC2" s="5"/>
      <c r="AD2" s="5"/>
    </row>
    <row r="3" spans="1:30" s="105" customFormat="1" ht="14.4" customHeight="1" x14ac:dyDescent="0.25">
      <c r="A3" s="202" t="str">
        <f>Zones!B3</f>
        <v>Corridor_FloorG</v>
      </c>
      <c r="B3" s="203">
        <f>Zones!K3</f>
        <v>8.9110499999999995</v>
      </c>
      <c r="C3" s="204">
        <f>Zones!H3</f>
        <v>1782.21</v>
      </c>
      <c r="D3" s="469">
        <v>15</v>
      </c>
      <c r="E3" s="469">
        <v>0.15</v>
      </c>
      <c r="F3" s="205"/>
      <c r="G3" s="209">
        <f>B3*D3</f>
        <v>133.66575</v>
      </c>
      <c r="H3" s="209">
        <f>C3*E3</f>
        <v>267.33150000000001</v>
      </c>
      <c r="I3" s="253"/>
      <c r="J3" s="197">
        <f>MAX(G3:I3)</f>
        <v>267.33150000000001</v>
      </c>
      <c r="K3" s="206"/>
      <c r="L3" s="148"/>
      <c r="M3" s="5"/>
      <c r="N3" s="5"/>
      <c r="O3" s="5"/>
      <c r="P3" s="5"/>
      <c r="Q3" s="5"/>
      <c r="R3" s="5"/>
      <c r="S3" s="5"/>
      <c r="T3" s="5"/>
      <c r="U3" s="5"/>
      <c r="V3" s="5"/>
      <c r="W3" s="5"/>
      <c r="X3" s="5"/>
      <c r="Y3" s="5"/>
      <c r="Z3" s="5"/>
      <c r="AA3" s="5"/>
      <c r="AB3" s="5"/>
      <c r="AC3" s="5"/>
      <c r="AD3" s="5"/>
    </row>
    <row r="4" spans="1:30" s="105" customFormat="1" ht="14.4" customHeight="1" x14ac:dyDescent="0.25">
      <c r="A4" s="202" t="str">
        <f>Zones!B4</f>
        <v>Corridor_FloorM</v>
      </c>
      <c r="B4" s="203">
        <f>Zones!K4</f>
        <v>7.5608000000000004</v>
      </c>
      <c r="C4" s="204">
        <f>Zones!H4</f>
        <v>1512.16</v>
      </c>
      <c r="D4" s="469">
        <v>15</v>
      </c>
      <c r="E4" s="469">
        <v>0.15</v>
      </c>
      <c r="F4" s="205"/>
      <c r="G4" s="209">
        <f t="shared" ref="G4:G16" si="0">B4*D4</f>
        <v>113.41200000000001</v>
      </c>
      <c r="H4" s="209">
        <f t="shared" ref="H4:H16" si="1">C4*E4</f>
        <v>226.82400000000001</v>
      </c>
      <c r="I4" s="253"/>
      <c r="J4" s="197">
        <f t="shared" ref="J4:J50" si="2">MAX(G4:I4)</f>
        <v>226.82400000000001</v>
      </c>
      <c r="K4" s="206"/>
      <c r="L4" s="148"/>
      <c r="M4" s="5"/>
      <c r="N4" s="5"/>
      <c r="O4" s="5"/>
      <c r="P4" s="5"/>
      <c r="Q4" s="5"/>
      <c r="R4" s="5"/>
      <c r="S4" s="5"/>
      <c r="T4" s="5"/>
      <c r="U4" s="5"/>
      <c r="V4" s="5"/>
      <c r="W4" s="5"/>
      <c r="X4" s="5"/>
      <c r="Y4" s="5"/>
      <c r="Z4" s="5"/>
      <c r="AA4" s="5"/>
      <c r="AB4" s="5"/>
      <c r="AC4" s="5"/>
      <c r="AD4" s="5"/>
    </row>
    <row r="5" spans="1:30" s="105" customFormat="1" ht="14.4" customHeight="1" x14ac:dyDescent="0.25">
      <c r="A5" s="202" t="str">
        <f>Zones!B5</f>
        <v>Corridor_FloorT</v>
      </c>
      <c r="B5" s="203">
        <f>Zones!K5</f>
        <v>7.5608000000000004</v>
      </c>
      <c r="C5" s="204">
        <f>Zones!H5</f>
        <v>1512.16</v>
      </c>
      <c r="D5" s="469">
        <v>15</v>
      </c>
      <c r="E5" s="469">
        <v>0.15</v>
      </c>
      <c r="F5" s="205"/>
      <c r="G5" s="209">
        <f t="shared" si="0"/>
        <v>113.41200000000001</v>
      </c>
      <c r="H5" s="209">
        <f t="shared" si="1"/>
        <v>226.82400000000001</v>
      </c>
      <c r="I5" s="253"/>
      <c r="J5" s="197">
        <f t="shared" si="2"/>
        <v>226.82400000000001</v>
      </c>
      <c r="K5" s="206"/>
      <c r="L5" s="148"/>
      <c r="M5" s="5"/>
      <c r="N5" s="5"/>
      <c r="O5" s="5"/>
      <c r="P5" s="5"/>
      <c r="Q5" s="5"/>
      <c r="R5" s="5"/>
      <c r="S5" s="5"/>
      <c r="T5" s="5"/>
      <c r="U5" s="5"/>
      <c r="V5" s="5"/>
      <c r="W5" s="5"/>
      <c r="X5" s="5"/>
      <c r="Y5" s="5"/>
      <c r="Z5" s="5"/>
      <c r="AA5" s="5"/>
      <c r="AB5" s="5"/>
      <c r="AC5" s="5"/>
      <c r="AD5" s="5"/>
    </row>
    <row r="6" spans="1:30" s="105" customFormat="1" ht="14.4" customHeight="1" x14ac:dyDescent="0.25">
      <c r="A6" s="202" t="str">
        <f>Zones!B6</f>
        <v>Lounge_FloorG</v>
      </c>
      <c r="B6" s="203">
        <f>Zones!K6</f>
        <v>11.583989999999998</v>
      </c>
      <c r="C6" s="204">
        <f>Zones!H6</f>
        <v>351.03</v>
      </c>
      <c r="D6" s="469">
        <v>15</v>
      </c>
      <c r="E6" s="469">
        <v>0.15</v>
      </c>
      <c r="F6" s="205"/>
      <c r="G6" s="209">
        <f t="shared" ref="G6" si="3">B6*D6</f>
        <v>173.75984999999997</v>
      </c>
      <c r="H6" s="209">
        <f t="shared" ref="H6" si="4">C6*E6</f>
        <v>52.654499999999992</v>
      </c>
      <c r="I6" s="253"/>
      <c r="J6" s="197">
        <f t="shared" ref="J6" si="5">MAX(G6:I6)</f>
        <v>173.75984999999997</v>
      </c>
      <c r="K6" s="206"/>
      <c r="L6" s="148"/>
      <c r="M6" s="5"/>
      <c r="N6" s="5"/>
      <c r="O6" s="5"/>
      <c r="P6" s="5"/>
      <c r="Q6" s="5"/>
      <c r="R6" s="5"/>
      <c r="S6" s="5"/>
      <c r="T6" s="5"/>
      <c r="U6" s="5"/>
      <c r="V6" s="5"/>
      <c r="W6" s="5"/>
      <c r="X6" s="5"/>
      <c r="Y6" s="5"/>
      <c r="Z6" s="5"/>
      <c r="AA6" s="5"/>
      <c r="AB6" s="5"/>
      <c r="AC6" s="5"/>
      <c r="AD6" s="5"/>
    </row>
    <row r="7" spans="1:30" s="105" customFormat="1" ht="14.4" customHeight="1" x14ac:dyDescent="0.25">
      <c r="A7" s="202" t="str">
        <f>Zones!B7</f>
        <v>Gym_FloorG</v>
      </c>
      <c r="B7" s="203">
        <f>Zones!K7</f>
        <v>3.5102999999999995</v>
      </c>
      <c r="C7" s="204">
        <f>Zones!H7</f>
        <v>351.03</v>
      </c>
      <c r="D7" s="469">
        <v>15</v>
      </c>
      <c r="E7" s="469">
        <v>0.15</v>
      </c>
      <c r="F7" s="205"/>
      <c r="G7" s="209">
        <f t="shared" si="0"/>
        <v>52.654499999999992</v>
      </c>
      <c r="H7" s="209">
        <f t="shared" si="1"/>
        <v>52.654499999999992</v>
      </c>
      <c r="I7" s="253"/>
      <c r="J7" s="197">
        <f t="shared" si="2"/>
        <v>52.654499999999992</v>
      </c>
      <c r="K7" s="206"/>
      <c r="L7" s="148"/>
      <c r="M7" s="5"/>
      <c r="N7" s="5"/>
      <c r="O7" s="5"/>
      <c r="P7" s="5"/>
      <c r="Q7" s="5"/>
      <c r="R7" s="5"/>
      <c r="S7" s="5"/>
      <c r="T7" s="5"/>
      <c r="U7" s="5"/>
      <c r="V7" s="5"/>
      <c r="W7" s="5"/>
      <c r="X7" s="5"/>
      <c r="Y7" s="5"/>
      <c r="Z7" s="5"/>
      <c r="AA7" s="5"/>
      <c r="AB7" s="5"/>
      <c r="AC7" s="5"/>
      <c r="AD7" s="5"/>
    </row>
    <row r="8" spans="1:30" s="105" customFormat="1" ht="14.4" customHeight="1" x14ac:dyDescent="0.25">
      <c r="A8" s="202" t="str">
        <f>Zones!B8</f>
        <v>Front_Lounge_FloorG</v>
      </c>
      <c r="B8" s="203">
        <f>Zones!K8</f>
        <v>26.329499999999999</v>
      </c>
      <c r="C8" s="204">
        <f>Zones!H8</f>
        <v>1755.3</v>
      </c>
      <c r="D8" s="469">
        <v>15</v>
      </c>
      <c r="E8" s="469">
        <v>0.15</v>
      </c>
      <c r="F8" s="205"/>
      <c r="G8" s="209">
        <f t="shared" si="0"/>
        <v>394.9425</v>
      </c>
      <c r="H8" s="209">
        <f t="shared" si="1"/>
        <v>263.29499999999996</v>
      </c>
      <c r="I8" s="253"/>
      <c r="J8" s="197">
        <f t="shared" si="2"/>
        <v>394.9425</v>
      </c>
      <c r="K8" s="206"/>
      <c r="L8" s="148"/>
      <c r="M8" s="5"/>
      <c r="N8" s="5"/>
      <c r="O8" s="5"/>
      <c r="P8" s="5"/>
      <c r="Q8" s="5"/>
      <c r="R8" s="5"/>
      <c r="S8" s="5"/>
      <c r="T8" s="5"/>
      <c r="U8" s="5"/>
      <c r="V8" s="5"/>
      <c r="W8" s="5"/>
      <c r="X8" s="5"/>
      <c r="Y8" s="5"/>
      <c r="Z8" s="5"/>
      <c r="AA8" s="5"/>
      <c r="AB8" s="5"/>
      <c r="AC8" s="5"/>
      <c r="AD8" s="5"/>
    </row>
    <row r="9" spans="1:30" s="105" customFormat="1" ht="14.4" customHeight="1" x14ac:dyDescent="0.25">
      <c r="A9" s="202" t="str">
        <f>Zones!B9</f>
        <v>Front_Office_FloorG</v>
      </c>
      <c r="B9" s="203">
        <f>Zones!K9</f>
        <v>7.0208499999999994</v>
      </c>
      <c r="C9" s="204">
        <f>Zones!H9</f>
        <v>1404.1699999999998</v>
      </c>
      <c r="D9" s="469">
        <v>15</v>
      </c>
      <c r="E9" s="469">
        <v>0.15</v>
      </c>
      <c r="F9" s="205"/>
      <c r="G9" s="209">
        <f t="shared" si="0"/>
        <v>105.31274999999999</v>
      </c>
      <c r="H9" s="209">
        <f t="shared" si="1"/>
        <v>210.62549999999996</v>
      </c>
      <c r="I9" s="253"/>
      <c r="J9" s="197">
        <f t="shared" si="2"/>
        <v>210.62549999999996</v>
      </c>
      <c r="K9" s="206"/>
      <c r="L9" s="148"/>
      <c r="M9" s="5"/>
      <c r="N9" s="5"/>
      <c r="O9" s="5"/>
      <c r="P9" s="5"/>
      <c r="Q9" s="5"/>
      <c r="R9" s="5"/>
      <c r="S9" s="5"/>
      <c r="T9" s="5"/>
      <c r="U9" s="5"/>
      <c r="V9" s="5"/>
      <c r="W9" s="5"/>
      <c r="X9" s="5"/>
      <c r="Y9" s="5"/>
      <c r="Z9" s="5"/>
      <c r="AA9" s="5"/>
      <c r="AB9" s="5"/>
      <c r="AC9" s="5"/>
      <c r="AD9" s="5"/>
    </row>
    <row r="10" spans="1:30" s="105" customFormat="1" ht="14.4" customHeight="1" x14ac:dyDescent="0.25">
      <c r="A10" s="202" t="str">
        <f>Zones!B10</f>
        <v>Front_Stair_FloorG</v>
      </c>
      <c r="B10" s="203">
        <f>Zones!K10</f>
        <v>0</v>
      </c>
      <c r="C10" s="204">
        <f>Zones!H10</f>
        <v>216.02</v>
      </c>
      <c r="D10" s="469">
        <v>15</v>
      </c>
      <c r="E10" s="469">
        <v>0.15</v>
      </c>
      <c r="F10" s="205"/>
      <c r="G10" s="209">
        <f t="shared" si="0"/>
        <v>0</v>
      </c>
      <c r="H10" s="209">
        <f t="shared" si="1"/>
        <v>32.402999999999999</v>
      </c>
      <c r="I10" s="253"/>
      <c r="J10" s="197">
        <f t="shared" si="2"/>
        <v>32.402999999999999</v>
      </c>
      <c r="K10" s="206"/>
      <c r="L10" s="148"/>
      <c r="M10" s="5"/>
      <c r="N10" s="5"/>
      <c r="O10" s="5"/>
      <c r="P10" s="5"/>
      <c r="Q10" s="5"/>
      <c r="R10" s="5"/>
      <c r="S10" s="5"/>
      <c r="T10" s="5"/>
      <c r="U10" s="5"/>
      <c r="V10" s="5"/>
      <c r="W10" s="5"/>
      <c r="X10" s="5"/>
      <c r="Y10" s="5"/>
      <c r="Z10" s="5"/>
      <c r="AA10" s="5"/>
      <c r="AB10" s="5"/>
      <c r="AC10" s="5"/>
      <c r="AD10" s="5"/>
    </row>
    <row r="11" spans="1:30" s="105" customFormat="1" ht="14.4" customHeight="1" x14ac:dyDescent="0.25">
      <c r="A11" s="202" t="str">
        <f>Zones!B11</f>
        <v>Front_Stair_FloorM</v>
      </c>
      <c r="B11" s="203">
        <f>Zones!K11</f>
        <v>0</v>
      </c>
      <c r="C11" s="204">
        <f>Zones!H11</f>
        <v>216.02</v>
      </c>
      <c r="D11" s="469">
        <v>15</v>
      </c>
      <c r="E11" s="469">
        <v>0.15</v>
      </c>
      <c r="F11" s="205"/>
      <c r="G11" s="209">
        <f t="shared" si="0"/>
        <v>0</v>
      </c>
      <c r="H11" s="209">
        <f t="shared" si="1"/>
        <v>32.402999999999999</v>
      </c>
      <c r="I11" s="253"/>
      <c r="J11" s="197">
        <f t="shared" si="2"/>
        <v>32.402999999999999</v>
      </c>
      <c r="K11" s="206"/>
      <c r="L11" s="148"/>
      <c r="M11" s="5"/>
      <c r="N11" s="5"/>
      <c r="O11" s="5"/>
      <c r="P11" s="5"/>
      <c r="Q11" s="5"/>
      <c r="R11" s="5"/>
      <c r="S11" s="5"/>
      <c r="T11" s="5"/>
      <c r="U11" s="5"/>
      <c r="V11" s="5"/>
      <c r="W11" s="5"/>
      <c r="X11" s="5"/>
      <c r="Y11" s="5"/>
      <c r="Z11" s="5"/>
      <c r="AA11" s="5"/>
      <c r="AB11" s="5"/>
      <c r="AC11" s="5"/>
      <c r="AD11" s="5"/>
    </row>
    <row r="12" spans="1:30" s="105" customFormat="1" ht="14.4" customHeight="1" x14ac:dyDescent="0.25">
      <c r="A12" s="202" t="str">
        <f>Zones!B12</f>
        <v>Front_Stair_FloorT</v>
      </c>
      <c r="B12" s="203">
        <f>Zones!K12</f>
        <v>0</v>
      </c>
      <c r="C12" s="204">
        <f>Zones!H12</f>
        <v>216.02</v>
      </c>
      <c r="D12" s="469">
        <v>15</v>
      </c>
      <c r="E12" s="469">
        <v>0.15</v>
      </c>
      <c r="F12" s="205"/>
      <c r="G12" s="209">
        <f t="shared" si="0"/>
        <v>0</v>
      </c>
      <c r="H12" s="209">
        <f t="shared" si="1"/>
        <v>32.402999999999999</v>
      </c>
      <c r="I12" s="253"/>
      <c r="J12" s="197">
        <f t="shared" si="2"/>
        <v>32.402999999999999</v>
      </c>
      <c r="K12" s="206"/>
      <c r="L12" s="148"/>
      <c r="M12" s="5"/>
      <c r="N12" s="5"/>
      <c r="O12" s="5"/>
      <c r="P12" s="5"/>
      <c r="Q12" s="5"/>
      <c r="R12" s="5"/>
      <c r="S12" s="5"/>
      <c r="T12" s="5"/>
      <c r="U12" s="5"/>
      <c r="V12" s="5"/>
      <c r="W12" s="5"/>
      <c r="X12" s="5"/>
      <c r="Y12" s="5"/>
      <c r="Z12" s="5"/>
      <c r="AA12" s="5"/>
      <c r="AB12" s="5"/>
      <c r="AC12" s="5"/>
      <c r="AD12" s="5"/>
    </row>
    <row r="13" spans="1:30" s="105" customFormat="1" ht="14.4" customHeight="1" x14ac:dyDescent="0.25">
      <c r="A13" s="202" t="str">
        <f>Zones!B13</f>
        <v>Front_Storage_FloorG</v>
      </c>
      <c r="B13" s="203">
        <f>Zones!K13</f>
        <v>0.27001999999999998</v>
      </c>
      <c r="C13" s="204">
        <f>Zones!H13</f>
        <v>135.01</v>
      </c>
      <c r="D13" s="469">
        <v>15</v>
      </c>
      <c r="E13" s="469">
        <v>0.15</v>
      </c>
      <c r="F13" s="205"/>
      <c r="G13" s="209">
        <f t="shared" si="0"/>
        <v>4.0503</v>
      </c>
      <c r="H13" s="209">
        <f t="shared" si="1"/>
        <v>20.251499999999997</v>
      </c>
      <c r="I13" s="253"/>
      <c r="J13" s="197">
        <f t="shared" si="2"/>
        <v>20.251499999999997</v>
      </c>
      <c r="K13" s="206"/>
      <c r="L13" s="148"/>
      <c r="M13" s="5"/>
      <c r="N13" s="5"/>
      <c r="O13" s="5"/>
      <c r="P13" s="5"/>
      <c r="Q13" s="5"/>
      <c r="R13" s="5"/>
      <c r="S13" s="5"/>
      <c r="T13" s="5"/>
      <c r="U13" s="5"/>
      <c r="V13" s="5"/>
      <c r="W13" s="5"/>
      <c r="X13" s="5"/>
      <c r="Y13" s="5"/>
      <c r="Z13" s="5"/>
      <c r="AA13" s="5"/>
      <c r="AB13" s="5"/>
      <c r="AC13" s="5"/>
      <c r="AD13" s="5"/>
    </row>
    <row r="14" spans="1:30" s="105" customFormat="1" ht="14.4" customHeight="1" x14ac:dyDescent="0.25">
      <c r="A14" s="202" t="str">
        <f>Zones!B14</f>
        <v>Front_Storage_FloorM</v>
      </c>
      <c r="B14" s="203">
        <f>Zones!K14</f>
        <v>0.27001999999999998</v>
      </c>
      <c r="C14" s="204">
        <f>Zones!H14</f>
        <v>135.01</v>
      </c>
      <c r="D14" s="469">
        <v>15</v>
      </c>
      <c r="E14" s="469">
        <v>0.15</v>
      </c>
      <c r="F14" s="189"/>
      <c r="G14" s="209">
        <f t="shared" si="0"/>
        <v>4.0503</v>
      </c>
      <c r="H14" s="209">
        <f t="shared" si="1"/>
        <v>20.251499999999997</v>
      </c>
      <c r="I14" s="253"/>
      <c r="J14" s="197">
        <f t="shared" si="2"/>
        <v>20.251499999999997</v>
      </c>
      <c r="K14" s="189"/>
      <c r="L14" s="5"/>
      <c r="M14" s="5"/>
      <c r="N14" s="5"/>
      <c r="O14" s="5"/>
      <c r="P14" s="5"/>
      <c r="Q14" s="5"/>
      <c r="R14" s="5"/>
      <c r="S14" s="5"/>
      <c r="T14" s="5"/>
      <c r="U14" s="5"/>
      <c r="V14" s="5"/>
      <c r="W14" s="5"/>
      <c r="X14" s="5"/>
      <c r="Y14" s="5"/>
      <c r="Z14" s="5"/>
      <c r="AA14" s="5"/>
      <c r="AB14" s="5"/>
      <c r="AC14" s="5"/>
      <c r="AD14" s="5"/>
    </row>
    <row r="15" spans="1:30" s="105" customFormat="1" ht="14.4" customHeight="1" x14ac:dyDescent="0.25">
      <c r="A15" s="202" t="str">
        <f>Zones!B15</f>
        <v>Front_Storage_FloorT</v>
      </c>
      <c r="B15" s="203">
        <f>Zones!K15</f>
        <v>0.27001999999999998</v>
      </c>
      <c r="C15" s="204">
        <f>Zones!H15</f>
        <v>135.01</v>
      </c>
      <c r="D15" s="469">
        <v>15</v>
      </c>
      <c r="E15" s="469">
        <v>0.15</v>
      </c>
      <c r="F15" s="189"/>
      <c r="G15" s="209">
        <f t="shared" si="0"/>
        <v>4.0503</v>
      </c>
      <c r="H15" s="209">
        <f t="shared" si="1"/>
        <v>20.251499999999997</v>
      </c>
      <c r="I15" s="253"/>
      <c r="J15" s="197">
        <f t="shared" si="2"/>
        <v>20.251499999999997</v>
      </c>
      <c r="K15" s="189"/>
      <c r="L15" s="5"/>
      <c r="M15" s="5"/>
      <c r="N15" s="5"/>
      <c r="O15" s="5"/>
      <c r="P15" s="5"/>
      <c r="Q15" s="5"/>
      <c r="R15" s="5"/>
      <c r="S15" s="5"/>
      <c r="T15" s="5"/>
      <c r="U15" s="5"/>
      <c r="V15" s="5"/>
      <c r="W15" s="5"/>
      <c r="X15" s="5"/>
      <c r="Y15" s="5"/>
      <c r="Z15" s="5"/>
      <c r="AA15" s="5"/>
      <c r="AB15" s="5"/>
      <c r="AC15" s="5"/>
      <c r="AD15" s="5"/>
    </row>
    <row r="16" spans="1:30" s="105" customFormat="1" ht="14.4" customHeight="1" x14ac:dyDescent="0.25">
      <c r="A16" s="202" t="str">
        <f>Zones!B16</f>
        <v>GuestRoom_1_FloorG</v>
      </c>
      <c r="B16" s="203">
        <f>Zones!K16</f>
        <v>1.05318</v>
      </c>
      <c r="C16" s="204">
        <f>Zones!H16</f>
        <v>351.06</v>
      </c>
      <c r="D16" s="413">
        <f>5*10/3</f>
        <v>16.666666666666668</v>
      </c>
      <c r="E16" s="603">
        <v>0.06</v>
      </c>
      <c r="F16" s="607" t="s">
        <v>433</v>
      </c>
      <c r="G16" s="414">
        <f t="shared" si="0"/>
        <v>17.553000000000001</v>
      </c>
      <c r="H16" s="414">
        <f t="shared" si="1"/>
        <v>21.063600000000001</v>
      </c>
      <c r="I16" s="253">
        <f>50</f>
        <v>50</v>
      </c>
      <c r="J16" s="197">
        <f>MAX(G16+H16,I16)</f>
        <v>50</v>
      </c>
      <c r="K16" s="711" t="s">
        <v>983</v>
      </c>
      <c r="L16" s="5"/>
      <c r="M16" s="5"/>
      <c r="N16" s="5"/>
      <c r="O16" s="5"/>
      <c r="P16" s="5"/>
      <c r="Q16" s="5"/>
      <c r="R16" s="5"/>
      <c r="S16" s="5"/>
      <c r="T16" s="5"/>
      <c r="U16" s="5"/>
      <c r="V16" s="5"/>
      <c r="W16" s="5"/>
      <c r="X16" s="5"/>
      <c r="Y16" s="5"/>
      <c r="Z16" s="5"/>
      <c r="AA16" s="5"/>
      <c r="AB16" s="5"/>
      <c r="AC16" s="5"/>
      <c r="AD16" s="5"/>
    </row>
    <row r="17" spans="1:30" s="105" customFormat="1" ht="14.4" customHeight="1" x14ac:dyDescent="0.25">
      <c r="A17" s="202" t="str">
        <f>Zones!B17</f>
        <v>GuestRoom_2_FloorG</v>
      </c>
      <c r="B17" s="203">
        <f>Zones!K17</f>
        <v>1.05318</v>
      </c>
      <c r="C17" s="204">
        <f>Zones!H17</f>
        <v>351.06</v>
      </c>
      <c r="D17" s="413">
        <f t="shared" ref="D17:D40" si="6">5*10/3</f>
        <v>16.666666666666668</v>
      </c>
      <c r="E17" s="603">
        <v>0.06</v>
      </c>
      <c r="F17" s="607" t="s">
        <v>433</v>
      </c>
      <c r="G17" s="414">
        <f t="shared" ref="G17:G33" si="7">B17*D17</f>
        <v>17.553000000000001</v>
      </c>
      <c r="H17" s="414">
        <f>C17*E17</f>
        <v>21.063600000000001</v>
      </c>
      <c r="I17" s="253">
        <f>50</f>
        <v>50</v>
      </c>
      <c r="J17" s="197">
        <f t="shared" ref="J17:J40" si="8">MAX(G17+H17,I17)</f>
        <v>50</v>
      </c>
      <c r="K17" s="711"/>
      <c r="L17" s="198"/>
      <c r="M17" s="198"/>
      <c r="N17" s="709"/>
      <c r="O17" s="709"/>
      <c r="P17" s="709"/>
      <c r="Q17" s="709"/>
      <c r="R17" s="709"/>
      <c r="S17" s="709"/>
      <c r="T17" s="5"/>
      <c r="U17" s="5"/>
      <c r="V17" s="5"/>
      <c r="W17" s="5"/>
      <c r="X17" s="5"/>
      <c r="Y17" s="5"/>
      <c r="Z17" s="5"/>
      <c r="AA17" s="5"/>
      <c r="AB17" s="5"/>
      <c r="AC17" s="5"/>
      <c r="AD17" s="5"/>
    </row>
    <row r="18" spans="1:30" s="105" customFormat="1" ht="14.4" customHeight="1" x14ac:dyDescent="0.25">
      <c r="A18" s="202" t="str">
        <f>Zones!B18</f>
        <v>GuestRoom_3_FloorG</v>
      </c>
      <c r="B18" s="203">
        <f>Zones!K18</f>
        <v>1.05318</v>
      </c>
      <c r="C18" s="204">
        <f>Zones!H18</f>
        <v>351.06</v>
      </c>
      <c r="D18" s="413">
        <f t="shared" si="6"/>
        <v>16.666666666666668</v>
      </c>
      <c r="E18" s="603">
        <v>0.06</v>
      </c>
      <c r="F18" s="607" t="s">
        <v>433</v>
      </c>
      <c r="G18" s="414">
        <f t="shared" si="7"/>
        <v>17.553000000000001</v>
      </c>
      <c r="H18" s="414">
        <f t="shared" ref="H18:H33" si="9">C18*E18</f>
        <v>21.063600000000001</v>
      </c>
      <c r="I18" s="253">
        <f>50</f>
        <v>50</v>
      </c>
      <c r="J18" s="197">
        <f t="shared" si="8"/>
        <v>50</v>
      </c>
      <c r="K18" s="711"/>
      <c r="L18" s="72"/>
      <c r="M18" s="72"/>
      <c r="N18" s="71"/>
      <c r="O18" s="71"/>
      <c r="P18" s="71"/>
      <c r="Q18" s="630"/>
      <c r="R18" s="72"/>
      <c r="S18" s="72"/>
      <c r="T18" s="5"/>
      <c r="U18" s="5"/>
      <c r="V18" s="5"/>
      <c r="W18" s="5"/>
      <c r="X18" s="5"/>
      <c r="Y18" s="5"/>
      <c r="Z18" s="5"/>
      <c r="AA18" s="5"/>
      <c r="AB18" s="5"/>
      <c r="AC18" s="5"/>
      <c r="AD18" s="5"/>
    </row>
    <row r="19" spans="1:30" s="105" customFormat="1" ht="14.4" customHeight="1" x14ac:dyDescent="0.25">
      <c r="A19" s="202" t="str">
        <f>Zones!B19</f>
        <v>GuestRoom_4_FloorG</v>
      </c>
      <c r="B19" s="203">
        <f>Zones!K19</f>
        <v>1.0530899999999999</v>
      </c>
      <c r="C19" s="204">
        <f>Zones!H19</f>
        <v>351.03</v>
      </c>
      <c r="D19" s="413">
        <f t="shared" si="6"/>
        <v>16.666666666666668</v>
      </c>
      <c r="E19" s="603">
        <v>0.06</v>
      </c>
      <c r="F19" s="607" t="s">
        <v>433</v>
      </c>
      <c r="G19" s="414">
        <f>B19*D19</f>
        <v>17.551499999999997</v>
      </c>
      <c r="H19" s="414">
        <f>C19*E19</f>
        <v>21.061799999999998</v>
      </c>
      <c r="I19" s="253">
        <f>50</f>
        <v>50</v>
      </c>
      <c r="J19" s="197">
        <f t="shared" si="8"/>
        <v>50</v>
      </c>
      <c r="K19" s="711"/>
      <c r="L19" s="148"/>
      <c r="M19" s="148"/>
      <c r="N19" s="148"/>
      <c r="O19" s="148"/>
      <c r="P19" s="148"/>
      <c r="Q19" s="148"/>
      <c r="R19" s="148"/>
      <c r="S19" s="148"/>
      <c r="T19" s="5"/>
      <c r="U19" s="5"/>
      <c r="V19" s="5"/>
      <c r="W19" s="5"/>
      <c r="X19" s="5"/>
      <c r="Y19" s="5"/>
      <c r="Z19" s="5"/>
      <c r="AA19" s="5"/>
      <c r="AB19" s="5"/>
      <c r="AC19" s="5"/>
      <c r="AD19" s="5"/>
    </row>
    <row r="20" spans="1:30" s="105" customFormat="1" ht="14.4" customHeight="1" x14ac:dyDescent="0.25">
      <c r="A20" s="202" t="str">
        <f>Zones!B20</f>
        <v>GuestRoom_5_FloorG</v>
      </c>
      <c r="B20" s="203">
        <f>Zones!K20</f>
        <v>1.0530899999999999</v>
      </c>
      <c r="C20" s="204">
        <f>Zones!H20</f>
        <v>351.03</v>
      </c>
      <c r="D20" s="413">
        <f t="shared" si="6"/>
        <v>16.666666666666668</v>
      </c>
      <c r="E20" s="603">
        <v>0.06</v>
      </c>
      <c r="F20" s="607" t="s">
        <v>433</v>
      </c>
      <c r="G20" s="414">
        <f t="shared" si="7"/>
        <v>17.551499999999997</v>
      </c>
      <c r="H20" s="414">
        <f t="shared" si="9"/>
        <v>21.061799999999998</v>
      </c>
      <c r="I20" s="253">
        <f>50</f>
        <v>50</v>
      </c>
      <c r="J20" s="197">
        <f t="shared" si="8"/>
        <v>50</v>
      </c>
      <c r="K20" s="711"/>
      <c r="L20" s="148"/>
      <c r="M20" s="148"/>
      <c r="N20" s="148"/>
      <c r="O20" s="148"/>
      <c r="P20" s="148"/>
      <c r="Q20" s="148"/>
      <c r="R20" s="148"/>
      <c r="S20" s="148"/>
      <c r="T20" s="5"/>
      <c r="U20" s="5"/>
      <c r="V20" s="5"/>
      <c r="W20" s="5"/>
      <c r="X20" s="5"/>
      <c r="Y20" s="5"/>
      <c r="Z20" s="5"/>
      <c r="AA20" s="5"/>
      <c r="AB20" s="5"/>
      <c r="AC20" s="5"/>
      <c r="AD20" s="5"/>
    </row>
    <row r="21" spans="1:30" s="105" customFormat="1" ht="14.4" customHeight="1" x14ac:dyDescent="0.25">
      <c r="A21" s="202" t="str">
        <f>Zones!B21</f>
        <v>GuestRoom_1_FloorM</v>
      </c>
      <c r="B21" s="203">
        <f>Zones!K21</f>
        <v>1.05318</v>
      </c>
      <c r="C21" s="204">
        <f>Zones!H21</f>
        <v>351.06</v>
      </c>
      <c r="D21" s="413">
        <f t="shared" si="6"/>
        <v>16.666666666666668</v>
      </c>
      <c r="E21" s="603">
        <v>0.06</v>
      </c>
      <c r="F21" s="607" t="s">
        <v>433</v>
      </c>
      <c r="G21" s="414">
        <f t="shared" si="7"/>
        <v>17.553000000000001</v>
      </c>
      <c r="H21" s="414">
        <f t="shared" si="9"/>
        <v>21.063600000000001</v>
      </c>
      <c r="I21" s="253">
        <f>50</f>
        <v>50</v>
      </c>
      <c r="J21" s="197">
        <f t="shared" si="8"/>
        <v>50</v>
      </c>
      <c r="K21" s="711"/>
      <c r="L21" s="148"/>
      <c r="M21" s="148"/>
      <c r="N21" s="148"/>
      <c r="O21" s="148"/>
      <c r="P21" s="148"/>
      <c r="Q21" s="148"/>
      <c r="R21" s="148"/>
      <c r="S21" s="148"/>
      <c r="T21" s="5"/>
      <c r="U21" s="5"/>
      <c r="V21" s="5"/>
      <c r="W21" s="5"/>
      <c r="X21" s="5"/>
      <c r="Y21" s="5"/>
      <c r="Z21" s="5"/>
      <c r="AA21" s="5"/>
      <c r="AB21" s="5"/>
      <c r="AC21" s="5"/>
      <c r="AD21" s="5"/>
    </row>
    <row r="22" spans="1:30" s="105" customFormat="1" ht="14.4" customHeight="1" x14ac:dyDescent="0.25">
      <c r="A22" s="202" t="str">
        <f>Zones!B22</f>
        <v>GuestRoom_2_5_FloorM</v>
      </c>
      <c r="B22" s="203">
        <f>Zones!K22</f>
        <v>4.21272</v>
      </c>
      <c r="C22" s="204">
        <f>Zones!H22</f>
        <v>1404.24</v>
      </c>
      <c r="D22" s="413">
        <f t="shared" si="6"/>
        <v>16.666666666666668</v>
      </c>
      <c r="E22" s="603">
        <v>0.06</v>
      </c>
      <c r="F22" s="607" t="s">
        <v>433</v>
      </c>
      <c r="G22" s="414">
        <f t="shared" si="7"/>
        <v>70.212000000000003</v>
      </c>
      <c r="H22" s="414">
        <f>C22*E22</f>
        <v>84.254400000000004</v>
      </c>
      <c r="I22" s="253">
        <f>50*B22</f>
        <v>210.636</v>
      </c>
      <c r="J22" s="197">
        <f t="shared" si="8"/>
        <v>210.636</v>
      </c>
      <c r="K22" s="711"/>
      <c r="L22" s="148"/>
      <c r="M22" s="148"/>
      <c r="N22" s="148"/>
      <c r="O22" s="148"/>
      <c r="P22" s="148"/>
      <c r="Q22" s="148"/>
      <c r="R22" s="148"/>
      <c r="S22" s="148"/>
      <c r="T22" s="5"/>
      <c r="U22" s="5"/>
      <c r="V22" s="5"/>
      <c r="W22" s="5"/>
      <c r="X22" s="5"/>
      <c r="Y22" s="5"/>
      <c r="Z22" s="5"/>
      <c r="AA22" s="5"/>
      <c r="AB22" s="5"/>
      <c r="AC22" s="5"/>
      <c r="AD22" s="5"/>
    </row>
    <row r="23" spans="1:30" s="105" customFormat="1" ht="14.4" customHeight="1" x14ac:dyDescent="0.25">
      <c r="A23" s="202" t="str">
        <f>Zones!B23</f>
        <v>GuestRoom_6_8_FloorM</v>
      </c>
      <c r="B23" s="203">
        <f>Zones!K23</f>
        <v>3.4026000000000005</v>
      </c>
      <c r="C23" s="204">
        <f>Zones!H23</f>
        <v>1134.2</v>
      </c>
      <c r="D23" s="413">
        <f t="shared" si="6"/>
        <v>16.666666666666668</v>
      </c>
      <c r="E23" s="603">
        <v>0.06</v>
      </c>
      <c r="F23" s="607" t="s">
        <v>433</v>
      </c>
      <c r="G23" s="414">
        <f t="shared" si="7"/>
        <v>56.710000000000015</v>
      </c>
      <c r="H23" s="414">
        <f t="shared" si="9"/>
        <v>68.052000000000007</v>
      </c>
      <c r="I23" s="253">
        <f t="shared" ref="I23:I40" si="10">50*B23</f>
        <v>170.13000000000002</v>
      </c>
      <c r="J23" s="197">
        <f t="shared" si="8"/>
        <v>170.13000000000002</v>
      </c>
      <c r="K23" s="711"/>
      <c r="L23" s="148"/>
      <c r="M23" s="148"/>
      <c r="N23" s="148"/>
      <c r="O23" s="148"/>
      <c r="P23" s="148"/>
      <c r="Q23" s="148"/>
      <c r="R23" s="148"/>
      <c r="S23" s="148"/>
      <c r="T23" s="5"/>
      <c r="U23" s="5"/>
      <c r="V23" s="5"/>
      <c r="W23" s="5"/>
      <c r="X23" s="5"/>
      <c r="Y23" s="5"/>
      <c r="Z23" s="5"/>
      <c r="AA23" s="5"/>
      <c r="AB23" s="5"/>
      <c r="AC23" s="5"/>
      <c r="AD23" s="5"/>
    </row>
    <row r="24" spans="1:30" s="105" customFormat="1" ht="14.4" customHeight="1" x14ac:dyDescent="0.25">
      <c r="A24" s="202" t="str">
        <f>Zones!B24</f>
        <v>GuestRoom_9_12_FloorM</v>
      </c>
      <c r="B24" s="203">
        <f>Zones!K24</f>
        <v>4.21272</v>
      </c>
      <c r="C24" s="204">
        <f>Zones!H24</f>
        <v>1404.24</v>
      </c>
      <c r="D24" s="413">
        <f t="shared" si="6"/>
        <v>16.666666666666668</v>
      </c>
      <c r="E24" s="603">
        <v>0.06</v>
      </c>
      <c r="F24" s="607" t="s">
        <v>433</v>
      </c>
      <c r="G24" s="414">
        <f t="shared" si="7"/>
        <v>70.212000000000003</v>
      </c>
      <c r="H24" s="414">
        <f>C24*E24</f>
        <v>84.254400000000004</v>
      </c>
      <c r="I24" s="253">
        <f>50*B24</f>
        <v>210.636</v>
      </c>
      <c r="J24" s="197">
        <f t="shared" si="8"/>
        <v>210.636</v>
      </c>
      <c r="K24" s="711"/>
      <c r="L24" s="148"/>
      <c r="M24" s="148"/>
      <c r="N24" s="148"/>
      <c r="O24" s="148"/>
      <c r="P24" s="148"/>
      <c r="Q24" s="148"/>
      <c r="R24" s="148"/>
      <c r="S24" s="148"/>
      <c r="T24" s="5"/>
      <c r="U24" s="5"/>
      <c r="V24" s="5"/>
      <c r="W24" s="5"/>
      <c r="X24" s="5"/>
      <c r="Y24" s="5"/>
      <c r="Z24" s="5"/>
      <c r="AA24" s="5"/>
      <c r="AB24" s="5"/>
      <c r="AC24" s="5"/>
      <c r="AD24" s="5"/>
    </row>
    <row r="25" spans="1:30" s="105" customFormat="1" ht="14.4" customHeight="1" x14ac:dyDescent="0.25">
      <c r="A25" s="202" t="str">
        <f>Zones!B25</f>
        <v>GuestRoom_13_FloorM</v>
      </c>
      <c r="B25" s="203">
        <f>Zones!K25</f>
        <v>1.05318</v>
      </c>
      <c r="C25" s="204">
        <f>Zones!H25</f>
        <v>351.06</v>
      </c>
      <c r="D25" s="413">
        <f t="shared" si="6"/>
        <v>16.666666666666668</v>
      </c>
      <c r="E25" s="603">
        <v>0.06</v>
      </c>
      <c r="F25" s="607" t="s">
        <v>433</v>
      </c>
      <c r="G25" s="414">
        <f t="shared" si="7"/>
        <v>17.553000000000001</v>
      </c>
      <c r="H25" s="414">
        <f t="shared" si="9"/>
        <v>21.063600000000001</v>
      </c>
      <c r="I25" s="253">
        <f>50*B25</f>
        <v>52.658999999999999</v>
      </c>
      <c r="J25" s="197">
        <f t="shared" si="8"/>
        <v>52.658999999999999</v>
      </c>
      <c r="K25" s="711"/>
      <c r="L25" s="148"/>
      <c r="M25" s="148"/>
      <c r="N25" s="148"/>
      <c r="O25" s="148"/>
      <c r="P25" s="148"/>
      <c r="Q25" s="148"/>
      <c r="R25" s="148"/>
      <c r="S25" s="148"/>
      <c r="T25" s="5"/>
      <c r="U25" s="5"/>
      <c r="V25" s="5"/>
      <c r="W25" s="5"/>
      <c r="X25" s="5"/>
      <c r="Y25" s="5"/>
      <c r="Z25" s="5"/>
      <c r="AA25" s="5"/>
      <c r="AB25" s="5"/>
      <c r="AC25" s="5"/>
      <c r="AD25" s="5"/>
    </row>
    <row r="26" spans="1:30" s="105" customFormat="1" ht="14.4" customHeight="1" x14ac:dyDescent="0.25">
      <c r="A26" s="202" t="str">
        <f>Zones!B26</f>
        <v>GuestRoom_14_FloorM</v>
      </c>
      <c r="B26" s="203">
        <f>Zones!K26</f>
        <v>1.0530899999999999</v>
      </c>
      <c r="C26" s="204">
        <f>Zones!H26</f>
        <v>351.03</v>
      </c>
      <c r="D26" s="413">
        <f t="shared" si="6"/>
        <v>16.666666666666668</v>
      </c>
      <c r="E26" s="603">
        <v>0.06</v>
      </c>
      <c r="F26" s="607" t="s">
        <v>433</v>
      </c>
      <c r="G26" s="414">
        <f t="shared" si="7"/>
        <v>17.551499999999997</v>
      </c>
      <c r="H26" s="414">
        <f t="shared" si="9"/>
        <v>21.061799999999998</v>
      </c>
      <c r="I26" s="253">
        <f t="shared" si="10"/>
        <v>52.654499999999992</v>
      </c>
      <c r="J26" s="197">
        <f t="shared" si="8"/>
        <v>52.654499999999992</v>
      </c>
      <c r="K26" s="711"/>
      <c r="L26" s="148"/>
      <c r="M26" s="148"/>
      <c r="N26" s="148"/>
      <c r="O26" s="148"/>
      <c r="P26" s="148"/>
      <c r="Q26" s="148"/>
      <c r="R26" s="148"/>
      <c r="S26" s="148"/>
      <c r="T26" s="5"/>
      <c r="U26" s="5"/>
      <c r="V26" s="5"/>
      <c r="W26" s="5"/>
      <c r="X26" s="5"/>
      <c r="Y26" s="5"/>
      <c r="Z26" s="5"/>
      <c r="AA26" s="5"/>
      <c r="AB26" s="5"/>
      <c r="AC26" s="5"/>
      <c r="AD26" s="5"/>
    </row>
    <row r="27" spans="1:30" s="105" customFormat="1" ht="14.4" customHeight="1" x14ac:dyDescent="0.25">
      <c r="A27" s="202" t="str">
        <f>Zones!B27</f>
        <v>GuestRoom_15_18_FloorM</v>
      </c>
      <c r="B27" s="203">
        <f>Zones!K27</f>
        <v>4.2124200000000007</v>
      </c>
      <c r="C27" s="204">
        <f>Zones!H27</f>
        <v>1404.14</v>
      </c>
      <c r="D27" s="413">
        <f t="shared" si="6"/>
        <v>16.666666666666668</v>
      </c>
      <c r="E27" s="603">
        <v>0.06</v>
      </c>
      <c r="F27" s="607" t="s">
        <v>433</v>
      </c>
      <c r="G27" s="414">
        <f t="shared" si="7"/>
        <v>70.207000000000022</v>
      </c>
      <c r="H27" s="414">
        <f t="shared" si="9"/>
        <v>84.248400000000004</v>
      </c>
      <c r="I27" s="253">
        <f t="shared" si="10"/>
        <v>210.62100000000004</v>
      </c>
      <c r="J27" s="197">
        <f t="shared" si="8"/>
        <v>210.62100000000004</v>
      </c>
      <c r="K27" s="711"/>
      <c r="L27" s="148"/>
      <c r="M27" s="148"/>
      <c r="N27" s="148"/>
      <c r="O27" s="148"/>
      <c r="P27" s="148"/>
      <c r="Q27" s="148"/>
      <c r="R27" s="148"/>
      <c r="S27" s="148"/>
      <c r="T27" s="5"/>
      <c r="U27" s="5"/>
      <c r="V27" s="5"/>
      <c r="W27" s="5"/>
      <c r="X27" s="5"/>
      <c r="Y27" s="5"/>
      <c r="Z27" s="5"/>
      <c r="AA27" s="5"/>
      <c r="AB27" s="5"/>
      <c r="AC27" s="5"/>
      <c r="AD27" s="5"/>
    </row>
    <row r="28" spans="1:30" s="105" customFormat="1" ht="14.4" customHeight="1" x14ac:dyDescent="0.25">
      <c r="A28" s="202" t="str">
        <f>Zones!B28</f>
        <v>GuestRoom_19_FloorM</v>
      </c>
      <c r="B28" s="203">
        <f>Zones!K28</f>
        <v>1.0531200000000001</v>
      </c>
      <c r="C28" s="204">
        <f>Zones!H28</f>
        <v>351.04</v>
      </c>
      <c r="D28" s="413">
        <f t="shared" si="6"/>
        <v>16.666666666666668</v>
      </c>
      <c r="E28" s="603">
        <v>0.06</v>
      </c>
      <c r="F28" s="607" t="s">
        <v>433</v>
      </c>
      <c r="G28" s="414">
        <f t="shared" si="7"/>
        <v>17.552000000000003</v>
      </c>
      <c r="H28" s="414">
        <f t="shared" si="9"/>
        <v>21.0624</v>
      </c>
      <c r="I28" s="253">
        <f t="shared" si="10"/>
        <v>52.656000000000006</v>
      </c>
      <c r="J28" s="197">
        <f t="shared" si="8"/>
        <v>52.656000000000006</v>
      </c>
      <c r="K28" s="711"/>
      <c r="L28" s="148"/>
      <c r="M28" s="148"/>
      <c r="N28" s="148"/>
      <c r="O28" s="148"/>
      <c r="P28" s="148"/>
      <c r="Q28" s="148"/>
      <c r="R28" s="148"/>
      <c r="S28" s="148"/>
      <c r="T28" s="5"/>
      <c r="U28" s="5"/>
      <c r="V28" s="5"/>
      <c r="W28" s="5"/>
      <c r="X28" s="5"/>
      <c r="Y28" s="5"/>
      <c r="Z28" s="5"/>
      <c r="AA28" s="5"/>
      <c r="AB28" s="5"/>
      <c r="AC28" s="5"/>
      <c r="AD28" s="5"/>
    </row>
    <row r="29" spans="1:30" s="105" customFormat="1" ht="14.4" customHeight="1" x14ac:dyDescent="0.25">
      <c r="A29" s="202" t="str">
        <f>Zones!B29</f>
        <v>GuestRoom_20_23_FloorM</v>
      </c>
      <c r="B29" s="203">
        <f>Zones!K29</f>
        <v>4.2124200000000007</v>
      </c>
      <c r="C29" s="204">
        <f>Zones!H29</f>
        <v>1404.14</v>
      </c>
      <c r="D29" s="413">
        <f t="shared" si="6"/>
        <v>16.666666666666668</v>
      </c>
      <c r="E29" s="603">
        <v>0.06</v>
      </c>
      <c r="F29" s="607" t="s">
        <v>433</v>
      </c>
      <c r="G29" s="414">
        <f t="shared" si="7"/>
        <v>70.207000000000022</v>
      </c>
      <c r="H29" s="414">
        <f>C29*E29</f>
        <v>84.248400000000004</v>
      </c>
      <c r="I29" s="253">
        <f t="shared" si="10"/>
        <v>210.62100000000004</v>
      </c>
      <c r="J29" s="197">
        <f t="shared" si="8"/>
        <v>210.62100000000004</v>
      </c>
      <c r="K29" s="711"/>
      <c r="L29" s="148"/>
      <c r="M29" s="148"/>
      <c r="N29" s="148"/>
      <c r="O29" s="148"/>
      <c r="P29" s="148"/>
      <c r="Q29" s="148"/>
      <c r="R29" s="148"/>
      <c r="S29" s="148"/>
      <c r="T29" s="5"/>
      <c r="U29" s="5"/>
      <c r="V29" s="5"/>
      <c r="W29" s="5"/>
      <c r="X29" s="5"/>
      <c r="Y29" s="5"/>
      <c r="Z29" s="5"/>
      <c r="AA29" s="5"/>
      <c r="AB29" s="5"/>
      <c r="AC29" s="5"/>
      <c r="AD29" s="5"/>
    </row>
    <row r="30" spans="1:30" s="105" customFormat="1" ht="14.4" customHeight="1" x14ac:dyDescent="0.25">
      <c r="A30" s="202" t="str">
        <f>Zones!B30</f>
        <v>GuestRoom_24_FloorM</v>
      </c>
      <c r="B30" s="203">
        <f>Zones!K30</f>
        <v>1.0530899999999999</v>
      </c>
      <c r="C30" s="204">
        <f>Zones!H30</f>
        <v>351.03</v>
      </c>
      <c r="D30" s="413">
        <f t="shared" si="6"/>
        <v>16.666666666666668</v>
      </c>
      <c r="E30" s="603">
        <v>0.06</v>
      </c>
      <c r="F30" s="607" t="s">
        <v>433</v>
      </c>
      <c r="G30" s="414">
        <f t="shared" si="7"/>
        <v>17.551499999999997</v>
      </c>
      <c r="H30" s="414">
        <f t="shared" si="9"/>
        <v>21.061799999999998</v>
      </c>
      <c r="I30" s="253">
        <f t="shared" si="10"/>
        <v>52.654499999999992</v>
      </c>
      <c r="J30" s="197">
        <f t="shared" si="8"/>
        <v>52.654499999999992</v>
      </c>
      <c r="K30" s="711"/>
      <c r="L30" s="148"/>
      <c r="M30" s="148"/>
      <c r="N30" s="148"/>
      <c r="O30" s="148"/>
      <c r="P30" s="148"/>
      <c r="Q30" s="148"/>
      <c r="R30" s="148"/>
      <c r="S30" s="148"/>
      <c r="T30" s="5"/>
      <c r="U30" s="5"/>
      <c r="V30" s="5"/>
      <c r="W30" s="5"/>
      <c r="X30" s="5"/>
      <c r="Y30" s="5"/>
      <c r="Z30" s="5"/>
      <c r="AA30" s="5"/>
      <c r="AB30" s="5"/>
      <c r="AC30" s="5"/>
      <c r="AD30" s="5"/>
    </row>
    <row r="31" spans="1:30" s="105" customFormat="1" ht="14.4" customHeight="1" x14ac:dyDescent="0.25">
      <c r="A31" s="202" t="str">
        <f>Zones!B31</f>
        <v>GuestRoom_1_FloorT</v>
      </c>
      <c r="B31" s="203">
        <f>Zones!K31</f>
        <v>1.05318</v>
      </c>
      <c r="C31" s="204">
        <f>Zones!H31</f>
        <v>351.06</v>
      </c>
      <c r="D31" s="413">
        <f t="shared" si="6"/>
        <v>16.666666666666668</v>
      </c>
      <c r="E31" s="603">
        <v>0.06</v>
      </c>
      <c r="F31" s="607" t="s">
        <v>433</v>
      </c>
      <c r="G31" s="414">
        <f t="shared" si="7"/>
        <v>17.553000000000001</v>
      </c>
      <c r="H31" s="414">
        <f t="shared" si="9"/>
        <v>21.063600000000001</v>
      </c>
      <c r="I31" s="253">
        <f t="shared" si="10"/>
        <v>52.658999999999999</v>
      </c>
      <c r="J31" s="197">
        <f t="shared" si="8"/>
        <v>52.658999999999999</v>
      </c>
      <c r="K31" s="711"/>
      <c r="L31" s="148"/>
      <c r="M31" s="148"/>
      <c r="N31" s="148"/>
      <c r="O31" s="148"/>
      <c r="P31" s="148"/>
      <c r="Q31" s="148"/>
      <c r="R31" s="148"/>
      <c r="S31" s="148"/>
      <c r="T31" s="5"/>
      <c r="U31" s="5"/>
      <c r="V31" s="5"/>
      <c r="W31" s="5"/>
      <c r="X31" s="5"/>
      <c r="Y31" s="5"/>
      <c r="Z31" s="5"/>
      <c r="AA31" s="5"/>
      <c r="AB31" s="5"/>
      <c r="AC31" s="5"/>
      <c r="AD31" s="5"/>
    </row>
    <row r="32" spans="1:30" s="105" customFormat="1" ht="14.4" customHeight="1" x14ac:dyDescent="0.25">
      <c r="A32" s="202" t="str">
        <f>Zones!B32</f>
        <v>GuestRoom_2_5_FloorT</v>
      </c>
      <c r="B32" s="203">
        <f>Zones!K32</f>
        <v>4.21272</v>
      </c>
      <c r="C32" s="204">
        <f>Zones!H32</f>
        <v>1404.24</v>
      </c>
      <c r="D32" s="413">
        <f t="shared" si="6"/>
        <v>16.666666666666668</v>
      </c>
      <c r="E32" s="603">
        <v>0.06</v>
      </c>
      <c r="F32" s="607" t="s">
        <v>433</v>
      </c>
      <c r="G32" s="414">
        <f t="shared" si="7"/>
        <v>70.212000000000003</v>
      </c>
      <c r="H32" s="414">
        <f t="shared" si="9"/>
        <v>84.254400000000004</v>
      </c>
      <c r="I32" s="253">
        <f t="shared" si="10"/>
        <v>210.636</v>
      </c>
      <c r="J32" s="197">
        <f t="shared" si="8"/>
        <v>210.636</v>
      </c>
      <c r="K32" s="711"/>
      <c r="L32" s="148"/>
      <c r="M32" s="148"/>
      <c r="N32" s="148"/>
      <c r="O32" s="148"/>
      <c r="P32" s="148"/>
      <c r="Q32" s="148"/>
      <c r="R32" s="148"/>
      <c r="S32" s="148"/>
      <c r="T32" s="5"/>
      <c r="U32" s="5"/>
      <c r="V32" s="5"/>
      <c r="W32" s="5"/>
      <c r="X32" s="5"/>
      <c r="Y32" s="5"/>
      <c r="Z32" s="5"/>
      <c r="AA32" s="5"/>
      <c r="AB32" s="5"/>
      <c r="AC32" s="5"/>
      <c r="AD32" s="5"/>
    </row>
    <row r="33" spans="1:30" s="105" customFormat="1" ht="14.4" customHeight="1" x14ac:dyDescent="0.25">
      <c r="A33" s="202" t="str">
        <f>Zones!B33</f>
        <v>GuestRoom_6_8_FloorT</v>
      </c>
      <c r="B33" s="203">
        <f>Zones!K33</f>
        <v>3.4026000000000005</v>
      </c>
      <c r="C33" s="204">
        <f>Zones!H33</f>
        <v>1134.2</v>
      </c>
      <c r="D33" s="413">
        <f t="shared" si="6"/>
        <v>16.666666666666668</v>
      </c>
      <c r="E33" s="603">
        <v>0.06</v>
      </c>
      <c r="F33" s="607" t="s">
        <v>433</v>
      </c>
      <c r="G33" s="414">
        <f t="shared" si="7"/>
        <v>56.710000000000015</v>
      </c>
      <c r="H33" s="414">
        <f t="shared" si="9"/>
        <v>68.052000000000007</v>
      </c>
      <c r="I33" s="253">
        <f t="shared" si="10"/>
        <v>170.13000000000002</v>
      </c>
      <c r="J33" s="197">
        <f t="shared" si="8"/>
        <v>170.13000000000002</v>
      </c>
      <c r="K33" s="711"/>
      <c r="L33" s="148"/>
      <c r="M33" s="148"/>
      <c r="N33" s="148"/>
      <c r="O33" s="148"/>
      <c r="P33" s="148"/>
      <c r="Q33" s="148"/>
      <c r="R33" s="148"/>
      <c r="S33" s="148"/>
      <c r="T33" s="5"/>
      <c r="U33" s="5"/>
      <c r="V33" s="5"/>
      <c r="W33" s="5"/>
      <c r="X33" s="5"/>
      <c r="Y33" s="5"/>
      <c r="Z33" s="5"/>
      <c r="AA33" s="5"/>
      <c r="AB33" s="5"/>
      <c r="AC33" s="5"/>
      <c r="AD33" s="5"/>
    </row>
    <row r="34" spans="1:30" s="105" customFormat="1" ht="14.4" customHeight="1" x14ac:dyDescent="0.25">
      <c r="A34" s="202" t="str">
        <f>Zones!B34</f>
        <v>GuestRoom_9_12_FloorT</v>
      </c>
      <c r="B34" s="203">
        <f>Zones!K34</f>
        <v>4.21272</v>
      </c>
      <c r="C34" s="204">
        <f>Zones!H34</f>
        <v>1404.24</v>
      </c>
      <c r="D34" s="413">
        <f t="shared" si="6"/>
        <v>16.666666666666668</v>
      </c>
      <c r="E34" s="603">
        <v>0.06</v>
      </c>
      <c r="F34" s="607" t="s">
        <v>433</v>
      </c>
      <c r="G34" s="414">
        <f t="shared" ref="G34:G50" si="11">B34*D34</f>
        <v>70.212000000000003</v>
      </c>
      <c r="H34" s="414">
        <f t="shared" ref="H34:H50" si="12">C34*E34</f>
        <v>84.254400000000004</v>
      </c>
      <c r="I34" s="253">
        <f t="shared" si="10"/>
        <v>210.636</v>
      </c>
      <c r="J34" s="197">
        <f t="shared" si="8"/>
        <v>210.636</v>
      </c>
      <c r="K34" s="711"/>
      <c r="L34" s="148"/>
      <c r="M34" s="148"/>
      <c r="N34" s="148"/>
      <c r="O34" s="148"/>
      <c r="P34" s="148"/>
      <c r="Q34" s="148"/>
      <c r="R34" s="148"/>
      <c r="S34" s="148"/>
      <c r="T34" s="5"/>
      <c r="U34" s="5"/>
      <c r="V34" s="5"/>
      <c r="W34" s="5"/>
      <c r="X34" s="5"/>
      <c r="Y34" s="5"/>
      <c r="Z34" s="5"/>
      <c r="AA34" s="5"/>
      <c r="AB34" s="5"/>
      <c r="AC34" s="5"/>
      <c r="AD34" s="5"/>
    </row>
    <row r="35" spans="1:30" s="105" customFormat="1" ht="14.4" customHeight="1" x14ac:dyDescent="0.25">
      <c r="A35" s="202" t="str">
        <f>Zones!B35</f>
        <v>GuestRoom_13_FloorT</v>
      </c>
      <c r="B35" s="203">
        <f>Zones!K35</f>
        <v>1.05318</v>
      </c>
      <c r="C35" s="204">
        <f>Zones!H35</f>
        <v>351.06</v>
      </c>
      <c r="D35" s="413">
        <f t="shared" si="6"/>
        <v>16.666666666666668</v>
      </c>
      <c r="E35" s="603">
        <v>0.06</v>
      </c>
      <c r="F35" s="607" t="s">
        <v>433</v>
      </c>
      <c r="G35" s="414">
        <f t="shared" si="11"/>
        <v>17.553000000000001</v>
      </c>
      <c r="H35" s="414">
        <f t="shared" si="12"/>
        <v>21.063600000000001</v>
      </c>
      <c r="I35" s="253">
        <f t="shared" si="10"/>
        <v>52.658999999999999</v>
      </c>
      <c r="J35" s="197">
        <f t="shared" si="8"/>
        <v>52.658999999999999</v>
      </c>
      <c r="K35" s="711"/>
      <c r="L35" s="148"/>
      <c r="M35" s="148"/>
      <c r="N35" s="148"/>
      <c r="O35" s="148"/>
      <c r="P35" s="148"/>
      <c r="Q35" s="148"/>
      <c r="R35" s="148"/>
      <c r="S35" s="148"/>
      <c r="T35" s="5"/>
      <c r="U35" s="5"/>
      <c r="V35" s="5"/>
      <c r="W35" s="5"/>
      <c r="X35" s="5"/>
      <c r="Y35" s="5"/>
      <c r="Z35" s="5"/>
      <c r="AA35" s="5"/>
      <c r="AB35" s="5"/>
      <c r="AC35" s="5"/>
      <c r="AD35" s="5"/>
    </row>
    <row r="36" spans="1:30" s="105" customFormat="1" ht="14.4" customHeight="1" x14ac:dyDescent="0.25">
      <c r="A36" s="202" t="str">
        <f>Zones!B36</f>
        <v>GuestRoom_14_FloorT</v>
      </c>
      <c r="B36" s="203">
        <f>Zones!K36</f>
        <v>1.0530899999999999</v>
      </c>
      <c r="C36" s="204">
        <f>Zones!H36</f>
        <v>351.03</v>
      </c>
      <c r="D36" s="413">
        <f t="shared" si="6"/>
        <v>16.666666666666668</v>
      </c>
      <c r="E36" s="603">
        <v>0.06</v>
      </c>
      <c r="F36" s="607" t="s">
        <v>433</v>
      </c>
      <c r="G36" s="414">
        <f t="shared" si="11"/>
        <v>17.551499999999997</v>
      </c>
      <c r="H36" s="414">
        <f t="shared" si="12"/>
        <v>21.061799999999998</v>
      </c>
      <c r="I36" s="253">
        <f t="shared" si="10"/>
        <v>52.654499999999992</v>
      </c>
      <c r="J36" s="197">
        <f t="shared" si="8"/>
        <v>52.654499999999992</v>
      </c>
      <c r="K36" s="711"/>
      <c r="L36" s="5"/>
      <c r="M36" s="5"/>
      <c r="N36" s="5"/>
      <c r="O36" s="5"/>
      <c r="P36" s="5"/>
      <c r="Q36" s="5"/>
      <c r="R36" s="5"/>
      <c r="S36" s="5"/>
      <c r="T36" s="5"/>
      <c r="U36" s="5"/>
      <c r="V36" s="5"/>
      <c r="W36" s="5"/>
      <c r="X36" s="5"/>
      <c r="Y36" s="5"/>
      <c r="Z36" s="5"/>
      <c r="AA36" s="5"/>
      <c r="AB36" s="5"/>
      <c r="AC36" s="5"/>
      <c r="AD36" s="5"/>
    </row>
    <row r="37" spans="1:30" s="105" customFormat="1" ht="14.4" customHeight="1" x14ac:dyDescent="0.25">
      <c r="A37" s="202" t="str">
        <f>Zones!B37</f>
        <v>GuestRoom_15_18_FloorT</v>
      </c>
      <c r="B37" s="203">
        <f>Zones!K37</f>
        <v>4.2124200000000007</v>
      </c>
      <c r="C37" s="204">
        <f>Zones!H37</f>
        <v>1404.14</v>
      </c>
      <c r="D37" s="413">
        <f t="shared" si="6"/>
        <v>16.666666666666668</v>
      </c>
      <c r="E37" s="603">
        <v>0.06</v>
      </c>
      <c r="F37" s="607" t="s">
        <v>433</v>
      </c>
      <c r="G37" s="414">
        <f t="shared" si="11"/>
        <v>70.207000000000022</v>
      </c>
      <c r="H37" s="414">
        <f t="shared" si="12"/>
        <v>84.248400000000004</v>
      </c>
      <c r="I37" s="253">
        <f>50*B37</f>
        <v>210.62100000000004</v>
      </c>
      <c r="J37" s="197">
        <f t="shared" si="8"/>
        <v>210.62100000000004</v>
      </c>
      <c r="K37" s="711"/>
      <c r="L37" s="5"/>
      <c r="M37" s="5"/>
      <c r="N37" s="5"/>
      <c r="O37" s="5"/>
      <c r="P37" s="5"/>
      <c r="Q37" s="5"/>
      <c r="R37" s="5"/>
      <c r="S37" s="5"/>
      <c r="T37" s="5"/>
      <c r="U37" s="5"/>
      <c r="V37" s="5"/>
      <c r="W37" s="5"/>
      <c r="X37" s="5"/>
      <c r="Y37" s="5"/>
      <c r="Z37" s="5"/>
      <c r="AA37" s="5"/>
      <c r="AB37" s="5"/>
      <c r="AC37" s="5"/>
      <c r="AD37" s="5"/>
    </row>
    <row r="38" spans="1:30" s="105" customFormat="1" ht="14.4" customHeight="1" x14ac:dyDescent="0.25">
      <c r="A38" s="202" t="str">
        <f>Zones!B38</f>
        <v>GuestRoom_19_FloorT</v>
      </c>
      <c r="B38" s="203">
        <f>Zones!K38</f>
        <v>1.0531200000000001</v>
      </c>
      <c r="C38" s="204">
        <f>Zones!H38</f>
        <v>351.04</v>
      </c>
      <c r="D38" s="413">
        <f t="shared" si="6"/>
        <v>16.666666666666668</v>
      </c>
      <c r="E38" s="603">
        <v>0.06</v>
      </c>
      <c r="F38" s="607" t="s">
        <v>433</v>
      </c>
      <c r="G38" s="414">
        <f t="shared" si="11"/>
        <v>17.552000000000003</v>
      </c>
      <c r="H38" s="414">
        <f t="shared" si="12"/>
        <v>21.0624</v>
      </c>
      <c r="I38" s="253">
        <f t="shared" si="10"/>
        <v>52.656000000000006</v>
      </c>
      <c r="J38" s="197">
        <f t="shared" si="8"/>
        <v>52.656000000000006</v>
      </c>
      <c r="K38" s="711"/>
      <c r="L38" s="5"/>
      <c r="M38" s="5"/>
      <c r="N38" s="5"/>
      <c r="O38" s="5"/>
      <c r="P38" s="5"/>
      <c r="Q38" s="5"/>
      <c r="R38" s="5"/>
      <c r="S38" s="5"/>
      <c r="T38" s="5"/>
      <c r="U38" s="5"/>
      <c r="V38" s="5"/>
      <c r="W38" s="5"/>
      <c r="X38" s="5"/>
      <c r="Y38" s="5"/>
      <c r="Z38" s="5"/>
      <c r="AA38" s="5"/>
      <c r="AB38" s="5"/>
      <c r="AC38" s="5"/>
      <c r="AD38" s="5"/>
    </row>
    <row r="39" spans="1:30" s="105" customFormat="1" ht="14.4" customHeight="1" x14ac:dyDescent="0.25">
      <c r="A39" s="202" t="str">
        <f>Zones!B39</f>
        <v>GuestRoom_20_23_FloorT</v>
      </c>
      <c r="B39" s="203">
        <f>Zones!K39</f>
        <v>4.2124200000000007</v>
      </c>
      <c r="C39" s="204">
        <f>Zones!H39</f>
        <v>1404.14</v>
      </c>
      <c r="D39" s="413">
        <f>5*10/3</f>
        <v>16.666666666666668</v>
      </c>
      <c r="E39" s="603">
        <v>0.06</v>
      </c>
      <c r="F39" s="607" t="s">
        <v>433</v>
      </c>
      <c r="G39" s="414">
        <f t="shared" si="11"/>
        <v>70.207000000000022</v>
      </c>
      <c r="H39" s="414">
        <f t="shared" si="12"/>
        <v>84.248400000000004</v>
      </c>
      <c r="I39" s="253">
        <f t="shared" si="10"/>
        <v>210.62100000000004</v>
      </c>
      <c r="J39" s="197">
        <f t="shared" si="8"/>
        <v>210.62100000000004</v>
      </c>
      <c r="K39" s="711"/>
      <c r="L39" s="72"/>
      <c r="M39" s="72"/>
      <c r="N39" s="72"/>
      <c r="O39" s="72"/>
      <c r="P39" s="72"/>
      <c r="Q39" s="72"/>
      <c r="R39" s="72"/>
      <c r="S39" s="72"/>
      <c r="T39" s="72"/>
      <c r="U39" s="72"/>
      <c r="V39" s="127"/>
      <c r="W39" s="127"/>
      <c r="X39" s="5"/>
      <c r="Y39" s="5"/>
      <c r="Z39" s="5"/>
      <c r="AA39" s="5"/>
      <c r="AB39" s="5"/>
      <c r="AC39" s="5"/>
      <c r="AD39" s="5"/>
    </row>
    <row r="40" spans="1:30" s="105" customFormat="1" ht="14.4" customHeight="1" x14ac:dyDescent="0.25">
      <c r="A40" s="202" t="str">
        <f>Zones!B40</f>
        <v>GuestRoom_24_FloorT</v>
      </c>
      <c r="B40" s="203">
        <f>Zones!K40</f>
        <v>1.0530899999999999</v>
      </c>
      <c r="C40" s="204">
        <f>Zones!H40</f>
        <v>351.03</v>
      </c>
      <c r="D40" s="413">
        <f t="shared" si="6"/>
        <v>16.666666666666668</v>
      </c>
      <c r="E40" s="603">
        <v>0.06</v>
      </c>
      <c r="F40" s="607" t="s">
        <v>433</v>
      </c>
      <c r="G40" s="414">
        <f t="shared" si="11"/>
        <v>17.551499999999997</v>
      </c>
      <c r="H40" s="414">
        <f t="shared" si="12"/>
        <v>21.061799999999998</v>
      </c>
      <c r="I40" s="253">
        <f t="shared" si="10"/>
        <v>52.654499999999992</v>
      </c>
      <c r="J40" s="197">
        <f t="shared" si="8"/>
        <v>52.654499999999992</v>
      </c>
      <c r="K40" s="711"/>
      <c r="L40" s="73"/>
      <c r="M40" s="73"/>
      <c r="N40" s="73"/>
      <c r="O40" s="73"/>
      <c r="P40" s="73"/>
      <c r="Q40" s="73"/>
      <c r="R40" s="73"/>
      <c r="S40" s="73"/>
      <c r="T40" s="73"/>
      <c r="U40" s="73"/>
      <c r="V40" s="5"/>
      <c r="W40" s="5"/>
      <c r="X40" s="5"/>
      <c r="Y40" s="5"/>
      <c r="Z40" s="5"/>
      <c r="AA40" s="5"/>
      <c r="AB40" s="5"/>
      <c r="AC40" s="5"/>
      <c r="AD40" s="5"/>
    </row>
    <row r="41" spans="1:30" s="105" customFormat="1" ht="26.4" customHeight="1" x14ac:dyDescent="0.25">
      <c r="A41" s="202" t="str">
        <f>Zones!B41</f>
        <v>Laundry_FloorG</v>
      </c>
      <c r="B41" s="203">
        <f>Zones!K41</f>
        <v>5.2655500000000002</v>
      </c>
      <c r="C41" s="204">
        <f>Zones!H41</f>
        <v>1053.1099999999999</v>
      </c>
      <c r="D41" s="469">
        <v>15</v>
      </c>
      <c r="E41" s="469">
        <v>0.15</v>
      </c>
      <c r="F41" s="607" t="s">
        <v>434</v>
      </c>
      <c r="G41" s="209">
        <f>B41*D41</f>
        <v>78.983249999999998</v>
      </c>
      <c r="H41" s="209">
        <f t="shared" si="12"/>
        <v>157.96649999999997</v>
      </c>
      <c r="I41" s="253">
        <f>1*0.2*C41</f>
        <v>210.62199999999999</v>
      </c>
      <c r="J41" s="197">
        <f t="shared" si="2"/>
        <v>210.62199999999999</v>
      </c>
      <c r="K41" s="207" t="s">
        <v>435</v>
      </c>
      <c r="L41" s="73"/>
      <c r="M41" s="73"/>
      <c r="N41" s="73"/>
      <c r="O41" s="73"/>
      <c r="P41" s="73"/>
      <c r="Q41" s="73"/>
      <c r="R41" s="73"/>
      <c r="S41" s="73"/>
      <c r="T41" s="73"/>
      <c r="U41" s="73"/>
      <c r="V41" s="5"/>
      <c r="W41" s="5"/>
      <c r="X41" s="5"/>
      <c r="Y41" s="5"/>
      <c r="Z41" s="5"/>
      <c r="AA41" s="5"/>
      <c r="AB41" s="5"/>
      <c r="AC41" s="5"/>
      <c r="AD41" s="5"/>
    </row>
    <row r="42" spans="1:30" s="105" customFormat="1" ht="14.4" customHeight="1" x14ac:dyDescent="0.25">
      <c r="A42" s="202" t="str">
        <f>Zones!B42</f>
        <v>Mech_FloorG</v>
      </c>
      <c r="B42" s="203">
        <f>Zones!K42</f>
        <v>0</v>
      </c>
      <c r="C42" s="204">
        <f>Zones!H42</f>
        <v>351.06</v>
      </c>
      <c r="D42" s="469">
        <v>15</v>
      </c>
      <c r="E42" s="469">
        <v>0.15</v>
      </c>
      <c r="F42" s="208"/>
      <c r="G42" s="209">
        <f t="shared" si="11"/>
        <v>0</v>
      </c>
      <c r="H42" s="209">
        <f t="shared" si="12"/>
        <v>52.658999999999999</v>
      </c>
      <c r="I42" s="253"/>
      <c r="J42" s="197">
        <f t="shared" si="2"/>
        <v>52.658999999999999</v>
      </c>
      <c r="K42" s="208"/>
      <c r="L42" s="73"/>
      <c r="M42" s="73"/>
      <c r="N42" s="73"/>
      <c r="O42" s="73"/>
      <c r="P42" s="73"/>
      <c r="Q42" s="73"/>
      <c r="R42" s="73"/>
      <c r="S42" s="73"/>
      <c r="T42" s="73"/>
      <c r="U42" s="73"/>
      <c r="V42" s="5"/>
      <c r="W42" s="5"/>
      <c r="X42" s="5"/>
      <c r="Y42" s="5"/>
      <c r="Z42" s="5"/>
      <c r="AA42" s="5"/>
      <c r="AB42" s="5"/>
      <c r="AC42" s="5"/>
      <c r="AD42" s="5"/>
    </row>
    <row r="43" spans="1:30" s="105" customFormat="1" ht="14.4" customHeight="1" x14ac:dyDescent="0.25">
      <c r="A43" s="202" t="str">
        <f>Zones!B43</f>
        <v>Conference_FloorG</v>
      </c>
      <c r="B43" s="203">
        <f>Zones!K43</f>
        <v>28.516949999999998</v>
      </c>
      <c r="C43" s="204">
        <f>Zones!H43</f>
        <v>864.15</v>
      </c>
      <c r="D43" s="469">
        <v>15</v>
      </c>
      <c r="E43" s="469">
        <v>0.15</v>
      </c>
      <c r="F43" s="208"/>
      <c r="G43" s="209">
        <f t="shared" si="11"/>
        <v>427.75424999999996</v>
      </c>
      <c r="H43" s="209">
        <f t="shared" si="12"/>
        <v>129.6225</v>
      </c>
      <c r="I43" s="253"/>
      <c r="J43" s="197">
        <f t="shared" si="2"/>
        <v>427.75424999999996</v>
      </c>
      <c r="K43" s="208"/>
      <c r="L43" s="73"/>
      <c r="M43" s="73"/>
      <c r="N43" s="73"/>
      <c r="O43" s="73"/>
      <c r="P43" s="73"/>
      <c r="Q43" s="73"/>
      <c r="R43" s="73"/>
      <c r="S43" s="73"/>
      <c r="T43" s="73"/>
      <c r="U43" s="73"/>
      <c r="V43" s="5"/>
      <c r="W43" s="5"/>
      <c r="X43" s="5"/>
      <c r="Y43" s="5"/>
      <c r="Z43" s="5"/>
      <c r="AA43" s="5"/>
      <c r="AB43" s="5"/>
      <c r="AC43" s="5"/>
      <c r="AD43" s="5"/>
    </row>
    <row r="44" spans="1:30" s="105" customFormat="1" ht="14.4" customHeight="1" x14ac:dyDescent="0.25">
      <c r="A44" s="202" t="str">
        <f>Zones!B44</f>
        <v>Rear_Stair_FloorG</v>
      </c>
      <c r="B44" s="203">
        <f>Zones!K44</f>
        <v>1.0804</v>
      </c>
      <c r="C44" s="204">
        <f>Zones!H44</f>
        <v>216.08</v>
      </c>
      <c r="D44" s="469">
        <v>15</v>
      </c>
      <c r="E44" s="469">
        <v>0.15</v>
      </c>
      <c r="F44" s="469"/>
      <c r="G44" s="209">
        <f t="shared" si="11"/>
        <v>16.206</v>
      </c>
      <c r="H44" s="209">
        <f t="shared" si="12"/>
        <v>32.411999999999999</v>
      </c>
      <c r="I44" s="253"/>
      <c r="J44" s="197">
        <f t="shared" si="2"/>
        <v>32.411999999999999</v>
      </c>
      <c r="K44" s="208"/>
      <c r="L44" s="73"/>
      <c r="M44" s="73"/>
      <c r="N44" s="73"/>
      <c r="O44" s="73"/>
      <c r="P44" s="73"/>
      <c r="Q44" s="73"/>
      <c r="R44" s="73"/>
      <c r="S44" s="73"/>
      <c r="T44" s="73"/>
      <c r="U44" s="73"/>
      <c r="V44" s="5"/>
      <c r="W44" s="5"/>
      <c r="X44" s="5"/>
      <c r="Y44" s="5"/>
      <c r="Z44" s="5"/>
      <c r="AA44" s="5"/>
      <c r="AB44" s="5"/>
      <c r="AC44" s="5"/>
      <c r="AD44" s="5"/>
    </row>
    <row r="45" spans="1:30" s="105" customFormat="1" ht="14.4" customHeight="1" x14ac:dyDescent="0.25">
      <c r="A45" s="202" t="str">
        <f>Zones!B45</f>
        <v>Rear_Stair_FloorT</v>
      </c>
      <c r="B45" s="203">
        <f>Zones!K45</f>
        <v>1.0804</v>
      </c>
      <c r="C45" s="204">
        <f>Zones!H45</f>
        <v>216.08</v>
      </c>
      <c r="D45" s="469">
        <v>15</v>
      </c>
      <c r="E45" s="469">
        <v>0.15</v>
      </c>
      <c r="F45" s="469"/>
      <c r="G45" s="209">
        <f t="shared" si="11"/>
        <v>16.206</v>
      </c>
      <c r="H45" s="209">
        <f t="shared" si="12"/>
        <v>32.411999999999999</v>
      </c>
      <c r="I45" s="253"/>
      <c r="J45" s="197">
        <f t="shared" si="2"/>
        <v>32.411999999999999</v>
      </c>
      <c r="K45" s="208"/>
      <c r="L45" s="73"/>
      <c r="M45" s="73"/>
      <c r="N45" s="73"/>
      <c r="O45" s="73"/>
      <c r="P45" s="73"/>
      <c r="Q45" s="73"/>
      <c r="R45" s="73"/>
      <c r="S45" s="73"/>
      <c r="T45" s="73"/>
      <c r="U45" s="73"/>
      <c r="V45" s="5"/>
      <c r="W45" s="5"/>
      <c r="X45" s="5"/>
      <c r="Y45" s="5"/>
      <c r="Z45" s="5"/>
      <c r="AA45" s="5"/>
      <c r="AB45" s="5"/>
      <c r="AC45" s="5"/>
      <c r="AD45" s="5"/>
    </row>
    <row r="46" spans="1:30" s="105" customFormat="1" ht="14.4" customHeight="1" x14ac:dyDescent="0.25">
      <c r="A46" s="202" t="str">
        <f>Zones!B46</f>
        <v>Rear_Stair_FloorM</v>
      </c>
      <c r="B46" s="203">
        <f>Zones!K46</f>
        <v>1.0804</v>
      </c>
      <c r="C46" s="204">
        <f>Zones!H46</f>
        <v>216.08</v>
      </c>
      <c r="D46" s="469">
        <v>15</v>
      </c>
      <c r="E46" s="469">
        <v>0.15</v>
      </c>
      <c r="F46" s="469"/>
      <c r="G46" s="209">
        <f t="shared" si="11"/>
        <v>16.206</v>
      </c>
      <c r="H46" s="209">
        <f t="shared" si="12"/>
        <v>32.411999999999999</v>
      </c>
      <c r="I46" s="253"/>
      <c r="J46" s="197">
        <f t="shared" si="2"/>
        <v>32.411999999999999</v>
      </c>
      <c r="K46" s="208"/>
      <c r="L46" s="73"/>
      <c r="M46" s="73"/>
      <c r="N46" s="73"/>
      <c r="O46" s="73"/>
      <c r="P46" s="73"/>
      <c r="Q46" s="73"/>
      <c r="R46" s="73"/>
      <c r="S46" s="73"/>
      <c r="T46" s="73"/>
      <c r="U46" s="73"/>
      <c r="V46" s="5"/>
      <c r="W46" s="5"/>
      <c r="X46" s="5"/>
      <c r="Y46" s="5"/>
      <c r="Z46" s="5"/>
      <c r="AA46" s="5"/>
      <c r="AB46" s="5"/>
      <c r="AC46" s="5"/>
      <c r="AD46" s="5"/>
    </row>
    <row r="47" spans="1:30" s="105" customFormat="1" ht="14.4" customHeight="1" x14ac:dyDescent="0.25">
      <c r="A47" s="202" t="str">
        <f>Zones!B47</f>
        <v>Rear_Storage_FloorG</v>
      </c>
      <c r="B47" s="203">
        <f>Zones!K47</f>
        <v>0.43218000000000001</v>
      </c>
      <c r="C47" s="204">
        <f>Zones!H47</f>
        <v>216.09</v>
      </c>
      <c r="D47" s="469">
        <v>15</v>
      </c>
      <c r="E47" s="469">
        <v>0.15</v>
      </c>
      <c r="F47" s="469"/>
      <c r="G47" s="209">
        <f t="shared" si="11"/>
        <v>6.4827000000000004</v>
      </c>
      <c r="H47" s="209">
        <f t="shared" si="12"/>
        <v>32.413499999999999</v>
      </c>
      <c r="I47" s="253"/>
      <c r="J47" s="197">
        <f t="shared" si="2"/>
        <v>32.413499999999999</v>
      </c>
      <c r="K47" s="208"/>
      <c r="L47" s="73"/>
      <c r="M47" s="73"/>
      <c r="N47" s="73"/>
      <c r="O47" s="73"/>
      <c r="P47" s="73"/>
      <c r="Q47" s="73"/>
      <c r="R47" s="73"/>
      <c r="S47" s="73"/>
      <c r="T47" s="73"/>
      <c r="U47" s="73"/>
      <c r="V47" s="5"/>
      <c r="W47" s="5"/>
      <c r="X47" s="5"/>
      <c r="Y47" s="5"/>
      <c r="Z47" s="5"/>
      <c r="AA47" s="5"/>
      <c r="AB47" s="5"/>
      <c r="AC47" s="5"/>
      <c r="AD47" s="5"/>
    </row>
    <row r="48" spans="1:30" s="105" customFormat="1" ht="14.4" customHeight="1" x14ac:dyDescent="0.25">
      <c r="A48" s="202" t="str">
        <f>Zones!B48</f>
        <v>Rear_Storage_FloorM</v>
      </c>
      <c r="B48" s="203">
        <f>Zones!K48</f>
        <v>0.43218000000000001</v>
      </c>
      <c r="C48" s="204">
        <f>Zones!H48</f>
        <v>216.09</v>
      </c>
      <c r="D48" s="469">
        <v>15</v>
      </c>
      <c r="E48" s="469">
        <v>0.15</v>
      </c>
      <c r="F48" s="469"/>
      <c r="G48" s="209">
        <f t="shared" si="11"/>
        <v>6.4827000000000004</v>
      </c>
      <c r="H48" s="209">
        <f t="shared" si="12"/>
        <v>32.413499999999999</v>
      </c>
      <c r="I48" s="253"/>
      <c r="J48" s="197">
        <f t="shared" si="2"/>
        <v>32.413499999999999</v>
      </c>
      <c r="K48" s="208"/>
      <c r="L48" s="73"/>
      <c r="M48" s="73"/>
      <c r="N48" s="73"/>
      <c r="O48" s="73"/>
      <c r="P48" s="73"/>
      <c r="Q48" s="73"/>
      <c r="R48" s="73"/>
      <c r="S48" s="73"/>
      <c r="T48" s="73"/>
      <c r="U48" s="73"/>
      <c r="V48" s="5"/>
      <c r="W48" s="5"/>
      <c r="X48" s="5"/>
      <c r="Y48" s="5"/>
      <c r="Z48" s="5"/>
      <c r="AA48" s="5"/>
      <c r="AB48" s="5"/>
      <c r="AC48" s="5"/>
      <c r="AD48" s="5"/>
    </row>
    <row r="49" spans="1:30" s="105" customFormat="1" ht="14.4" customHeight="1" x14ac:dyDescent="0.25">
      <c r="A49" s="202" t="str">
        <f>Zones!B49</f>
        <v>Rear_Storage_FloorT</v>
      </c>
      <c r="B49" s="203">
        <f>Zones!K49</f>
        <v>0.43218000000000001</v>
      </c>
      <c r="C49" s="204">
        <f>Zones!H49</f>
        <v>216.09</v>
      </c>
      <c r="D49" s="469">
        <v>15</v>
      </c>
      <c r="E49" s="469">
        <v>0.15</v>
      </c>
      <c r="F49" s="469"/>
      <c r="G49" s="209">
        <f t="shared" si="11"/>
        <v>6.4827000000000004</v>
      </c>
      <c r="H49" s="209">
        <f t="shared" si="12"/>
        <v>32.413499999999999</v>
      </c>
      <c r="I49" s="253"/>
      <c r="J49" s="197">
        <f t="shared" si="2"/>
        <v>32.413499999999999</v>
      </c>
      <c r="K49" s="208"/>
      <c r="L49" s="73"/>
      <c r="M49" s="73"/>
      <c r="N49" s="73"/>
      <c r="O49" s="73"/>
      <c r="P49" s="73"/>
      <c r="Q49" s="73"/>
      <c r="R49" s="73"/>
      <c r="S49" s="73"/>
      <c r="T49" s="73"/>
      <c r="U49" s="73"/>
      <c r="V49" s="5"/>
      <c r="W49" s="5"/>
      <c r="X49" s="5"/>
      <c r="Y49" s="5"/>
      <c r="Z49" s="5"/>
      <c r="AA49" s="5"/>
      <c r="AB49" s="5"/>
      <c r="AC49" s="5"/>
      <c r="AD49" s="5"/>
    </row>
    <row r="50" spans="1:30" s="105" customFormat="1" ht="17.399999999999999" customHeight="1" x14ac:dyDescent="0.25">
      <c r="A50" s="202" t="str">
        <f>Zones!B50</f>
        <v>Restroom_FloorG</v>
      </c>
      <c r="B50" s="203">
        <f>Zones!K50</f>
        <v>1.7552999999999999</v>
      </c>
      <c r="C50" s="204">
        <f>Zones!H50</f>
        <v>351.06</v>
      </c>
      <c r="D50" s="469">
        <v>15</v>
      </c>
      <c r="E50" s="469">
        <v>0.15</v>
      </c>
      <c r="F50" s="469" t="s">
        <v>436</v>
      </c>
      <c r="G50" s="209">
        <f t="shared" si="11"/>
        <v>26.329499999999999</v>
      </c>
      <c r="H50" s="209">
        <f t="shared" si="12"/>
        <v>52.658999999999999</v>
      </c>
      <c r="I50" s="253">
        <f>50*B50</f>
        <v>87.764999999999986</v>
      </c>
      <c r="J50" s="197">
        <f t="shared" si="2"/>
        <v>87.764999999999986</v>
      </c>
      <c r="K50" s="208"/>
      <c r="L50" s="73"/>
      <c r="M50" s="73"/>
      <c r="N50" s="73"/>
      <c r="O50" s="73"/>
      <c r="P50" s="73"/>
      <c r="Q50" s="73"/>
      <c r="R50" s="73"/>
      <c r="S50" s="73"/>
      <c r="T50" s="73"/>
      <c r="U50" s="73"/>
      <c r="V50" s="5"/>
      <c r="W50" s="5"/>
      <c r="X50" s="5"/>
      <c r="Y50" s="5"/>
      <c r="Z50" s="5"/>
      <c r="AA50" s="5"/>
      <c r="AB50" s="5"/>
      <c r="AC50" s="5"/>
      <c r="AD50" s="5"/>
    </row>
    <row r="51" spans="1:30" s="105" customFormat="1" ht="13.2" x14ac:dyDescent="0.25">
      <c r="A51" s="149"/>
      <c r="B51" s="149"/>
      <c r="C51" s="149"/>
      <c r="D51" s="416"/>
      <c r="E51" s="416"/>
      <c r="F51" s="73"/>
      <c r="G51" s="73"/>
      <c r="H51" s="73"/>
      <c r="I51" s="73"/>
      <c r="J51" s="73"/>
      <c r="K51" s="73"/>
      <c r="L51" s="73"/>
      <c r="M51" s="73"/>
      <c r="N51" s="73"/>
      <c r="O51" s="73"/>
      <c r="P51" s="73"/>
      <c r="Q51" s="73"/>
      <c r="R51" s="73"/>
      <c r="S51" s="73"/>
      <c r="T51" s="73"/>
      <c r="U51" s="5"/>
      <c r="V51" s="5"/>
      <c r="W51" s="5"/>
      <c r="X51" s="5"/>
      <c r="Y51" s="5"/>
      <c r="Z51" s="5"/>
      <c r="AA51" s="5"/>
      <c r="AB51" s="5"/>
      <c r="AC51" s="5"/>
      <c r="AD51" s="5"/>
    </row>
    <row r="52" spans="1:30" ht="20.7" customHeight="1" x14ac:dyDescent="0.25">
      <c r="A52" s="3" t="s">
        <v>437</v>
      </c>
      <c r="B52" s="128"/>
      <c r="C52" s="140"/>
      <c r="D52" s="4"/>
      <c r="E52" s="4"/>
      <c r="F52" s="4"/>
      <c r="G52" s="4"/>
      <c r="H52" s="146"/>
      <c r="I52" s="146"/>
      <c r="J52" s="147"/>
      <c r="K52" s="3"/>
      <c r="L52" s="3"/>
      <c r="M52" s="3"/>
      <c r="N52" s="3"/>
      <c r="O52" s="3"/>
      <c r="P52" s="3"/>
      <c r="Q52" s="3"/>
      <c r="R52" s="3"/>
      <c r="S52" s="3"/>
      <c r="T52" s="3"/>
      <c r="U52" s="3"/>
      <c r="V52" s="3"/>
      <c r="W52" s="3"/>
      <c r="X52" s="3"/>
      <c r="Y52" s="3"/>
      <c r="Z52" s="3"/>
      <c r="AA52" s="3"/>
      <c r="AB52" s="3"/>
      <c r="AC52" s="3"/>
      <c r="AD52" s="3"/>
    </row>
    <row r="53" spans="1:30" s="105" customFormat="1" ht="13.2" x14ac:dyDescent="0.25">
      <c r="A53" s="149"/>
      <c r="B53" s="149"/>
      <c r="C53" s="149"/>
      <c r="D53" s="416"/>
      <c r="E53" s="416"/>
      <c r="F53" s="73"/>
      <c r="G53" s="73"/>
      <c r="H53" s="73"/>
      <c r="I53" s="73"/>
      <c r="J53" s="73"/>
      <c r="K53" s="73"/>
      <c r="L53" s="73"/>
      <c r="M53" s="73"/>
      <c r="N53" s="73"/>
      <c r="O53" s="73"/>
      <c r="P53" s="73"/>
      <c r="Q53" s="73"/>
      <c r="R53" s="73"/>
      <c r="S53" s="73"/>
      <c r="T53" s="73"/>
      <c r="U53" s="5"/>
      <c r="V53" s="5"/>
      <c r="W53" s="5"/>
      <c r="X53" s="5"/>
      <c r="Y53" s="5"/>
      <c r="Z53" s="5"/>
      <c r="AA53" s="5"/>
      <c r="AB53" s="5"/>
      <c r="AC53" s="5"/>
      <c r="AD53" s="5"/>
    </row>
    <row r="54" spans="1:30" s="105" customFormat="1" ht="43.2" customHeight="1" x14ac:dyDescent="0.25">
      <c r="A54" s="70"/>
      <c r="B54" s="70"/>
      <c r="C54" s="70"/>
      <c r="D54" s="70"/>
      <c r="E54" s="70"/>
      <c r="F54" s="72"/>
      <c r="G54" s="72"/>
      <c r="H54" s="72"/>
      <c r="I54" s="72"/>
      <c r="J54" s="72"/>
      <c r="K54" s="72"/>
      <c r="L54" s="72"/>
      <c r="M54" s="72"/>
      <c r="N54" s="72"/>
      <c r="O54" s="72"/>
      <c r="P54" s="72"/>
      <c r="Q54" s="72"/>
      <c r="R54" s="72"/>
      <c r="S54" s="72"/>
      <c r="T54" s="72"/>
      <c r="U54" s="127"/>
      <c r="V54" s="127"/>
      <c r="W54" s="5"/>
      <c r="X54" s="5"/>
      <c r="Y54" s="5"/>
      <c r="Z54" s="5"/>
      <c r="AA54" s="5"/>
      <c r="AB54" s="5"/>
      <c r="AC54" s="5"/>
      <c r="AD54" s="5"/>
    </row>
    <row r="55" spans="1:30" s="105" customFormat="1" ht="13.2" x14ac:dyDescent="0.25">
      <c r="A55" s="149"/>
      <c r="B55" s="149"/>
      <c r="C55" s="149"/>
      <c r="D55" s="416"/>
      <c r="E55" s="416"/>
      <c r="F55" s="150"/>
      <c r="G55" s="150"/>
      <c r="H55" s="150"/>
      <c r="I55" s="150"/>
      <c r="J55" s="150"/>
      <c r="K55" s="150"/>
      <c r="L55" s="150"/>
      <c r="M55" s="150"/>
      <c r="N55" s="150"/>
      <c r="O55" s="150"/>
      <c r="P55" s="150"/>
      <c r="Q55" s="150"/>
      <c r="R55" s="150"/>
      <c r="S55" s="150"/>
      <c r="T55" s="150"/>
      <c r="U55" s="5"/>
      <c r="V55" s="5"/>
      <c r="W55" s="5"/>
      <c r="X55" s="5"/>
      <c r="Y55" s="5"/>
      <c r="Z55" s="5"/>
      <c r="AA55" s="5"/>
      <c r="AB55" s="5"/>
      <c r="AC55" s="5"/>
      <c r="AD55" s="5"/>
    </row>
    <row r="56" spans="1:30" s="105" customFormat="1" ht="13.2" x14ac:dyDescent="0.25">
      <c r="A56" s="149"/>
      <c r="B56" s="149"/>
      <c r="C56" s="149"/>
      <c r="D56" s="416"/>
      <c r="E56" s="416"/>
      <c r="F56" s="150"/>
      <c r="G56" s="150"/>
      <c r="H56" s="150"/>
      <c r="I56" s="150"/>
      <c r="J56" s="150"/>
      <c r="K56" s="150"/>
      <c r="L56" s="150"/>
      <c r="M56" s="150"/>
      <c r="N56" s="150"/>
      <c r="O56" s="150"/>
      <c r="P56" s="150"/>
      <c r="Q56" s="150"/>
      <c r="R56" s="150"/>
      <c r="S56" s="150"/>
      <c r="T56" s="150"/>
      <c r="U56" s="5"/>
      <c r="V56" s="5"/>
      <c r="W56" s="5"/>
      <c r="X56" s="5"/>
      <c r="Y56" s="5"/>
      <c r="Z56" s="5"/>
      <c r="AA56" s="5"/>
      <c r="AB56" s="5"/>
      <c r="AC56" s="5"/>
      <c r="AD56" s="5"/>
    </row>
    <row r="57" spans="1:30" s="105" customFormat="1" ht="13.2" x14ac:dyDescent="0.25">
      <c r="A57" s="149"/>
      <c r="B57" s="149"/>
      <c r="C57" s="149"/>
      <c r="D57" s="416"/>
      <c r="E57" s="416"/>
      <c r="F57" s="150"/>
      <c r="G57" s="150"/>
      <c r="H57" s="150"/>
      <c r="I57" s="150"/>
      <c r="J57" s="150"/>
      <c r="K57" s="150"/>
      <c r="L57" s="150"/>
      <c r="M57" s="150"/>
      <c r="N57" s="150"/>
      <c r="O57" s="150"/>
      <c r="P57" s="150"/>
      <c r="Q57" s="150"/>
      <c r="R57" s="150"/>
      <c r="S57" s="150"/>
      <c r="T57" s="150"/>
      <c r="U57" s="5"/>
      <c r="V57" s="5"/>
      <c r="W57" s="5"/>
      <c r="X57" s="5"/>
      <c r="Y57" s="5"/>
      <c r="Z57" s="5"/>
      <c r="AA57" s="5"/>
      <c r="AB57" s="5"/>
      <c r="AC57" s="5"/>
      <c r="AD57" s="5"/>
    </row>
    <row r="58" spans="1:30" s="105" customFormat="1" ht="13.2" x14ac:dyDescent="0.25">
      <c r="A58" s="149"/>
      <c r="B58" s="149"/>
      <c r="C58" s="149"/>
      <c r="D58" s="416"/>
      <c r="E58" s="416"/>
      <c r="F58" s="150"/>
      <c r="G58" s="150"/>
      <c r="H58" s="150"/>
      <c r="I58" s="150"/>
      <c r="J58" s="150"/>
      <c r="K58" s="150"/>
      <c r="L58" s="150"/>
      <c r="M58" s="150"/>
      <c r="N58" s="150"/>
      <c r="O58" s="150"/>
      <c r="P58" s="150"/>
      <c r="Q58" s="150"/>
      <c r="R58" s="150"/>
      <c r="S58" s="150"/>
      <c r="T58" s="150"/>
      <c r="U58" s="5"/>
      <c r="V58" s="5"/>
      <c r="W58" s="5"/>
      <c r="X58" s="5"/>
      <c r="Y58" s="5"/>
      <c r="Z58" s="5"/>
      <c r="AA58" s="5"/>
      <c r="AB58" s="5"/>
      <c r="AC58" s="5"/>
      <c r="AD58" s="5"/>
    </row>
    <row r="59" spans="1:30" s="105" customFormat="1" ht="13.2" x14ac:dyDescent="0.25">
      <c r="A59" s="149"/>
      <c r="B59" s="149"/>
      <c r="C59" s="149"/>
      <c r="D59" s="416"/>
      <c r="E59" s="416"/>
      <c r="F59" s="150"/>
      <c r="G59" s="150"/>
      <c r="H59" s="150"/>
      <c r="I59" s="150"/>
      <c r="J59" s="150"/>
      <c r="K59" s="150"/>
      <c r="L59" s="150"/>
      <c r="M59" s="150"/>
      <c r="N59" s="150"/>
      <c r="O59" s="150"/>
      <c r="P59" s="150"/>
      <c r="Q59" s="150"/>
      <c r="R59" s="150"/>
      <c r="S59" s="150"/>
      <c r="T59" s="150"/>
      <c r="U59" s="5"/>
      <c r="V59" s="5"/>
      <c r="W59" s="5"/>
      <c r="X59" s="5"/>
      <c r="Y59" s="5"/>
      <c r="Z59" s="5"/>
      <c r="AA59" s="5"/>
      <c r="AB59" s="5"/>
      <c r="AC59" s="5"/>
      <c r="AD59" s="5"/>
    </row>
    <row r="60" spans="1:30" s="105" customFormat="1" ht="13.2" x14ac:dyDescent="0.25">
      <c r="A60" s="149"/>
      <c r="B60" s="149"/>
      <c r="C60" s="149"/>
      <c r="D60" s="416"/>
      <c r="E60" s="416"/>
      <c r="F60" s="150"/>
      <c r="G60" s="150"/>
      <c r="H60" s="150"/>
      <c r="I60" s="150"/>
      <c r="J60" s="150"/>
      <c r="K60" s="150"/>
      <c r="L60" s="150"/>
      <c r="M60" s="150"/>
      <c r="N60" s="150"/>
      <c r="O60" s="150"/>
      <c r="P60" s="150"/>
      <c r="Q60" s="150"/>
      <c r="R60" s="150"/>
      <c r="S60" s="150"/>
      <c r="T60" s="150"/>
      <c r="U60" s="5"/>
      <c r="V60" s="5"/>
      <c r="W60" s="5"/>
      <c r="X60" s="5"/>
      <c r="Y60" s="5"/>
      <c r="Z60" s="5"/>
      <c r="AA60" s="5"/>
      <c r="AB60" s="5"/>
      <c r="AC60" s="5"/>
      <c r="AD60" s="5"/>
    </row>
    <row r="61" spans="1:30" s="105" customFormat="1" ht="13.2" x14ac:dyDescent="0.25">
      <c r="A61" s="149"/>
      <c r="B61" s="149"/>
      <c r="C61" s="149"/>
      <c r="D61" s="416"/>
      <c r="E61" s="416"/>
      <c r="F61" s="150"/>
      <c r="G61" s="150"/>
      <c r="H61" s="150"/>
      <c r="I61" s="150"/>
      <c r="J61" s="150"/>
      <c r="K61" s="150"/>
      <c r="L61" s="150"/>
      <c r="M61" s="150"/>
      <c r="N61" s="150"/>
      <c r="O61" s="150"/>
      <c r="P61" s="150"/>
      <c r="Q61" s="150"/>
      <c r="R61" s="150"/>
      <c r="S61" s="150"/>
      <c r="T61" s="150"/>
      <c r="U61" s="5"/>
      <c r="V61" s="5"/>
      <c r="W61" s="5"/>
      <c r="X61" s="5"/>
      <c r="Y61" s="5"/>
      <c r="Z61" s="5"/>
      <c r="AA61" s="5"/>
      <c r="AB61" s="5"/>
      <c r="AC61" s="5"/>
      <c r="AD61" s="5"/>
    </row>
    <row r="62" spans="1:30" s="105" customFormat="1" ht="13.2" x14ac:dyDescent="0.25">
      <c r="A62" s="149"/>
      <c r="B62" s="149"/>
      <c r="C62" s="149"/>
      <c r="D62" s="416"/>
      <c r="E62" s="416"/>
      <c r="F62" s="150"/>
      <c r="G62" s="150"/>
      <c r="H62" s="150"/>
      <c r="I62" s="150"/>
      <c r="J62" s="150"/>
      <c r="K62" s="150"/>
      <c r="L62" s="150"/>
      <c r="M62" s="150"/>
      <c r="N62" s="150"/>
      <c r="O62" s="150"/>
      <c r="P62" s="150"/>
      <c r="Q62" s="150"/>
      <c r="R62" s="150"/>
      <c r="S62" s="150"/>
      <c r="T62" s="150"/>
      <c r="U62" s="5"/>
      <c r="V62" s="5"/>
      <c r="W62" s="5"/>
      <c r="X62" s="5"/>
      <c r="Y62" s="5"/>
      <c r="Z62" s="5"/>
      <c r="AA62" s="5"/>
      <c r="AB62" s="5"/>
      <c r="AC62" s="5"/>
      <c r="AD62" s="5"/>
    </row>
    <row r="63" spans="1:30" s="105" customFormat="1" ht="13.2" x14ac:dyDescent="0.25">
      <c r="A63" s="149"/>
      <c r="B63" s="149"/>
      <c r="C63" s="149"/>
      <c r="D63" s="416"/>
      <c r="E63" s="416"/>
      <c r="F63" s="150"/>
      <c r="G63" s="150"/>
      <c r="H63" s="150"/>
      <c r="I63" s="150"/>
      <c r="J63" s="150"/>
      <c r="K63" s="150"/>
      <c r="L63" s="150"/>
      <c r="M63" s="150"/>
      <c r="N63" s="150"/>
      <c r="O63" s="150"/>
      <c r="P63" s="150"/>
      <c r="Q63" s="150"/>
      <c r="R63" s="150"/>
      <c r="S63" s="150"/>
      <c r="T63" s="150"/>
      <c r="U63" s="5"/>
      <c r="V63" s="5"/>
      <c r="W63" s="5"/>
      <c r="X63" s="5"/>
      <c r="Y63" s="5"/>
      <c r="Z63" s="5"/>
      <c r="AA63" s="5"/>
      <c r="AB63" s="5"/>
      <c r="AC63" s="5"/>
      <c r="AD63" s="5"/>
    </row>
    <row r="64" spans="1:30" s="105" customFormat="1" ht="13.2" x14ac:dyDescent="0.25">
      <c r="A64" s="149"/>
      <c r="B64" s="149"/>
      <c r="C64" s="149"/>
      <c r="D64" s="416"/>
      <c r="E64" s="416"/>
      <c r="F64" s="150"/>
      <c r="G64" s="150"/>
      <c r="H64" s="150"/>
      <c r="I64" s="150"/>
      <c r="J64" s="150"/>
      <c r="K64" s="150"/>
      <c r="L64" s="150"/>
      <c r="M64" s="150"/>
      <c r="N64" s="150"/>
      <c r="O64" s="150"/>
      <c r="P64" s="150"/>
      <c r="Q64" s="150"/>
      <c r="R64" s="150"/>
      <c r="S64" s="150"/>
      <c r="T64" s="150"/>
      <c r="U64" s="5"/>
      <c r="V64" s="5"/>
      <c r="W64" s="5"/>
      <c r="X64" s="5"/>
      <c r="Y64" s="5"/>
      <c r="Z64" s="5"/>
      <c r="AA64" s="5"/>
      <c r="AB64" s="5"/>
      <c r="AC64" s="5"/>
      <c r="AD64" s="5"/>
    </row>
    <row r="65" spans="1:30" s="105" customFormat="1" ht="13.2" x14ac:dyDescent="0.25">
      <c r="A65" s="149"/>
      <c r="B65" s="149"/>
      <c r="C65" s="149"/>
      <c r="D65" s="416"/>
      <c r="E65" s="416"/>
      <c r="F65" s="150"/>
      <c r="G65" s="150"/>
      <c r="H65" s="150"/>
      <c r="I65" s="150"/>
      <c r="J65" s="150"/>
      <c r="K65" s="150"/>
      <c r="L65" s="150"/>
      <c r="M65" s="150"/>
      <c r="N65" s="150"/>
      <c r="O65" s="150"/>
      <c r="P65" s="150"/>
      <c r="Q65" s="150"/>
      <c r="R65" s="150"/>
      <c r="S65" s="150"/>
      <c r="T65" s="150"/>
      <c r="U65" s="5"/>
      <c r="V65" s="5"/>
      <c r="W65" s="5"/>
      <c r="X65" s="5"/>
      <c r="Y65" s="5"/>
      <c r="Z65" s="5"/>
      <c r="AA65" s="5"/>
      <c r="AB65" s="5"/>
      <c r="AC65" s="5"/>
      <c r="AD65" s="5"/>
    </row>
    <row r="66" spans="1:30" s="105" customFormat="1" ht="13.2" x14ac:dyDescent="0.25">
      <c r="A66" s="149"/>
      <c r="B66" s="149"/>
      <c r="C66" s="149"/>
      <c r="D66" s="416"/>
      <c r="E66" s="416"/>
      <c r="F66" s="150"/>
      <c r="G66" s="150"/>
      <c r="H66" s="150"/>
      <c r="I66" s="150"/>
      <c r="J66" s="150"/>
      <c r="K66" s="150"/>
      <c r="L66" s="150"/>
      <c r="M66" s="150"/>
      <c r="N66" s="150"/>
      <c r="O66" s="150"/>
      <c r="P66" s="150"/>
      <c r="Q66" s="150"/>
      <c r="R66" s="150"/>
      <c r="S66" s="150"/>
      <c r="T66" s="150"/>
      <c r="U66" s="5"/>
      <c r="V66" s="5"/>
      <c r="W66" s="5"/>
      <c r="X66" s="5"/>
      <c r="Y66" s="5"/>
      <c r="Z66" s="5"/>
      <c r="AA66" s="5"/>
      <c r="AB66" s="5"/>
      <c r="AC66" s="5"/>
      <c r="AD66" s="5"/>
    </row>
    <row r="67" spans="1:30" s="105" customFormat="1" ht="13.2" x14ac:dyDescent="0.25">
      <c r="A67" s="149"/>
      <c r="B67" s="149"/>
      <c r="C67" s="149"/>
      <c r="D67" s="416"/>
      <c r="E67" s="416"/>
      <c r="F67" s="150"/>
      <c r="G67" s="150"/>
      <c r="H67" s="150"/>
      <c r="I67" s="150"/>
      <c r="J67" s="150"/>
      <c r="K67" s="150"/>
      <c r="L67" s="150"/>
      <c r="M67" s="150"/>
      <c r="N67" s="150"/>
      <c r="O67" s="150"/>
      <c r="P67" s="150"/>
      <c r="Q67" s="150"/>
      <c r="R67" s="150"/>
      <c r="S67" s="150"/>
      <c r="T67" s="150"/>
      <c r="U67" s="5"/>
      <c r="V67" s="5"/>
      <c r="W67" s="5"/>
      <c r="X67" s="5"/>
      <c r="Y67" s="5"/>
      <c r="Z67" s="5"/>
      <c r="AA67" s="5"/>
      <c r="AB67" s="5"/>
      <c r="AC67" s="5"/>
      <c r="AD67" s="5"/>
    </row>
    <row r="68" spans="1:30" s="105" customFormat="1" ht="13.2" x14ac:dyDescent="0.25">
      <c r="A68" s="149"/>
      <c r="B68" s="149"/>
      <c r="C68" s="149"/>
      <c r="D68" s="416"/>
      <c r="E68" s="416"/>
      <c r="F68" s="150"/>
      <c r="G68" s="150"/>
      <c r="H68" s="150"/>
      <c r="I68" s="150"/>
      <c r="J68" s="150"/>
      <c r="K68" s="150"/>
      <c r="L68" s="150"/>
      <c r="M68" s="150"/>
      <c r="N68" s="150"/>
      <c r="O68" s="150"/>
      <c r="P68" s="150"/>
      <c r="Q68" s="150"/>
      <c r="R68" s="150"/>
      <c r="S68" s="150"/>
      <c r="T68" s="150"/>
      <c r="U68" s="5"/>
      <c r="V68" s="5"/>
      <c r="W68" s="5"/>
      <c r="X68" s="5"/>
      <c r="Y68" s="5"/>
      <c r="Z68" s="5"/>
      <c r="AA68" s="5"/>
      <c r="AB68" s="5"/>
      <c r="AC68" s="5"/>
      <c r="AD68" s="5"/>
    </row>
    <row r="69" spans="1:30" s="105" customFormat="1" ht="13.2" x14ac:dyDescent="0.25">
      <c r="A69" s="149"/>
      <c r="B69" s="149"/>
      <c r="C69" s="149"/>
      <c r="D69" s="416"/>
      <c r="E69" s="416"/>
      <c r="F69" s="150"/>
      <c r="G69" s="150"/>
      <c r="H69" s="150"/>
      <c r="I69" s="150"/>
      <c r="J69" s="150"/>
      <c r="K69" s="150"/>
      <c r="L69" s="150"/>
      <c r="M69" s="150"/>
      <c r="N69" s="150"/>
      <c r="O69" s="150"/>
      <c r="P69" s="150"/>
      <c r="Q69" s="150"/>
      <c r="R69" s="150"/>
      <c r="S69" s="150"/>
      <c r="T69" s="150"/>
      <c r="U69" s="5"/>
      <c r="V69" s="5"/>
      <c r="W69" s="5"/>
      <c r="X69" s="5"/>
      <c r="Y69" s="5"/>
      <c r="Z69" s="5"/>
      <c r="AA69" s="5"/>
      <c r="AB69" s="5"/>
      <c r="AC69" s="5"/>
      <c r="AD69" s="5"/>
    </row>
    <row r="70" spans="1:30" s="105" customFormat="1" ht="13.2" x14ac:dyDescent="0.25">
      <c r="A70" s="149"/>
      <c r="B70" s="149"/>
      <c r="C70" s="149"/>
      <c r="D70" s="416"/>
      <c r="E70" s="416"/>
      <c r="F70" s="150"/>
      <c r="G70" s="150"/>
      <c r="H70" s="150"/>
      <c r="I70" s="150"/>
      <c r="J70" s="150"/>
      <c r="K70" s="150"/>
      <c r="L70" s="150"/>
      <c r="M70" s="150"/>
      <c r="N70" s="150"/>
      <c r="O70" s="150"/>
      <c r="P70" s="150"/>
      <c r="Q70" s="150"/>
      <c r="R70" s="150"/>
      <c r="S70" s="150"/>
      <c r="T70" s="150"/>
      <c r="U70" s="5"/>
      <c r="V70" s="5"/>
      <c r="W70" s="5"/>
      <c r="X70" s="5"/>
      <c r="Y70" s="5"/>
      <c r="Z70" s="5"/>
      <c r="AA70" s="5"/>
      <c r="AB70" s="5"/>
      <c r="AC70" s="5"/>
      <c r="AD70" s="5"/>
    </row>
    <row r="71" spans="1:30" s="105" customFormat="1" ht="13.2" x14ac:dyDescent="0.25">
      <c r="A71" s="149"/>
      <c r="B71" s="149"/>
      <c r="C71" s="149"/>
      <c r="D71" s="416"/>
      <c r="E71" s="416"/>
      <c r="F71" s="150"/>
      <c r="G71" s="150"/>
      <c r="H71" s="150"/>
      <c r="I71" s="150"/>
      <c r="J71" s="150"/>
      <c r="K71" s="150"/>
      <c r="L71" s="150"/>
      <c r="M71" s="150"/>
      <c r="N71" s="150"/>
      <c r="O71" s="150"/>
      <c r="P71" s="150"/>
      <c r="Q71" s="150"/>
      <c r="R71" s="150"/>
      <c r="S71" s="150"/>
      <c r="T71" s="150"/>
      <c r="U71" s="5"/>
      <c r="V71" s="5"/>
      <c r="W71" s="5"/>
      <c r="X71" s="5"/>
      <c r="Y71" s="5"/>
      <c r="Z71" s="5"/>
      <c r="AA71" s="5"/>
      <c r="AB71" s="5"/>
      <c r="AC71" s="5"/>
      <c r="AD71" s="5"/>
    </row>
    <row r="72" spans="1:30" s="105" customFormat="1" ht="13.2" x14ac:dyDescent="0.25">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row>
    <row r="73" spans="1:30" x14ac:dyDescent="0.2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sheetData>
  <mergeCells count="3">
    <mergeCell ref="N17:S17"/>
    <mergeCell ref="A1:K1"/>
    <mergeCell ref="K16:K40"/>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FC53F-1807-4559-8373-63C735E89DB9}">
  <sheetPr codeName="Sheet7"/>
  <dimension ref="A1:R25"/>
  <sheetViews>
    <sheetView zoomScale="85" zoomScaleNormal="85" workbookViewId="0">
      <selection sqref="A1:R1"/>
    </sheetView>
  </sheetViews>
  <sheetFormatPr defaultRowHeight="14.4" x14ac:dyDescent="0.3"/>
  <cols>
    <col min="1" max="1" width="57.88671875" customWidth="1"/>
    <col min="18" max="18" width="35.33203125" customWidth="1"/>
  </cols>
  <sheetData>
    <row r="1" spans="1:18" ht="31.2" customHeight="1" x14ac:dyDescent="0.3">
      <c r="A1" s="643" t="s">
        <v>438</v>
      </c>
      <c r="B1" s="643"/>
      <c r="C1" s="643"/>
      <c r="D1" s="643"/>
      <c r="E1" s="643"/>
      <c r="F1" s="643"/>
      <c r="G1" s="643"/>
      <c r="H1" s="643"/>
      <c r="I1" s="643"/>
      <c r="J1" s="643"/>
      <c r="K1" s="643"/>
      <c r="L1" s="643"/>
      <c r="M1" s="643"/>
      <c r="N1" s="643"/>
      <c r="O1" s="643"/>
      <c r="P1" s="643"/>
      <c r="Q1" s="643"/>
      <c r="R1" s="643"/>
    </row>
    <row r="2" spans="1:18" ht="25.95" customHeight="1" thickBot="1" x14ac:dyDescent="0.35">
      <c r="A2" s="121" t="s">
        <v>439</v>
      </c>
      <c r="B2" s="122" t="s">
        <v>286</v>
      </c>
      <c r="C2" s="122" t="s">
        <v>287</v>
      </c>
      <c r="D2" s="122" t="s">
        <v>288</v>
      </c>
      <c r="E2" s="122" t="s">
        <v>289</v>
      </c>
      <c r="F2" s="122" t="s">
        <v>290</v>
      </c>
      <c r="G2" s="122" t="s">
        <v>291</v>
      </c>
      <c r="H2" s="122" t="s">
        <v>292</v>
      </c>
      <c r="I2" s="122" t="s">
        <v>293</v>
      </c>
      <c r="J2" s="122" t="s">
        <v>294</v>
      </c>
      <c r="K2" s="122" t="s">
        <v>295</v>
      </c>
      <c r="L2" s="122" t="s">
        <v>296</v>
      </c>
      <c r="M2" s="122" t="s">
        <v>297</v>
      </c>
      <c r="N2" s="122" t="s">
        <v>298</v>
      </c>
      <c r="O2" s="122" t="s">
        <v>299</v>
      </c>
      <c r="P2" s="122" t="s">
        <v>300</v>
      </c>
      <c r="Q2" s="122" t="s">
        <v>301</v>
      </c>
      <c r="R2" s="122" t="s">
        <v>271</v>
      </c>
    </row>
    <row r="3" spans="1:18" ht="26.4" customHeight="1" x14ac:dyDescent="0.3">
      <c r="A3" s="123" t="s">
        <v>440</v>
      </c>
      <c r="B3" s="120">
        <v>70</v>
      </c>
      <c r="C3" s="120">
        <v>70</v>
      </c>
      <c r="D3" s="120">
        <v>70</v>
      </c>
      <c r="E3" s="120">
        <v>70</v>
      </c>
      <c r="F3" s="120">
        <v>70</v>
      </c>
      <c r="G3" s="120">
        <v>70</v>
      </c>
      <c r="H3" s="120">
        <v>70</v>
      </c>
      <c r="I3" s="120">
        <v>70</v>
      </c>
      <c r="J3" s="120">
        <v>70</v>
      </c>
      <c r="K3" s="120">
        <v>70</v>
      </c>
      <c r="L3" s="120">
        <v>70</v>
      </c>
      <c r="M3" s="120">
        <v>70</v>
      </c>
      <c r="N3" s="120">
        <v>70</v>
      </c>
      <c r="O3" s="120">
        <v>70</v>
      </c>
      <c r="P3" s="120">
        <v>70</v>
      </c>
      <c r="Q3" s="120">
        <v>70</v>
      </c>
      <c r="R3" s="712" t="s">
        <v>441</v>
      </c>
    </row>
    <row r="4" spans="1:18" ht="26.4" customHeight="1" x14ac:dyDescent="0.3">
      <c r="A4" s="124" t="s">
        <v>442</v>
      </c>
      <c r="B4" s="593">
        <v>60</v>
      </c>
      <c r="C4" s="593">
        <v>60</v>
      </c>
      <c r="D4" s="593">
        <v>60</v>
      </c>
      <c r="E4" s="593">
        <v>60</v>
      </c>
      <c r="F4" s="593">
        <v>60</v>
      </c>
      <c r="G4" s="593">
        <v>60</v>
      </c>
      <c r="H4" s="593">
        <v>60</v>
      </c>
      <c r="I4" s="593">
        <v>60</v>
      </c>
      <c r="J4" s="593">
        <v>60</v>
      </c>
      <c r="K4" s="593">
        <v>60</v>
      </c>
      <c r="L4" s="593">
        <v>60</v>
      </c>
      <c r="M4" s="593">
        <v>60</v>
      </c>
      <c r="N4" s="593">
        <v>60</v>
      </c>
      <c r="O4" s="593">
        <v>60</v>
      </c>
      <c r="P4" s="593">
        <v>60</v>
      </c>
      <c r="Q4" s="593">
        <v>60</v>
      </c>
      <c r="R4" s="713"/>
    </row>
    <row r="5" spans="1:18" ht="26.4" customHeight="1" x14ac:dyDescent="0.3">
      <c r="A5" s="124" t="s">
        <v>443</v>
      </c>
      <c r="B5" s="593">
        <v>75</v>
      </c>
      <c r="C5" s="593">
        <v>75</v>
      </c>
      <c r="D5" s="593">
        <v>75</v>
      </c>
      <c r="E5" s="593">
        <v>75</v>
      </c>
      <c r="F5" s="593">
        <v>75</v>
      </c>
      <c r="G5" s="593">
        <v>75</v>
      </c>
      <c r="H5" s="593">
        <v>75</v>
      </c>
      <c r="I5" s="593">
        <v>75</v>
      </c>
      <c r="J5" s="593">
        <v>75</v>
      </c>
      <c r="K5" s="593">
        <v>75</v>
      </c>
      <c r="L5" s="593">
        <v>75</v>
      </c>
      <c r="M5" s="593">
        <v>75</v>
      </c>
      <c r="N5" s="593">
        <v>75</v>
      </c>
      <c r="O5" s="593">
        <v>75</v>
      </c>
      <c r="P5" s="593">
        <v>75</v>
      </c>
      <c r="Q5" s="593">
        <v>75</v>
      </c>
      <c r="R5" s="713"/>
    </row>
    <row r="6" spans="1:18" ht="26.4" customHeight="1" thickBot="1" x14ac:dyDescent="0.35">
      <c r="A6" s="126" t="s">
        <v>444</v>
      </c>
      <c r="B6" s="417">
        <v>85</v>
      </c>
      <c r="C6" s="417">
        <v>85</v>
      </c>
      <c r="D6" s="417">
        <v>85</v>
      </c>
      <c r="E6" s="417">
        <v>85</v>
      </c>
      <c r="F6" s="417">
        <v>85</v>
      </c>
      <c r="G6" s="417">
        <v>85</v>
      </c>
      <c r="H6" s="417">
        <v>85</v>
      </c>
      <c r="I6" s="417">
        <v>85</v>
      </c>
      <c r="J6" s="417">
        <v>85</v>
      </c>
      <c r="K6" s="417">
        <v>85</v>
      </c>
      <c r="L6" s="417">
        <v>85</v>
      </c>
      <c r="M6" s="417">
        <v>85</v>
      </c>
      <c r="N6" s="417">
        <v>85</v>
      </c>
      <c r="O6" s="417">
        <v>85</v>
      </c>
      <c r="P6" s="417">
        <v>85</v>
      </c>
      <c r="Q6" s="417">
        <v>85</v>
      </c>
      <c r="R6" s="714"/>
    </row>
    <row r="7" spans="1:18" ht="26.4" customHeight="1" x14ac:dyDescent="0.3">
      <c r="A7" s="123" t="s">
        <v>445</v>
      </c>
      <c r="B7" s="120">
        <v>68</v>
      </c>
      <c r="C7" s="120">
        <v>68</v>
      </c>
      <c r="D7" s="120">
        <v>68</v>
      </c>
      <c r="E7" s="120">
        <v>68</v>
      </c>
      <c r="F7" s="120">
        <v>68</v>
      </c>
      <c r="G7" s="120">
        <v>68</v>
      </c>
      <c r="H7" s="120">
        <v>68</v>
      </c>
      <c r="I7" s="120">
        <v>68</v>
      </c>
      <c r="J7" s="120">
        <v>68</v>
      </c>
      <c r="K7" s="120">
        <v>68</v>
      </c>
      <c r="L7" s="120">
        <v>68</v>
      </c>
      <c r="M7" s="120">
        <v>68</v>
      </c>
      <c r="N7" s="120">
        <v>68</v>
      </c>
      <c r="O7" s="120">
        <v>68</v>
      </c>
      <c r="P7" s="120">
        <v>68</v>
      </c>
      <c r="Q7" s="120">
        <v>68</v>
      </c>
      <c r="R7" s="712" t="s">
        <v>446</v>
      </c>
    </row>
    <row r="8" spans="1:18" ht="26.4" customHeight="1" x14ac:dyDescent="0.3">
      <c r="A8" s="124" t="s">
        <v>447</v>
      </c>
      <c r="B8" s="593">
        <v>68</v>
      </c>
      <c r="C8" s="593">
        <v>68</v>
      </c>
      <c r="D8" s="593">
        <v>68</v>
      </c>
      <c r="E8" s="593">
        <v>68</v>
      </c>
      <c r="F8" s="593">
        <v>68</v>
      </c>
      <c r="G8" s="593">
        <v>68</v>
      </c>
      <c r="H8" s="593">
        <v>68</v>
      </c>
      <c r="I8" s="593">
        <v>68</v>
      </c>
      <c r="J8" s="593">
        <v>68</v>
      </c>
      <c r="K8" s="593">
        <v>68</v>
      </c>
      <c r="L8" s="593">
        <v>68</v>
      </c>
      <c r="M8" s="593">
        <v>68</v>
      </c>
      <c r="N8" s="593">
        <v>68</v>
      </c>
      <c r="O8" s="593">
        <v>68</v>
      </c>
      <c r="P8" s="593">
        <v>68</v>
      </c>
      <c r="Q8" s="593">
        <v>68</v>
      </c>
      <c r="R8" s="713"/>
    </row>
    <row r="9" spans="1:18" ht="26.4" customHeight="1" x14ac:dyDescent="0.3">
      <c r="A9" s="124" t="s">
        <v>448</v>
      </c>
      <c r="B9" s="593">
        <v>78</v>
      </c>
      <c r="C9" s="593">
        <v>78</v>
      </c>
      <c r="D9" s="593">
        <v>78</v>
      </c>
      <c r="E9" s="593">
        <v>78</v>
      </c>
      <c r="F9" s="593">
        <v>78</v>
      </c>
      <c r="G9" s="593">
        <v>78</v>
      </c>
      <c r="H9" s="593">
        <v>78</v>
      </c>
      <c r="I9" s="593">
        <v>78</v>
      </c>
      <c r="J9" s="593">
        <v>78</v>
      </c>
      <c r="K9" s="593">
        <v>78</v>
      </c>
      <c r="L9" s="593">
        <v>78</v>
      </c>
      <c r="M9" s="593">
        <v>78</v>
      </c>
      <c r="N9" s="593">
        <v>78</v>
      </c>
      <c r="O9" s="593">
        <v>78</v>
      </c>
      <c r="P9" s="593">
        <v>78</v>
      </c>
      <c r="Q9" s="593">
        <v>78</v>
      </c>
      <c r="R9" s="713"/>
    </row>
    <row r="10" spans="1:18" ht="26.4" customHeight="1" thickBot="1" x14ac:dyDescent="0.35">
      <c r="A10" s="126" t="s">
        <v>449</v>
      </c>
      <c r="B10" s="417">
        <v>78</v>
      </c>
      <c r="C10" s="417">
        <v>78</v>
      </c>
      <c r="D10" s="417">
        <v>78</v>
      </c>
      <c r="E10" s="417">
        <v>78</v>
      </c>
      <c r="F10" s="417">
        <v>78</v>
      </c>
      <c r="G10" s="417">
        <v>78</v>
      </c>
      <c r="H10" s="417">
        <v>78</v>
      </c>
      <c r="I10" s="417">
        <v>78</v>
      </c>
      <c r="J10" s="417">
        <v>78</v>
      </c>
      <c r="K10" s="417">
        <v>78</v>
      </c>
      <c r="L10" s="417">
        <v>78</v>
      </c>
      <c r="M10" s="417">
        <v>78</v>
      </c>
      <c r="N10" s="417">
        <v>78</v>
      </c>
      <c r="O10" s="417">
        <v>78</v>
      </c>
      <c r="P10" s="417">
        <v>78</v>
      </c>
      <c r="Q10" s="417">
        <v>78</v>
      </c>
      <c r="R10" s="714"/>
    </row>
    <row r="11" spans="1:18" ht="27" customHeight="1" x14ac:dyDescent="0.3">
      <c r="A11" s="123" t="s">
        <v>450</v>
      </c>
      <c r="B11" s="120">
        <v>70</v>
      </c>
      <c r="C11" s="120">
        <v>70</v>
      </c>
      <c r="D11" s="120">
        <v>70</v>
      </c>
      <c r="E11" s="120">
        <v>70</v>
      </c>
      <c r="F11" s="120">
        <v>70</v>
      </c>
      <c r="G11" s="120">
        <v>70</v>
      </c>
      <c r="H11" s="120">
        <v>70</v>
      </c>
      <c r="I11" s="120">
        <v>70</v>
      </c>
      <c r="J11" s="120">
        <v>70</v>
      </c>
      <c r="K11" s="120">
        <v>70</v>
      </c>
      <c r="L11" s="120">
        <v>70</v>
      </c>
      <c r="M11" s="120">
        <v>70</v>
      </c>
      <c r="N11" s="120">
        <v>70</v>
      </c>
      <c r="O11" s="120">
        <v>70</v>
      </c>
      <c r="P11" s="120">
        <v>70</v>
      </c>
      <c r="Q11" s="120">
        <v>70</v>
      </c>
      <c r="R11" s="242"/>
    </row>
    <row r="12" spans="1:18" ht="27" customHeight="1" x14ac:dyDescent="0.3">
      <c r="A12" s="124" t="s">
        <v>451</v>
      </c>
      <c r="B12" s="593">
        <v>70</v>
      </c>
      <c r="C12" s="593">
        <v>70</v>
      </c>
      <c r="D12" s="593">
        <v>70</v>
      </c>
      <c r="E12" s="593">
        <v>70</v>
      </c>
      <c r="F12" s="593">
        <v>70</v>
      </c>
      <c r="G12" s="593">
        <v>70</v>
      </c>
      <c r="H12" s="593">
        <v>70</v>
      </c>
      <c r="I12" s="593">
        <v>70</v>
      </c>
      <c r="J12" s="593">
        <v>70</v>
      </c>
      <c r="K12" s="593">
        <v>70</v>
      </c>
      <c r="L12" s="593">
        <v>70</v>
      </c>
      <c r="M12" s="593">
        <v>70</v>
      </c>
      <c r="N12" s="593">
        <v>70</v>
      </c>
      <c r="O12" s="593">
        <v>70</v>
      </c>
      <c r="P12" s="593">
        <v>70</v>
      </c>
      <c r="Q12" s="593">
        <v>70</v>
      </c>
      <c r="R12" s="243"/>
    </row>
    <row r="13" spans="1:18" ht="27" customHeight="1" x14ac:dyDescent="0.3">
      <c r="A13" s="124" t="s">
        <v>452</v>
      </c>
      <c r="B13" s="593">
        <v>72</v>
      </c>
      <c r="C13" s="593">
        <v>72</v>
      </c>
      <c r="D13" s="593">
        <v>72</v>
      </c>
      <c r="E13" s="593">
        <v>72</v>
      </c>
      <c r="F13" s="593">
        <v>72</v>
      </c>
      <c r="G13" s="593">
        <v>72</v>
      </c>
      <c r="H13" s="593">
        <v>72</v>
      </c>
      <c r="I13" s="593">
        <v>72</v>
      </c>
      <c r="J13" s="593">
        <v>72</v>
      </c>
      <c r="K13" s="593">
        <v>72</v>
      </c>
      <c r="L13" s="593">
        <v>72</v>
      </c>
      <c r="M13" s="593">
        <v>72</v>
      </c>
      <c r="N13" s="593">
        <v>72</v>
      </c>
      <c r="O13" s="593">
        <v>72</v>
      </c>
      <c r="P13" s="593">
        <v>72</v>
      </c>
      <c r="Q13" s="593">
        <v>72</v>
      </c>
      <c r="R13" s="244" t="s">
        <v>453</v>
      </c>
    </row>
    <row r="14" spans="1:18" ht="27" customHeight="1" x14ac:dyDescent="0.3">
      <c r="A14" s="125" t="s">
        <v>454</v>
      </c>
      <c r="B14" s="241">
        <v>72</v>
      </c>
      <c r="C14" s="241">
        <v>72</v>
      </c>
      <c r="D14" s="241">
        <v>72</v>
      </c>
      <c r="E14" s="241">
        <v>72</v>
      </c>
      <c r="F14" s="241">
        <v>72</v>
      </c>
      <c r="G14" s="241">
        <v>72</v>
      </c>
      <c r="H14" s="241">
        <v>72</v>
      </c>
      <c r="I14" s="241">
        <v>72</v>
      </c>
      <c r="J14" s="241">
        <v>72</v>
      </c>
      <c r="K14" s="241">
        <v>72</v>
      </c>
      <c r="L14" s="241">
        <v>72</v>
      </c>
      <c r="M14" s="241">
        <v>72</v>
      </c>
      <c r="N14" s="241">
        <v>72</v>
      </c>
      <c r="O14" s="241">
        <v>72</v>
      </c>
      <c r="P14" s="241">
        <v>72</v>
      </c>
      <c r="Q14" s="241">
        <v>72</v>
      </c>
      <c r="R14" s="245" t="s">
        <v>455</v>
      </c>
    </row>
    <row r="15" spans="1:18" ht="27" customHeight="1" x14ac:dyDescent="0.3">
      <c r="A15" s="531" t="s">
        <v>456</v>
      </c>
      <c r="B15" s="532">
        <v>60</v>
      </c>
      <c r="C15" s="532">
        <v>60</v>
      </c>
      <c r="D15" s="532">
        <v>60</v>
      </c>
      <c r="E15" s="532">
        <v>60</v>
      </c>
      <c r="F15" s="532">
        <v>60</v>
      </c>
      <c r="G15" s="532">
        <v>60</v>
      </c>
      <c r="H15" s="532">
        <v>60</v>
      </c>
      <c r="I15" s="532">
        <v>60</v>
      </c>
      <c r="J15" s="532">
        <v>60</v>
      </c>
      <c r="K15" s="532">
        <v>60</v>
      </c>
      <c r="L15" s="532">
        <v>60</v>
      </c>
      <c r="M15" s="532">
        <v>60</v>
      </c>
      <c r="N15" s="532">
        <v>60</v>
      </c>
      <c r="O15" s="532">
        <v>60</v>
      </c>
      <c r="P15" s="532">
        <v>60</v>
      </c>
      <c r="Q15" s="533">
        <v>60</v>
      </c>
      <c r="R15" s="715" t="s">
        <v>457</v>
      </c>
    </row>
    <row r="16" spans="1:18" ht="27" customHeight="1" x14ac:dyDescent="0.3">
      <c r="A16" s="534" t="s">
        <v>458</v>
      </c>
      <c r="B16" s="592">
        <v>60</v>
      </c>
      <c r="C16" s="592">
        <v>60</v>
      </c>
      <c r="D16" s="592">
        <v>60</v>
      </c>
      <c r="E16" s="592">
        <v>60</v>
      </c>
      <c r="F16" s="592">
        <v>60</v>
      </c>
      <c r="G16" s="592">
        <v>60</v>
      </c>
      <c r="H16" s="592">
        <v>60</v>
      </c>
      <c r="I16" s="592">
        <v>60</v>
      </c>
      <c r="J16" s="592">
        <v>60</v>
      </c>
      <c r="K16" s="592">
        <v>60</v>
      </c>
      <c r="L16" s="592">
        <v>60</v>
      </c>
      <c r="M16" s="592">
        <v>60</v>
      </c>
      <c r="N16" s="592">
        <v>60</v>
      </c>
      <c r="O16" s="592">
        <v>60</v>
      </c>
      <c r="P16" s="592">
        <v>60</v>
      </c>
      <c r="Q16" s="535">
        <v>60</v>
      </c>
      <c r="R16" s="716"/>
    </row>
    <row r="17" spans="1:18" ht="27" customHeight="1" x14ac:dyDescent="0.3">
      <c r="A17" s="534" t="s">
        <v>459</v>
      </c>
      <c r="B17" s="592">
        <v>85</v>
      </c>
      <c r="C17" s="592">
        <v>85</v>
      </c>
      <c r="D17" s="592">
        <v>85</v>
      </c>
      <c r="E17" s="592">
        <v>85</v>
      </c>
      <c r="F17" s="592">
        <v>85</v>
      </c>
      <c r="G17" s="592">
        <v>85</v>
      </c>
      <c r="H17" s="592">
        <v>85</v>
      </c>
      <c r="I17" s="592">
        <v>85</v>
      </c>
      <c r="J17" s="592">
        <v>85</v>
      </c>
      <c r="K17" s="592">
        <v>85</v>
      </c>
      <c r="L17" s="592">
        <v>85</v>
      </c>
      <c r="M17" s="592">
        <v>85</v>
      </c>
      <c r="N17" s="592">
        <v>85</v>
      </c>
      <c r="O17" s="592">
        <v>85</v>
      </c>
      <c r="P17" s="592">
        <v>85</v>
      </c>
      <c r="Q17" s="535">
        <v>85</v>
      </c>
      <c r="R17" s="716"/>
    </row>
    <row r="18" spans="1:18" ht="27" customHeight="1" x14ac:dyDescent="0.3">
      <c r="A18" s="536" t="s">
        <v>460</v>
      </c>
      <c r="B18" s="537">
        <v>85</v>
      </c>
      <c r="C18" s="537">
        <v>85</v>
      </c>
      <c r="D18" s="537">
        <v>85</v>
      </c>
      <c r="E18" s="537">
        <v>85</v>
      </c>
      <c r="F18" s="537">
        <v>85</v>
      </c>
      <c r="G18" s="537">
        <v>85</v>
      </c>
      <c r="H18" s="537">
        <v>85</v>
      </c>
      <c r="I18" s="537">
        <v>85</v>
      </c>
      <c r="J18" s="537">
        <v>85</v>
      </c>
      <c r="K18" s="537">
        <v>85</v>
      </c>
      <c r="L18" s="537">
        <v>85</v>
      </c>
      <c r="M18" s="537">
        <v>85</v>
      </c>
      <c r="N18" s="537">
        <v>85</v>
      </c>
      <c r="O18" s="537">
        <v>85</v>
      </c>
      <c r="P18" s="537">
        <v>85</v>
      </c>
      <c r="Q18" s="538">
        <v>85</v>
      </c>
      <c r="R18" s="717"/>
    </row>
    <row r="19" spans="1:18" ht="27" customHeight="1" x14ac:dyDescent="0.3">
      <c r="A19" s="598"/>
      <c r="B19" s="7"/>
      <c r="C19" s="7"/>
      <c r="D19" s="7"/>
      <c r="E19" s="7"/>
      <c r="F19" s="7"/>
      <c r="G19" s="7"/>
      <c r="H19" s="7"/>
      <c r="I19" s="7"/>
      <c r="J19" s="7"/>
      <c r="K19" s="7"/>
      <c r="L19" s="7"/>
      <c r="M19" s="7"/>
      <c r="N19" s="7"/>
      <c r="O19" s="7"/>
      <c r="P19" s="7"/>
      <c r="Q19" s="7"/>
      <c r="R19" s="529"/>
    </row>
    <row r="20" spans="1:18" ht="27" customHeight="1" x14ac:dyDescent="0.3">
      <c r="A20" s="598"/>
      <c r="B20" s="7"/>
      <c r="C20" s="7"/>
      <c r="D20" s="7"/>
      <c r="E20" s="7"/>
      <c r="F20" s="7"/>
      <c r="G20" s="7"/>
      <c r="H20" s="7"/>
      <c r="I20" s="7"/>
      <c r="J20" s="7"/>
      <c r="K20" s="7"/>
      <c r="L20" s="7"/>
      <c r="M20" s="7"/>
      <c r="N20" s="7"/>
      <c r="O20" s="7"/>
      <c r="P20" s="7"/>
      <c r="Q20" s="7"/>
      <c r="R20" s="529"/>
    </row>
    <row r="21" spans="1:18" ht="32.25" customHeight="1" x14ac:dyDescent="0.3">
      <c r="A21" s="144" t="s">
        <v>461</v>
      </c>
      <c r="B21" s="597"/>
      <c r="C21" s="597"/>
      <c r="D21" s="597"/>
      <c r="E21" s="597"/>
      <c r="F21" s="597"/>
      <c r="G21" s="597"/>
      <c r="H21" s="597"/>
      <c r="I21" s="597"/>
      <c r="J21" s="597"/>
      <c r="K21" s="597"/>
      <c r="L21" s="597"/>
      <c r="M21" s="597"/>
      <c r="N21" s="597"/>
      <c r="O21" s="597"/>
      <c r="P21" s="597"/>
      <c r="Q21" s="597"/>
      <c r="R21" s="3"/>
    </row>
    <row r="22" spans="1:18" x14ac:dyDescent="0.3">
      <c r="A22" s="5" t="s">
        <v>462</v>
      </c>
      <c r="B22" s="5"/>
      <c r="C22" s="5"/>
      <c r="D22" s="5"/>
      <c r="E22" s="5"/>
      <c r="F22" s="5"/>
      <c r="G22" s="5"/>
      <c r="H22" s="5"/>
      <c r="I22" s="5"/>
      <c r="J22" s="5"/>
      <c r="K22" s="5"/>
      <c r="L22" s="5"/>
      <c r="M22" s="5"/>
      <c r="N22" s="3"/>
      <c r="O22" s="3"/>
      <c r="P22" s="3"/>
      <c r="Q22" s="3"/>
      <c r="R22" s="3"/>
    </row>
    <row r="23" spans="1:18" ht="20.25" customHeight="1" x14ac:dyDescent="0.3">
      <c r="A23" s="5" t="s">
        <v>463</v>
      </c>
      <c r="B23" s="5"/>
      <c r="C23" s="5"/>
      <c r="D23" s="5"/>
      <c r="E23" s="5"/>
      <c r="F23" s="5"/>
      <c r="G23" s="5"/>
      <c r="H23" s="5"/>
      <c r="I23" s="5"/>
      <c r="J23" s="5"/>
      <c r="K23" s="5"/>
      <c r="L23" s="5"/>
      <c r="M23" s="5"/>
      <c r="N23" s="3"/>
      <c r="O23" s="3"/>
      <c r="P23" s="3"/>
      <c r="Q23" s="3"/>
      <c r="R23" s="3"/>
    </row>
    <row r="24" spans="1:18" x14ac:dyDescent="0.3">
      <c r="A24" s="598" t="s">
        <v>464</v>
      </c>
      <c r="B24" s="5"/>
      <c r="C24" s="5"/>
      <c r="D24" s="5"/>
      <c r="E24" s="5"/>
      <c r="F24" s="5"/>
      <c r="G24" s="5"/>
      <c r="H24" s="5"/>
      <c r="I24" s="5"/>
      <c r="J24" s="5"/>
      <c r="K24" s="5"/>
      <c r="L24" s="5"/>
      <c r="M24" s="5"/>
      <c r="N24" s="3"/>
      <c r="O24" s="3"/>
      <c r="P24" s="3"/>
      <c r="Q24" s="3"/>
      <c r="R24" s="3"/>
    </row>
    <row r="25" spans="1:18" x14ac:dyDescent="0.3">
      <c r="A25" s="348"/>
      <c r="B25" s="218"/>
      <c r="C25" s="218"/>
      <c r="D25" s="218"/>
      <c r="E25" s="218"/>
      <c r="F25" s="218"/>
      <c r="G25" s="218"/>
      <c r="H25" s="218"/>
      <c r="I25" s="218"/>
      <c r="J25" s="218"/>
      <c r="K25" s="218"/>
      <c r="L25" s="218"/>
      <c r="M25" s="218"/>
    </row>
  </sheetData>
  <mergeCells count="4">
    <mergeCell ref="A1:R1"/>
    <mergeCell ref="R3:R6"/>
    <mergeCell ref="R7:R10"/>
    <mergeCell ref="R15:R1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F5790-0C35-4913-885D-5C56A06EADAC}">
  <dimension ref="A1:BI175"/>
  <sheetViews>
    <sheetView zoomScaleNormal="100" workbookViewId="0">
      <selection sqref="A1:G1"/>
    </sheetView>
  </sheetViews>
  <sheetFormatPr defaultColWidth="8.6640625" defaultRowHeight="13.2" x14ac:dyDescent="0.25"/>
  <cols>
    <col min="1" max="1" width="35.88671875" style="5" customWidth="1"/>
    <col min="2" max="2" width="29.6640625" style="5" customWidth="1"/>
    <col min="3" max="3" width="23.109375" style="5" customWidth="1"/>
    <col min="4" max="4" width="33" style="5" customWidth="1"/>
    <col min="5" max="5" width="32.44140625" style="5" customWidth="1"/>
    <col min="6" max="6" width="25.5546875" style="5" customWidth="1"/>
    <col min="7" max="7" width="23" style="5" customWidth="1"/>
    <col min="8" max="8" width="27.44140625" style="5" customWidth="1"/>
    <col min="9" max="10" width="23" style="5" customWidth="1"/>
    <col min="11" max="11" width="19" style="5" customWidth="1"/>
    <col min="12" max="12" width="8.6640625" style="5" customWidth="1"/>
    <col min="13" max="13" width="12.33203125" style="5" customWidth="1"/>
    <col min="14" max="14" width="13.33203125" style="5" customWidth="1"/>
    <col min="15" max="15" width="15.33203125" style="5" customWidth="1"/>
    <col min="16" max="16" width="11" style="5" customWidth="1"/>
    <col min="17" max="20" width="15.33203125" style="5" customWidth="1"/>
    <col min="21" max="21" width="7.6640625" style="5" hidden="1" customWidth="1"/>
    <col min="22" max="22" width="12.44140625" style="5" hidden="1" customWidth="1"/>
    <col min="23" max="38" width="6.5546875" style="5" hidden="1" customWidth="1"/>
    <col min="39" max="39" width="15.33203125" style="5" customWidth="1"/>
    <col min="40" max="40" width="11.33203125" style="5" customWidth="1"/>
    <col min="41" max="41" width="6.33203125" style="5" customWidth="1"/>
    <col min="42" max="45" width="4.6640625" style="5" customWidth="1"/>
    <col min="46" max="46" width="6.33203125" style="5" customWidth="1"/>
    <col min="47" max="61" width="4.6640625" style="5" customWidth="1"/>
    <col min="62" max="16384" width="8.6640625" style="5"/>
  </cols>
  <sheetData>
    <row r="1" spans="1:45" ht="24" customHeight="1" x14ac:dyDescent="0.25">
      <c r="A1" s="720" t="s">
        <v>468</v>
      </c>
      <c r="B1" s="721"/>
      <c r="C1" s="721"/>
      <c r="D1" s="721"/>
      <c r="E1" s="721"/>
      <c r="F1" s="721"/>
      <c r="G1" s="721"/>
    </row>
    <row r="2" spans="1:45" ht="22.35" customHeight="1" x14ac:dyDescent="0.25">
      <c r="A2" s="340" t="s">
        <v>284</v>
      </c>
      <c r="B2" s="340" t="s">
        <v>469</v>
      </c>
      <c r="C2" s="340" t="s">
        <v>470</v>
      </c>
      <c r="D2" s="434" t="s">
        <v>471</v>
      </c>
      <c r="E2" s="434" t="s">
        <v>472</v>
      </c>
      <c r="F2" s="434" t="s">
        <v>473</v>
      </c>
      <c r="G2" s="434" t="s">
        <v>271</v>
      </c>
      <c r="H2" s="378"/>
    </row>
    <row r="3" spans="1:45" ht="61.5" customHeight="1" x14ac:dyDescent="0.25">
      <c r="A3" s="591" t="s">
        <v>474</v>
      </c>
      <c r="B3" s="591" t="s">
        <v>420</v>
      </c>
      <c r="C3" s="379">
        <v>0.8</v>
      </c>
      <c r="D3" s="500">
        <v>1</v>
      </c>
      <c r="E3" s="594" t="s">
        <v>475</v>
      </c>
      <c r="F3" s="594" t="s">
        <v>476</v>
      </c>
      <c r="G3" s="594" t="s">
        <v>477</v>
      </c>
      <c r="H3" s="380"/>
    </row>
    <row r="4" spans="1:45" ht="63.75" customHeight="1" x14ac:dyDescent="0.25">
      <c r="A4" s="591" t="s">
        <v>374</v>
      </c>
      <c r="B4" s="591" t="s">
        <v>420</v>
      </c>
      <c r="C4" s="379">
        <v>0.8</v>
      </c>
      <c r="D4" s="500">
        <v>1</v>
      </c>
      <c r="E4" s="594" t="s">
        <v>475</v>
      </c>
      <c r="F4" s="594" t="s">
        <v>478</v>
      </c>
      <c r="G4" s="594" t="s">
        <v>477</v>
      </c>
      <c r="H4" s="380"/>
    </row>
    <row r="5" spans="1:45" ht="27" customHeight="1" x14ac:dyDescent="0.25"/>
    <row r="6" spans="1:45" ht="16.2" customHeight="1" x14ac:dyDescent="0.25">
      <c r="A6" s="728" t="s">
        <v>479</v>
      </c>
      <c r="B6" s="729"/>
      <c r="C6" s="729"/>
      <c r="D6" s="729"/>
      <c r="E6" s="729"/>
      <c r="F6" s="729"/>
      <c r="G6" s="729"/>
      <c r="H6" s="730"/>
    </row>
    <row r="7" spans="1:45" ht="54.6" customHeight="1" x14ac:dyDescent="0.3">
      <c r="A7" s="402" t="s">
        <v>423</v>
      </c>
      <c r="B7" s="210" t="s">
        <v>480</v>
      </c>
      <c r="C7" s="211" t="s">
        <v>481</v>
      </c>
      <c r="D7" s="211" t="s">
        <v>424</v>
      </c>
      <c r="E7" s="211" t="s">
        <v>482</v>
      </c>
      <c r="F7" s="211" t="s">
        <v>483</v>
      </c>
      <c r="G7" s="211" t="s">
        <v>484</v>
      </c>
      <c r="H7" s="121" t="s">
        <v>367</v>
      </c>
      <c r="I7"/>
      <c r="J7"/>
      <c r="K7"/>
      <c r="L7"/>
      <c r="M7"/>
      <c r="N7"/>
      <c r="O7"/>
      <c r="P7"/>
      <c r="Q7"/>
      <c r="R7"/>
      <c r="S7"/>
      <c r="T7"/>
      <c r="AM7"/>
      <c r="AN7"/>
      <c r="AO7"/>
      <c r="AP7"/>
      <c r="AQ7"/>
      <c r="AR7"/>
      <c r="AS7"/>
    </row>
    <row r="8" spans="1:45" x14ac:dyDescent="0.25">
      <c r="A8" s="403" t="str">
        <f>Zones!B3</f>
        <v>Corridor_FloorG</v>
      </c>
      <c r="B8" s="189" t="s">
        <v>420</v>
      </c>
      <c r="C8" s="212">
        <f>Zones!H3</f>
        <v>1782.21</v>
      </c>
      <c r="D8" s="213">
        <f>Zones!K3</f>
        <v>8.9110499999999995</v>
      </c>
      <c r="E8" s="261">
        <v>0</v>
      </c>
      <c r="F8" s="262">
        <f>E8*D8</f>
        <v>0</v>
      </c>
      <c r="G8" s="381">
        <f>F8/60</f>
        <v>0</v>
      </c>
      <c r="H8" s="731" t="s">
        <v>485</v>
      </c>
    </row>
    <row r="9" spans="1:45" x14ac:dyDescent="0.25">
      <c r="A9" s="403" t="str">
        <f>Zones!B4</f>
        <v>Corridor_FloorM</v>
      </c>
      <c r="B9" s="189" t="s">
        <v>420</v>
      </c>
      <c r="C9" s="212">
        <f>Zones!H4</f>
        <v>1512.16</v>
      </c>
      <c r="D9" s="213">
        <f>Zones!K4</f>
        <v>7.5608000000000004</v>
      </c>
      <c r="E9" s="261">
        <v>0</v>
      </c>
      <c r="F9" s="262">
        <f t="shared" ref="F9:F55" si="0">E9*D9</f>
        <v>0</v>
      </c>
      <c r="G9" s="381">
        <f t="shared" ref="G9:G55" si="1">F9/60</f>
        <v>0</v>
      </c>
      <c r="H9" s="732"/>
    </row>
    <row r="10" spans="1:45" x14ac:dyDescent="0.25">
      <c r="A10" s="403" t="str">
        <f>Zones!B5</f>
        <v>Corridor_FloorT</v>
      </c>
      <c r="B10" s="189" t="s">
        <v>420</v>
      </c>
      <c r="C10" s="212">
        <f>Zones!H5</f>
        <v>1512.16</v>
      </c>
      <c r="D10" s="213">
        <f>Zones!K5</f>
        <v>7.5608000000000004</v>
      </c>
      <c r="E10" s="261">
        <v>0</v>
      </c>
      <c r="F10" s="262">
        <f t="shared" si="0"/>
        <v>0</v>
      </c>
      <c r="G10" s="381">
        <f t="shared" si="1"/>
        <v>0</v>
      </c>
      <c r="H10" s="733"/>
    </row>
    <row r="11" spans="1:45" x14ac:dyDescent="0.25">
      <c r="A11" s="403" t="str">
        <f>Zones!B6</f>
        <v>Lounge_FloorG</v>
      </c>
      <c r="B11" s="189" t="s">
        <v>420</v>
      </c>
      <c r="C11" s="212">
        <f>Zones!H6</f>
        <v>351.03</v>
      </c>
      <c r="D11" s="213">
        <f>Zones!K6</f>
        <v>11.583989999999998</v>
      </c>
      <c r="E11" s="214">
        <v>0.09</v>
      </c>
      <c r="F11" s="262">
        <f>E11*D11</f>
        <v>1.0425590999999998</v>
      </c>
      <c r="G11" s="264">
        <f t="shared" si="1"/>
        <v>1.7375984999999997E-2</v>
      </c>
      <c r="H11" s="734"/>
    </row>
    <row r="12" spans="1:45" ht="12.75" customHeight="1" x14ac:dyDescent="0.25">
      <c r="A12" s="403" t="str">
        <f>Zones!B7</f>
        <v>Gym_FloorG</v>
      </c>
      <c r="B12" s="189" t="s">
        <v>420</v>
      </c>
      <c r="C12" s="212">
        <v>351.03</v>
      </c>
      <c r="D12" s="213">
        <v>3.5102999999999995</v>
      </c>
      <c r="E12" s="214">
        <v>0.18</v>
      </c>
      <c r="F12" s="262">
        <f>E12*D12</f>
        <v>0.63185399999999992</v>
      </c>
      <c r="G12" s="264">
        <f>F12/60</f>
        <v>1.0530899999999999E-2</v>
      </c>
      <c r="H12" s="735"/>
    </row>
    <row r="13" spans="1:45" ht="12.75" customHeight="1" x14ac:dyDescent="0.25">
      <c r="A13" s="403" t="str">
        <f>Zones!B8</f>
        <v>Front_Lounge_FloorG</v>
      </c>
      <c r="B13" s="189" t="s">
        <v>420</v>
      </c>
      <c r="C13" s="212">
        <v>1755.3</v>
      </c>
      <c r="D13" s="213">
        <v>57.924899999999994</v>
      </c>
      <c r="E13" s="214">
        <v>0.09</v>
      </c>
      <c r="F13" s="262">
        <f t="shared" si="0"/>
        <v>5.2132409999999991</v>
      </c>
      <c r="G13" s="264">
        <f t="shared" si="1"/>
        <v>8.6887349999999988E-2</v>
      </c>
      <c r="H13" s="735"/>
    </row>
    <row r="14" spans="1:45" ht="12.75" customHeight="1" x14ac:dyDescent="0.25">
      <c r="A14" s="403" t="str">
        <f>Zones!B9</f>
        <v>Front_Office_FloorG</v>
      </c>
      <c r="B14" s="189" t="s">
        <v>420</v>
      </c>
      <c r="C14" s="212">
        <v>1404.14</v>
      </c>
      <c r="D14" s="213">
        <v>7.0207000000000006</v>
      </c>
      <c r="E14" s="214">
        <v>0.18</v>
      </c>
      <c r="F14" s="262">
        <f t="shared" si="0"/>
        <v>1.2637260000000001</v>
      </c>
      <c r="G14" s="264">
        <f t="shared" si="1"/>
        <v>2.1062100000000004E-2</v>
      </c>
      <c r="H14" s="735"/>
    </row>
    <row r="15" spans="1:45" x14ac:dyDescent="0.25">
      <c r="A15" s="403" t="str">
        <f>Zones!B10</f>
        <v>Front_Stair_FloorG</v>
      </c>
      <c r="B15" s="189" t="s">
        <v>420</v>
      </c>
      <c r="C15" s="212">
        <f>Zones!H10</f>
        <v>216.02</v>
      </c>
      <c r="D15" s="213">
        <f>Zones!K10</f>
        <v>0</v>
      </c>
      <c r="E15" s="261">
        <v>0</v>
      </c>
      <c r="F15" s="262">
        <f t="shared" si="0"/>
        <v>0</v>
      </c>
      <c r="G15" s="382">
        <f t="shared" si="1"/>
        <v>0</v>
      </c>
      <c r="H15" s="731"/>
    </row>
    <row r="16" spans="1:45" x14ac:dyDescent="0.25">
      <c r="A16" s="403" t="str">
        <f>Zones!B11</f>
        <v>Front_Stair_FloorM</v>
      </c>
      <c r="B16" s="189" t="s">
        <v>420</v>
      </c>
      <c r="C16" s="212">
        <f>Zones!H11</f>
        <v>216.02</v>
      </c>
      <c r="D16" s="213">
        <f>Zones!K11</f>
        <v>0</v>
      </c>
      <c r="E16" s="261">
        <v>0</v>
      </c>
      <c r="F16" s="262">
        <f t="shared" si="0"/>
        <v>0</v>
      </c>
      <c r="G16" s="382">
        <f t="shared" si="1"/>
        <v>0</v>
      </c>
      <c r="H16" s="732"/>
    </row>
    <row r="17" spans="1:8" x14ac:dyDescent="0.25">
      <c r="A17" s="403" t="str">
        <f>Zones!B12</f>
        <v>Front_Stair_FloorT</v>
      </c>
      <c r="B17" s="189" t="s">
        <v>420</v>
      </c>
      <c r="C17" s="212">
        <f>Zones!H12</f>
        <v>216.02</v>
      </c>
      <c r="D17" s="213">
        <f>Zones!K12</f>
        <v>0</v>
      </c>
      <c r="E17" s="261">
        <v>0</v>
      </c>
      <c r="F17" s="262">
        <f t="shared" si="0"/>
        <v>0</v>
      </c>
      <c r="G17" s="382">
        <f t="shared" si="1"/>
        <v>0</v>
      </c>
      <c r="H17" s="732"/>
    </row>
    <row r="18" spans="1:8" x14ac:dyDescent="0.25">
      <c r="A18" s="403" t="str">
        <f>Zones!B13</f>
        <v>Front_Storage_FloorG</v>
      </c>
      <c r="B18" s="189" t="s">
        <v>420</v>
      </c>
      <c r="C18" s="212">
        <f>Zones!H13</f>
        <v>135.01</v>
      </c>
      <c r="D18" s="213">
        <f>Zones!K13</f>
        <v>0.27001999999999998</v>
      </c>
      <c r="E18" s="261">
        <v>0</v>
      </c>
      <c r="F18" s="262">
        <f t="shared" si="0"/>
        <v>0</v>
      </c>
      <c r="G18" s="382">
        <f t="shared" si="1"/>
        <v>0</v>
      </c>
      <c r="H18" s="732"/>
    </row>
    <row r="19" spans="1:8" x14ac:dyDescent="0.25">
      <c r="A19" s="403" t="str">
        <f>Zones!B14</f>
        <v>Front_Storage_FloorM</v>
      </c>
      <c r="B19" s="189" t="s">
        <v>420</v>
      </c>
      <c r="C19" s="212">
        <f>Zones!H14</f>
        <v>135.01</v>
      </c>
      <c r="D19" s="213">
        <f>Zones!K14</f>
        <v>0.27001999999999998</v>
      </c>
      <c r="E19" s="261">
        <v>0</v>
      </c>
      <c r="F19" s="262">
        <f t="shared" si="0"/>
        <v>0</v>
      </c>
      <c r="G19" s="382">
        <f t="shared" si="1"/>
        <v>0</v>
      </c>
      <c r="H19" s="732"/>
    </row>
    <row r="20" spans="1:8" x14ac:dyDescent="0.25">
      <c r="A20" s="403" t="str">
        <f>Zones!B15</f>
        <v>Front_Storage_FloorT</v>
      </c>
      <c r="B20" s="189" t="s">
        <v>420</v>
      </c>
      <c r="C20" s="212">
        <f>Zones!H15</f>
        <v>135.01</v>
      </c>
      <c r="D20" s="213">
        <f>Zones!K15</f>
        <v>0.27001999999999998</v>
      </c>
      <c r="E20" s="261">
        <v>0</v>
      </c>
      <c r="F20" s="262">
        <f t="shared" si="0"/>
        <v>0</v>
      </c>
      <c r="G20" s="382">
        <f t="shared" si="1"/>
        <v>0</v>
      </c>
      <c r="H20" s="733"/>
    </row>
    <row r="21" spans="1:8" ht="12.75" customHeight="1" x14ac:dyDescent="0.25">
      <c r="A21" s="403" t="str">
        <f>Zones!B16</f>
        <v>GuestRoom_1_FloorG</v>
      </c>
      <c r="B21" s="189" t="s">
        <v>420</v>
      </c>
      <c r="C21" s="212">
        <v>351.06</v>
      </c>
      <c r="D21" s="213">
        <v>1.05318</v>
      </c>
      <c r="E21" s="214">
        <v>4.4800000000000004</v>
      </c>
      <c r="F21" s="262">
        <f t="shared" si="0"/>
        <v>4.7182464000000008</v>
      </c>
      <c r="G21" s="260">
        <f t="shared" si="1"/>
        <v>7.8637440000000017E-2</v>
      </c>
      <c r="H21" s="735"/>
    </row>
    <row r="22" spans="1:8" ht="12.75" customHeight="1" x14ac:dyDescent="0.25">
      <c r="A22" s="403" t="str">
        <f>Zones!B17</f>
        <v>GuestRoom_2_FloorG</v>
      </c>
      <c r="B22" s="189" t="s">
        <v>420</v>
      </c>
      <c r="C22" s="212">
        <v>351.06</v>
      </c>
      <c r="D22" s="213">
        <v>1.05318</v>
      </c>
      <c r="E22" s="214">
        <v>4.4800000000000004</v>
      </c>
      <c r="F22" s="262">
        <f t="shared" si="0"/>
        <v>4.7182464000000008</v>
      </c>
      <c r="G22" s="260">
        <f t="shared" si="1"/>
        <v>7.8637440000000017E-2</v>
      </c>
      <c r="H22" s="735"/>
    </row>
    <row r="23" spans="1:8" ht="12.75" customHeight="1" x14ac:dyDescent="0.25">
      <c r="A23" s="403" t="str">
        <f>Zones!B18</f>
        <v>GuestRoom_3_FloorG</v>
      </c>
      <c r="B23" s="189" t="s">
        <v>420</v>
      </c>
      <c r="C23" s="212">
        <v>351.06</v>
      </c>
      <c r="D23" s="213">
        <v>1.05318</v>
      </c>
      <c r="E23" s="214">
        <v>4.4800000000000004</v>
      </c>
      <c r="F23" s="262">
        <f t="shared" si="0"/>
        <v>4.7182464000000008</v>
      </c>
      <c r="G23" s="260">
        <f t="shared" si="1"/>
        <v>7.8637440000000017E-2</v>
      </c>
      <c r="H23" s="735"/>
    </row>
    <row r="24" spans="1:8" ht="12.75" customHeight="1" x14ac:dyDescent="0.25">
      <c r="A24" s="403" t="str">
        <f>Zones!B19</f>
        <v>GuestRoom_4_FloorG</v>
      </c>
      <c r="B24" s="189" t="s">
        <v>420</v>
      </c>
      <c r="C24" s="212">
        <v>351.03</v>
      </c>
      <c r="D24" s="213">
        <v>1.0530899999999999</v>
      </c>
      <c r="E24" s="214">
        <v>4.4800000000000004</v>
      </c>
      <c r="F24" s="262">
        <f t="shared" si="0"/>
        <v>4.7178431999999999</v>
      </c>
      <c r="G24" s="260">
        <f t="shared" si="1"/>
        <v>7.8630720000000001E-2</v>
      </c>
      <c r="H24" s="735"/>
    </row>
    <row r="25" spans="1:8" ht="12.75" customHeight="1" x14ac:dyDescent="0.25">
      <c r="A25" s="403" t="str">
        <f>Zones!B20</f>
        <v>GuestRoom_5_FloorG</v>
      </c>
      <c r="B25" s="189" t="s">
        <v>420</v>
      </c>
      <c r="C25" s="212">
        <v>351.03</v>
      </c>
      <c r="D25" s="213">
        <v>1.0530899999999999</v>
      </c>
      <c r="E25" s="214">
        <v>4.4800000000000004</v>
      </c>
      <c r="F25" s="262">
        <f t="shared" si="0"/>
        <v>4.7178431999999999</v>
      </c>
      <c r="G25" s="260">
        <f t="shared" si="1"/>
        <v>7.8630720000000001E-2</v>
      </c>
      <c r="H25" s="735"/>
    </row>
    <row r="26" spans="1:8" ht="12.75" customHeight="1" x14ac:dyDescent="0.25">
      <c r="A26" s="403" t="str">
        <f>Zones!B21</f>
        <v>GuestRoom_1_FloorM</v>
      </c>
      <c r="B26" s="189" t="s">
        <v>420</v>
      </c>
      <c r="C26" s="212">
        <v>351.06</v>
      </c>
      <c r="D26" s="213">
        <v>1.05318</v>
      </c>
      <c r="E26" s="214">
        <v>4.4800000000000004</v>
      </c>
      <c r="F26" s="262">
        <f t="shared" si="0"/>
        <v>4.7182464000000008</v>
      </c>
      <c r="G26" s="260">
        <f t="shared" si="1"/>
        <v>7.8637440000000017E-2</v>
      </c>
      <c r="H26" s="735"/>
    </row>
    <row r="27" spans="1:8" ht="12.75" customHeight="1" x14ac:dyDescent="0.25">
      <c r="A27" s="403" t="str">
        <f>Zones!B22</f>
        <v>GuestRoom_2_5_FloorM</v>
      </c>
      <c r="B27" s="189" t="s">
        <v>420</v>
      </c>
      <c r="C27" s="212">
        <v>1404.24</v>
      </c>
      <c r="D27" s="213">
        <v>4.21272</v>
      </c>
      <c r="E27" s="214">
        <v>4.4800000000000004</v>
      </c>
      <c r="F27" s="262">
        <f t="shared" si="0"/>
        <v>18.872985600000003</v>
      </c>
      <c r="G27" s="260">
        <f t="shared" si="1"/>
        <v>0.31454976000000007</v>
      </c>
      <c r="H27" s="735"/>
    </row>
    <row r="28" spans="1:8" ht="12.75" customHeight="1" x14ac:dyDescent="0.25">
      <c r="A28" s="403" t="str">
        <f>Zones!B23</f>
        <v>GuestRoom_6_8_FloorM</v>
      </c>
      <c r="B28" s="189" t="s">
        <v>420</v>
      </c>
      <c r="C28" s="212">
        <v>1134.2</v>
      </c>
      <c r="D28" s="213">
        <v>3.4026000000000005</v>
      </c>
      <c r="E28" s="214">
        <v>4.4800000000000004</v>
      </c>
      <c r="F28" s="262">
        <f t="shared" si="0"/>
        <v>15.243648000000004</v>
      </c>
      <c r="G28" s="260">
        <f t="shared" si="1"/>
        <v>0.25406080000000009</v>
      </c>
      <c r="H28" s="735"/>
    </row>
    <row r="29" spans="1:8" ht="12.75" customHeight="1" x14ac:dyDescent="0.25">
      <c r="A29" s="403" t="str">
        <f>Zones!B24</f>
        <v>GuestRoom_9_12_FloorM</v>
      </c>
      <c r="B29" s="189" t="s">
        <v>420</v>
      </c>
      <c r="C29" s="212">
        <v>1404.24</v>
      </c>
      <c r="D29" s="213">
        <v>4.21272</v>
      </c>
      <c r="E29" s="214">
        <v>4.4800000000000004</v>
      </c>
      <c r="F29" s="262">
        <f t="shared" si="0"/>
        <v>18.872985600000003</v>
      </c>
      <c r="G29" s="260">
        <f t="shared" si="1"/>
        <v>0.31454976000000007</v>
      </c>
      <c r="H29" s="735"/>
    </row>
    <row r="30" spans="1:8" ht="12.75" customHeight="1" x14ac:dyDescent="0.25">
      <c r="A30" s="403" t="str">
        <f>Zones!B25</f>
        <v>GuestRoom_13_FloorM</v>
      </c>
      <c r="B30" s="189" t="s">
        <v>420</v>
      </c>
      <c r="C30" s="212">
        <v>351.06</v>
      </c>
      <c r="D30" s="213">
        <v>1.05318</v>
      </c>
      <c r="E30" s="214">
        <v>4.4800000000000004</v>
      </c>
      <c r="F30" s="262">
        <f t="shared" si="0"/>
        <v>4.7182464000000008</v>
      </c>
      <c r="G30" s="260">
        <f t="shared" si="1"/>
        <v>7.8637440000000017E-2</v>
      </c>
      <c r="H30" s="735"/>
    </row>
    <row r="31" spans="1:8" ht="12.75" customHeight="1" x14ac:dyDescent="0.25">
      <c r="A31" s="403" t="str">
        <f>Zones!B26</f>
        <v>GuestRoom_14_FloorM</v>
      </c>
      <c r="B31" s="189" t="s">
        <v>420</v>
      </c>
      <c r="C31" s="212">
        <v>351.03</v>
      </c>
      <c r="D31" s="213">
        <v>1.0530899999999999</v>
      </c>
      <c r="E31" s="214">
        <v>4.4800000000000004</v>
      </c>
      <c r="F31" s="262">
        <f t="shared" si="0"/>
        <v>4.7178431999999999</v>
      </c>
      <c r="G31" s="260">
        <f t="shared" si="1"/>
        <v>7.8630720000000001E-2</v>
      </c>
      <c r="H31" s="735"/>
    </row>
    <row r="32" spans="1:8" ht="12.75" customHeight="1" x14ac:dyDescent="0.25">
      <c r="A32" s="403" t="str">
        <f>Zones!B27</f>
        <v>GuestRoom_15_18_FloorM</v>
      </c>
      <c r="B32" s="189" t="s">
        <v>420</v>
      </c>
      <c r="C32" s="212">
        <v>1404.14</v>
      </c>
      <c r="D32" s="213">
        <v>4.2124200000000007</v>
      </c>
      <c r="E32" s="214">
        <v>4.4800000000000004</v>
      </c>
      <c r="F32" s="262">
        <f t="shared" si="0"/>
        <v>18.871641600000004</v>
      </c>
      <c r="G32" s="260">
        <f t="shared" si="1"/>
        <v>0.31452736000000009</v>
      </c>
      <c r="H32" s="735"/>
    </row>
    <row r="33" spans="1:8" ht="12.75" customHeight="1" x14ac:dyDescent="0.25">
      <c r="A33" s="403" t="str">
        <f>Zones!B28</f>
        <v>GuestRoom_19_FloorM</v>
      </c>
      <c r="B33" s="189" t="s">
        <v>420</v>
      </c>
      <c r="C33" s="212">
        <v>351.04</v>
      </c>
      <c r="D33" s="213">
        <v>1.0531200000000001</v>
      </c>
      <c r="E33" s="214">
        <v>4.4800000000000004</v>
      </c>
      <c r="F33" s="262">
        <f t="shared" si="0"/>
        <v>4.7179776000000011</v>
      </c>
      <c r="G33" s="260">
        <f t="shared" si="1"/>
        <v>7.8632960000000016E-2</v>
      </c>
      <c r="H33" s="735"/>
    </row>
    <row r="34" spans="1:8" ht="12.75" customHeight="1" x14ac:dyDescent="0.25">
      <c r="A34" s="403" t="str">
        <f>Zones!B29</f>
        <v>GuestRoom_20_23_FloorM</v>
      </c>
      <c r="B34" s="189" t="s">
        <v>420</v>
      </c>
      <c r="C34" s="212">
        <v>1404.14</v>
      </c>
      <c r="D34" s="213">
        <v>4.2124200000000007</v>
      </c>
      <c r="E34" s="214">
        <v>4.4800000000000004</v>
      </c>
      <c r="F34" s="262">
        <f t="shared" si="0"/>
        <v>18.871641600000004</v>
      </c>
      <c r="G34" s="260">
        <f t="shared" si="1"/>
        <v>0.31452736000000009</v>
      </c>
      <c r="H34" s="735"/>
    </row>
    <row r="35" spans="1:8" ht="12.75" customHeight="1" x14ac:dyDescent="0.25">
      <c r="A35" s="403" t="str">
        <f>Zones!B30</f>
        <v>GuestRoom_24_FloorM</v>
      </c>
      <c r="B35" s="189" t="s">
        <v>420</v>
      </c>
      <c r="C35" s="212">
        <v>351.03</v>
      </c>
      <c r="D35" s="213">
        <v>1.0530899999999999</v>
      </c>
      <c r="E35" s="214">
        <v>4.4800000000000004</v>
      </c>
      <c r="F35" s="262">
        <f t="shared" si="0"/>
        <v>4.7178431999999999</v>
      </c>
      <c r="G35" s="260">
        <f t="shared" si="1"/>
        <v>7.8630720000000001E-2</v>
      </c>
      <c r="H35" s="735"/>
    </row>
    <row r="36" spans="1:8" ht="12.75" customHeight="1" x14ac:dyDescent="0.25">
      <c r="A36" s="403" t="str">
        <f>Zones!B31</f>
        <v>GuestRoom_1_FloorT</v>
      </c>
      <c r="B36" s="189" t="s">
        <v>420</v>
      </c>
      <c r="C36" s="212">
        <v>351.06</v>
      </c>
      <c r="D36" s="213">
        <v>1.05318</v>
      </c>
      <c r="E36" s="214">
        <v>4.4800000000000004</v>
      </c>
      <c r="F36" s="262">
        <f t="shared" si="0"/>
        <v>4.7182464000000008</v>
      </c>
      <c r="G36" s="260">
        <f t="shared" si="1"/>
        <v>7.8637440000000017E-2</v>
      </c>
      <c r="H36" s="735"/>
    </row>
    <row r="37" spans="1:8" ht="12.75" customHeight="1" x14ac:dyDescent="0.25">
      <c r="A37" s="403" t="str">
        <f>Zones!B32</f>
        <v>GuestRoom_2_5_FloorT</v>
      </c>
      <c r="B37" s="189" t="s">
        <v>420</v>
      </c>
      <c r="C37" s="212">
        <v>1404.24</v>
      </c>
      <c r="D37" s="213">
        <v>4.21272</v>
      </c>
      <c r="E37" s="214">
        <v>4.4800000000000004</v>
      </c>
      <c r="F37" s="262">
        <f t="shared" si="0"/>
        <v>18.872985600000003</v>
      </c>
      <c r="G37" s="260">
        <f t="shared" si="1"/>
        <v>0.31454976000000007</v>
      </c>
      <c r="H37" s="735"/>
    </row>
    <row r="38" spans="1:8" ht="12.75" customHeight="1" x14ac:dyDescent="0.25">
      <c r="A38" s="403" t="str">
        <f>Zones!B33</f>
        <v>GuestRoom_6_8_FloorT</v>
      </c>
      <c r="B38" s="189" t="s">
        <v>420</v>
      </c>
      <c r="C38" s="212">
        <v>1134.2</v>
      </c>
      <c r="D38" s="213">
        <v>3.4026000000000005</v>
      </c>
      <c r="E38" s="214">
        <v>4.4800000000000004</v>
      </c>
      <c r="F38" s="262">
        <f t="shared" si="0"/>
        <v>15.243648000000004</v>
      </c>
      <c r="G38" s="260">
        <f t="shared" si="1"/>
        <v>0.25406080000000009</v>
      </c>
      <c r="H38" s="735"/>
    </row>
    <row r="39" spans="1:8" ht="12.75" customHeight="1" x14ac:dyDescent="0.25">
      <c r="A39" s="403" t="str">
        <f>Zones!B34</f>
        <v>GuestRoom_9_12_FloorT</v>
      </c>
      <c r="B39" s="189" t="s">
        <v>420</v>
      </c>
      <c r="C39" s="212">
        <v>1404.24</v>
      </c>
      <c r="D39" s="213">
        <v>4.21272</v>
      </c>
      <c r="E39" s="214">
        <v>4.4800000000000004</v>
      </c>
      <c r="F39" s="262">
        <f t="shared" si="0"/>
        <v>18.872985600000003</v>
      </c>
      <c r="G39" s="260">
        <f t="shared" si="1"/>
        <v>0.31454976000000007</v>
      </c>
      <c r="H39" s="735"/>
    </row>
    <row r="40" spans="1:8" ht="12.75" customHeight="1" x14ac:dyDescent="0.25">
      <c r="A40" s="403" t="str">
        <f>Zones!B35</f>
        <v>GuestRoom_13_FloorT</v>
      </c>
      <c r="B40" s="189" t="s">
        <v>420</v>
      </c>
      <c r="C40" s="212">
        <v>351.06</v>
      </c>
      <c r="D40" s="213">
        <v>1.05318</v>
      </c>
      <c r="E40" s="214">
        <v>4.4800000000000004</v>
      </c>
      <c r="F40" s="262">
        <f t="shared" si="0"/>
        <v>4.7182464000000008</v>
      </c>
      <c r="G40" s="260">
        <f t="shared" si="1"/>
        <v>7.8637440000000017E-2</v>
      </c>
      <c r="H40" s="735"/>
    </row>
    <row r="41" spans="1:8" ht="12.75" customHeight="1" x14ac:dyDescent="0.25">
      <c r="A41" s="403" t="str">
        <f>Zones!B36</f>
        <v>GuestRoom_14_FloorT</v>
      </c>
      <c r="B41" s="189" t="s">
        <v>420</v>
      </c>
      <c r="C41" s="212">
        <v>351.03</v>
      </c>
      <c r="D41" s="213">
        <v>1.0530899999999999</v>
      </c>
      <c r="E41" s="214">
        <v>4.4800000000000004</v>
      </c>
      <c r="F41" s="262">
        <f t="shared" si="0"/>
        <v>4.7178431999999999</v>
      </c>
      <c r="G41" s="260">
        <f t="shared" si="1"/>
        <v>7.8630720000000001E-2</v>
      </c>
      <c r="H41" s="735"/>
    </row>
    <row r="42" spans="1:8" ht="12.75" customHeight="1" x14ac:dyDescent="0.25">
      <c r="A42" s="403" t="str">
        <f>Zones!B37</f>
        <v>GuestRoom_15_18_FloorT</v>
      </c>
      <c r="B42" s="189" t="s">
        <v>420</v>
      </c>
      <c r="C42" s="212">
        <v>1404.14</v>
      </c>
      <c r="D42" s="213">
        <v>4.2124200000000007</v>
      </c>
      <c r="E42" s="214">
        <v>4.4800000000000004</v>
      </c>
      <c r="F42" s="262">
        <f t="shared" si="0"/>
        <v>18.871641600000004</v>
      </c>
      <c r="G42" s="260">
        <f t="shared" si="1"/>
        <v>0.31452736000000009</v>
      </c>
      <c r="H42" s="735"/>
    </row>
    <row r="43" spans="1:8" ht="12.75" customHeight="1" x14ac:dyDescent="0.25">
      <c r="A43" s="403" t="str">
        <f>Zones!B38</f>
        <v>GuestRoom_19_FloorT</v>
      </c>
      <c r="B43" s="189" t="s">
        <v>420</v>
      </c>
      <c r="C43" s="212">
        <v>351.04</v>
      </c>
      <c r="D43" s="213">
        <v>1.0531200000000001</v>
      </c>
      <c r="E43" s="214">
        <v>4.4800000000000004</v>
      </c>
      <c r="F43" s="262">
        <f t="shared" si="0"/>
        <v>4.7179776000000011</v>
      </c>
      <c r="G43" s="260">
        <f t="shared" si="1"/>
        <v>7.8632960000000016E-2</v>
      </c>
      <c r="H43" s="735"/>
    </row>
    <row r="44" spans="1:8" ht="12.75" customHeight="1" x14ac:dyDescent="0.25">
      <c r="A44" s="403" t="str">
        <f>Zones!B39</f>
        <v>GuestRoom_20_23_FloorT</v>
      </c>
      <c r="B44" s="189" t="s">
        <v>420</v>
      </c>
      <c r="C44" s="212">
        <v>1404.14</v>
      </c>
      <c r="D44" s="213">
        <v>4.2124200000000007</v>
      </c>
      <c r="E44" s="214">
        <v>4.4800000000000004</v>
      </c>
      <c r="F44" s="262">
        <f t="shared" si="0"/>
        <v>18.871641600000004</v>
      </c>
      <c r="G44" s="260">
        <f t="shared" si="1"/>
        <v>0.31452736000000009</v>
      </c>
      <c r="H44" s="735"/>
    </row>
    <row r="45" spans="1:8" ht="12.75" customHeight="1" x14ac:dyDescent="0.25">
      <c r="A45" s="403" t="str">
        <f>Zones!B40</f>
        <v>GuestRoom_24_FloorT</v>
      </c>
      <c r="B45" s="189" t="s">
        <v>420</v>
      </c>
      <c r="C45" s="212">
        <v>351.03</v>
      </c>
      <c r="D45" s="213">
        <v>1.0530899999999999</v>
      </c>
      <c r="E45" s="214">
        <v>4.4800000000000004</v>
      </c>
      <c r="F45" s="262">
        <f t="shared" si="0"/>
        <v>4.7178431999999999</v>
      </c>
      <c r="G45" s="260">
        <f t="shared" si="1"/>
        <v>7.8630720000000001E-2</v>
      </c>
      <c r="H45" s="735"/>
    </row>
    <row r="46" spans="1:8" ht="12.75" customHeight="1" x14ac:dyDescent="0.25">
      <c r="A46" s="403" t="str">
        <f>Zones!B41</f>
        <v>Laundry_FloorG</v>
      </c>
      <c r="B46" s="189" t="s">
        <v>420</v>
      </c>
      <c r="C46" s="212">
        <v>1053.1099999999999</v>
      </c>
      <c r="D46" s="213">
        <v>5.2655500000000002</v>
      </c>
      <c r="E46" s="214">
        <v>0.57799999999999996</v>
      </c>
      <c r="F46" s="262">
        <f t="shared" si="0"/>
        <v>3.0434878999999997</v>
      </c>
      <c r="G46" s="260">
        <f t="shared" si="1"/>
        <v>5.0724798333333328E-2</v>
      </c>
      <c r="H46" s="735"/>
    </row>
    <row r="47" spans="1:8" x14ac:dyDescent="0.25">
      <c r="A47" s="403" t="str">
        <f>Zones!B42</f>
        <v>Mech_FloorG</v>
      </c>
      <c r="B47" s="189" t="s">
        <v>420</v>
      </c>
      <c r="C47" s="212">
        <f>Zones!H42</f>
        <v>351.06</v>
      </c>
      <c r="D47" s="213">
        <f>Zones!K42</f>
        <v>0</v>
      </c>
      <c r="E47" s="214">
        <v>0.18</v>
      </c>
      <c r="F47" s="262">
        <f t="shared" si="0"/>
        <v>0</v>
      </c>
      <c r="G47" s="382">
        <f t="shared" si="1"/>
        <v>0</v>
      </c>
      <c r="H47" s="736"/>
    </row>
    <row r="48" spans="1:8" ht="12.75" customHeight="1" x14ac:dyDescent="0.25">
      <c r="A48" s="403" t="str">
        <f>Zones!B43</f>
        <v>Conference_FloorG</v>
      </c>
      <c r="B48" s="189" t="s">
        <v>420</v>
      </c>
      <c r="C48" s="212">
        <v>864.15</v>
      </c>
      <c r="D48" s="213">
        <v>28.516949999999998</v>
      </c>
      <c r="E48" s="214">
        <v>0.09</v>
      </c>
      <c r="F48" s="262">
        <f t="shared" si="0"/>
        <v>2.5665254999999996</v>
      </c>
      <c r="G48" s="260">
        <f t="shared" si="1"/>
        <v>4.2775424999999992E-2</v>
      </c>
      <c r="H48" s="735"/>
    </row>
    <row r="49" spans="1:10" x14ac:dyDescent="0.25">
      <c r="A49" s="403" t="str">
        <f>Zones!B44</f>
        <v>Rear_Stair_FloorG</v>
      </c>
      <c r="B49" s="189" t="s">
        <v>420</v>
      </c>
      <c r="C49" s="212">
        <f>Zones!H44</f>
        <v>216.08</v>
      </c>
      <c r="D49" s="213">
        <f>Zones!K44</f>
        <v>1.0804</v>
      </c>
      <c r="E49" s="189">
        <v>0</v>
      </c>
      <c r="F49" s="262">
        <f t="shared" si="0"/>
        <v>0</v>
      </c>
      <c r="G49" s="382">
        <f t="shared" si="1"/>
        <v>0</v>
      </c>
      <c r="H49" s="731"/>
    </row>
    <row r="50" spans="1:10" x14ac:dyDescent="0.25">
      <c r="A50" s="403" t="str">
        <f>Zones!B45</f>
        <v>Rear_Stair_FloorT</v>
      </c>
      <c r="B50" s="189" t="s">
        <v>420</v>
      </c>
      <c r="C50" s="212">
        <f>Zones!H45</f>
        <v>216.08</v>
      </c>
      <c r="D50" s="213">
        <f>Zones!K45</f>
        <v>1.0804</v>
      </c>
      <c r="E50" s="189">
        <v>0</v>
      </c>
      <c r="F50" s="262">
        <f t="shared" si="0"/>
        <v>0</v>
      </c>
      <c r="G50" s="382">
        <f t="shared" si="1"/>
        <v>0</v>
      </c>
      <c r="H50" s="732"/>
    </row>
    <row r="51" spans="1:10" x14ac:dyDescent="0.25">
      <c r="A51" s="403" t="str">
        <f>Zones!B46</f>
        <v>Rear_Stair_FloorM</v>
      </c>
      <c r="B51" s="189" t="s">
        <v>420</v>
      </c>
      <c r="C51" s="212">
        <f>Zones!H46</f>
        <v>216.08</v>
      </c>
      <c r="D51" s="213">
        <f>Zones!K46</f>
        <v>1.0804</v>
      </c>
      <c r="E51" s="189">
        <v>0</v>
      </c>
      <c r="F51" s="262">
        <f t="shared" si="0"/>
        <v>0</v>
      </c>
      <c r="G51" s="382">
        <f t="shared" si="1"/>
        <v>0</v>
      </c>
      <c r="H51" s="732"/>
    </row>
    <row r="52" spans="1:10" x14ac:dyDescent="0.25">
      <c r="A52" s="403" t="str">
        <f>Zones!B47</f>
        <v>Rear_Storage_FloorG</v>
      </c>
      <c r="B52" s="189" t="s">
        <v>420</v>
      </c>
      <c r="C52" s="212">
        <f>Zones!H47</f>
        <v>216.09</v>
      </c>
      <c r="D52" s="213">
        <f>Zones!K47</f>
        <v>0.43218000000000001</v>
      </c>
      <c r="E52" s="189">
        <v>0</v>
      </c>
      <c r="F52" s="262">
        <f t="shared" si="0"/>
        <v>0</v>
      </c>
      <c r="G52" s="382">
        <f t="shared" si="1"/>
        <v>0</v>
      </c>
      <c r="H52" s="732"/>
    </row>
    <row r="53" spans="1:10" x14ac:dyDescent="0.25">
      <c r="A53" s="403" t="str">
        <f>Zones!B48</f>
        <v>Rear_Storage_FloorM</v>
      </c>
      <c r="B53" s="189" t="s">
        <v>420</v>
      </c>
      <c r="C53" s="212">
        <f>Zones!H48</f>
        <v>216.09</v>
      </c>
      <c r="D53" s="213">
        <f>Zones!K48</f>
        <v>0.43218000000000001</v>
      </c>
      <c r="E53" s="189">
        <v>0</v>
      </c>
      <c r="F53" s="262">
        <f t="shared" si="0"/>
        <v>0</v>
      </c>
      <c r="G53" s="382">
        <f t="shared" si="1"/>
        <v>0</v>
      </c>
      <c r="H53" s="732"/>
    </row>
    <row r="54" spans="1:10" x14ac:dyDescent="0.25">
      <c r="A54" s="403" t="str">
        <f>Zones!B49</f>
        <v>Rear_Storage_FloorT</v>
      </c>
      <c r="B54" s="189" t="s">
        <v>420</v>
      </c>
      <c r="C54" s="212">
        <f>Zones!H49</f>
        <v>216.09</v>
      </c>
      <c r="D54" s="213">
        <f>Zones!K49</f>
        <v>0.43218000000000001</v>
      </c>
      <c r="E54" s="189">
        <v>0</v>
      </c>
      <c r="F54" s="262">
        <f t="shared" si="0"/>
        <v>0</v>
      </c>
      <c r="G54" s="382">
        <f t="shared" si="1"/>
        <v>0</v>
      </c>
      <c r="H54" s="732"/>
    </row>
    <row r="55" spans="1:10" x14ac:dyDescent="0.25">
      <c r="A55" s="403" t="str">
        <f>Zones!B50</f>
        <v>Restroom_FloorG</v>
      </c>
      <c r="B55" s="189" t="s">
        <v>420</v>
      </c>
      <c r="C55" s="212">
        <f>Zones!H50</f>
        <v>351.06</v>
      </c>
      <c r="D55" s="213">
        <f>Zones!K50</f>
        <v>1.7552999999999999</v>
      </c>
      <c r="E55" s="189">
        <v>0</v>
      </c>
      <c r="F55" s="262">
        <f t="shared" si="0"/>
        <v>0</v>
      </c>
      <c r="G55" s="382">
        <f t="shared" si="1"/>
        <v>0</v>
      </c>
      <c r="H55" s="733"/>
    </row>
    <row r="56" spans="1:10" ht="20.25" customHeight="1" x14ac:dyDescent="0.25">
      <c r="A56" s="383" t="s">
        <v>486</v>
      </c>
      <c r="B56" s="737" t="s">
        <v>487</v>
      </c>
      <c r="C56" s="738"/>
      <c r="D56" s="738"/>
      <c r="E56" s="739"/>
      <c r="F56" s="564">
        <f>SUM(F8:F55)</f>
        <v>265.99793750000003</v>
      </c>
      <c r="G56" s="384"/>
      <c r="H56" s="740" t="s">
        <v>488</v>
      </c>
    </row>
    <row r="57" spans="1:10" ht="19.5" customHeight="1" x14ac:dyDescent="0.3">
      <c r="A57" s="383" t="s">
        <v>489</v>
      </c>
      <c r="B57" s="737" t="s">
        <v>370</v>
      </c>
      <c r="C57" s="738"/>
      <c r="D57" s="738"/>
      <c r="E57" s="739"/>
      <c r="F57" s="501">
        <v>0</v>
      </c>
      <c r="G57" s="384"/>
      <c r="H57" s="741"/>
    </row>
    <row r="58" spans="1:10" s="385" customFormat="1" ht="14.4" x14ac:dyDescent="0.3">
      <c r="A58"/>
      <c r="B58"/>
      <c r="C58"/>
      <c r="D58"/>
      <c r="E58"/>
      <c r="G58"/>
      <c r="H58"/>
      <c r="I58"/>
      <c r="J58"/>
    </row>
    <row r="59" spans="1:10" s="385" customFormat="1" ht="14.4" x14ac:dyDescent="0.3">
      <c r="A59" s="584" t="s">
        <v>471</v>
      </c>
      <c r="B59" s="584">
        <f>MAX(1,ROUNDUP(MAX(30,$F$56*$B$64)/MAX($E$88:$E$106),0))</f>
        <v>1</v>
      </c>
      <c r="C59"/>
      <c r="D59"/>
      <c r="E59"/>
      <c r="F59"/>
      <c r="G59"/>
      <c r="H59"/>
      <c r="I59"/>
      <c r="J59"/>
    </row>
    <row r="60" spans="1:10" s="385" customFormat="1" ht="14.4" x14ac:dyDescent="0.3">
      <c r="A60"/>
      <c r="B60"/>
      <c r="C60"/>
      <c r="D60"/>
      <c r="E60"/>
      <c r="F60"/>
      <c r="G60"/>
      <c r="H60"/>
      <c r="I60"/>
      <c r="J60"/>
    </row>
    <row r="61" spans="1:10" s="385" customFormat="1" ht="15" customHeight="1" x14ac:dyDescent="0.3">
      <c r="A61" s="386" t="s">
        <v>490</v>
      </c>
      <c r="B61" s="387">
        <v>135</v>
      </c>
      <c r="C61" s="388" t="s">
        <v>491</v>
      </c>
      <c r="D61" s="389"/>
      <c r="E61" s="389"/>
      <c r="F61"/>
      <c r="G61"/>
      <c r="H61"/>
      <c r="I61"/>
      <c r="J61"/>
    </row>
    <row r="62" spans="1:10" s="385" customFormat="1" ht="15" customHeight="1" x14ac:dyDescent="0.3">
      <c r="A62" s="389" t="s">
        <v>492</v>
      </c>
      <c r="B62" s="390">
        <v>0.6</v>
      </c>
      <c r="C62" s="388" t="s">
        <v>493</v>
      </c>
      <c r="D62" s="391"/>
      <c r="E62" s="391"/>
      <c r="F62"/>
      <c r="G62"/>
      <c r="H62"/>
      <c r="I62"/>
      <c r="J62"/>
    </row>
    <row r="63" spans="1:10" s="385" customFormat="1" ht="14.4" x14ac:dyDescent="0.3">
      <c r="A63" s="392" t="s">
        <v>494</v>
      </c>
      <c r="B63" s="393">
        <v>8.2876999999999992</v>
      </c>
      <c r="C63" s="388" t="s">
        <v>493</v>
      </c>
      <c r="D63" s="388"/>
      <c r="E63" s="388"/>
      <c r="F63"/>
      <c r="G63"/>
      <c r="H63"/>
      <c r="I63"/>
      <c r="J63"/>
    </row>
    <row r="64" spans="1:10" s="385" customFormat="1" ht="14.4" x14ac:dyDescent="0.3">
      <c r="A64" s="385" t="s">
        <v>495</v>
      </c>
      <c r="B64" s="394">
        <v>0.4</v>
      </c>
      <c r="C64" s="395" t="s">
        <v>496</v>
      </c>
      <c r="D64" s="395"/>
      <c r="F64" s="395"/>
      <c r="G64" s="395"/>
    </row>
    <row r="65" spans="1:12" s="385" customFormat="1" ht="26.1" customHeight="1" x14ac:dyDescent="0.25">
      <c r="A65" s="722" t="s">
        <v>497</v>
      </c>
      <c r="B65" s="723"/>
      <c r="C65" s="723"/>
      <c r="D65" s="723"/>
      <c r="E65" s="723"/>
      <c r="F65" s="723"/>
      <c r="G65" s="723"/>
      <c r="H65" s="723"/>
      <c r="I65" s="723"/>
      <c r="J65" s="723"/>
      <c r="K65" s="723"/>
    </row>
    <row r="66" spans="1:12" s="385" customFormat="1" ht="48.75" customHeight="1" x14ac:dyDescent="0.3">
      <c r="A66" s="502" t="s">
        <v>498</v>
      </c>
      <c r="B66" s="502" t="s">
        <v>499</v>
      </c>
      <c r="C66" s="502" t="s">
        <v>500</v>
      </c>
      <c r="D66" s="502" t="s">
        <v>501</v>
      </c>
      <c r="E66" s="502" t="s">
        <v>502</v>
      </c>
      <c r="F66" s="502" t="s">
        <v>503</v>
      </c>
      <c r="G66" s="724" t="s">
        <v>504</v>
      </c>
      <c r="H66" s="724"/>
      <c r="I66" s="724" t="s">
        <v>505</v>
      </c>
      <c r="J66" s="724"/>
      <c r="K66" s="503" t="s">
        <v>506</v>
      </c>
      <c r="L66"/>
    </row>
    <row r="67" spans="1:12" s="385" customFormat="1" ht="18.75" customHeight="1" x14ac:dyDescent="0.25">
      <c r="A67" s="504" t="s">
        <v>507</v>
      </c>
      <c r="B67" s="505">
        <v>47.9</v>
      </c>
      <c r="C67" s="424">
        <f>$F$56*($B$61-B67)*$B$63</f>
        <v>192012.91738649312</v>
      </c>
      <c r="D67" s="424">
        <f t="shared" ref="D67:D82" si="2">C67*$B$62</f>
        <v>115207.75043189587</v>
      </c>
      <c r="E67" s="424">
        <f t="shared" ref="E67:E82" si="3">_xlfn.LET(_xlpm.x,_xlfn.XLOOKUP(D67/$C$3,$A$88:$A$118,$A$88:$A$118,"",1),IF(_xlpm.x="",ROUNDUP(D67/$C$3,0),_xlpm.x))</f>
        <v>145000</v>
      </c>
      <c r="F67" s="424">
        <f t="shared" ref="F67:F82" si="4">_xlfn.LET(_xlpm.v,MAX(30,$F$56*$B$64),_xlpm.x,_xlfn.XLOOKUP(_xlpm.v,$E$88:$E$106,$E$88:$E$106,"",1),IF(_xlpm.x="",ROUNDUP(_xlpm.v,0),_xlpm.x))</f>
        <v>110</v>
      </c>
      <c r="G67" s="424">
        <f>(E67/800)+110*SQRT(F67)</f>
        <v>1334.9397329871667</v>
      </c>
      <c r="H67" s="424" t="s">
        <v>508</v>
      </c>
      <c r="I67" s="426">
        <f>G67/70</f>
        <v>19.070567614102384</v>
      </c>
      <c r="J67" s="506" t="s">
        <v>509</v>
      </c>
      <c r="K67" s="725" t="s">
        <v>510</v>
      </c>
    </row>
    <row r="68" spans="1:12" s="385" customFormat="1" ht="18.75" customHeight="1" x14ac:dyDescent="0.25">
      <c r="A68" s="504" t="s">
        <v>511</v>
      </c>
      <c r="B68" s="505">
        <v>50.8</v>
      </c>
      <c r="C68" s="424">
        <f t="shared" ref="C68:C82" si="5">$F$56*($B$61-B68)*$B$63</f>
        <v>185619.83517729875</v>
      </c>
      <c r="D68" s="424">
        <f t="shared" si="2"/>
        <v>111371.90110637924</v>
      </c>
      <c r="E68" s="424">
        <f t="shared" si="3"/>
        <v>145000</v>
      </c>
      <c r="F68" s="424">
        <f t="shared" si="4"/>
        <v>110</v>
      </c>
      <c r="G68" s="424">
        <f t="shared" ref="G68:G82" si="6">(E68/800)+110*SQRT(F68)</f>
        <v>1334.9397329871667</v>
      </c>
      <c r="H68" s="424" t="s">
        <v>508</v>
      </c>
      <c r="I68" s="426">
        <f t="shared" ref="I68:I82" si="7">G68/70</f>
        <v>19.070567614102384</v>
      </c>
      <c r="J68" s="506" t="s">
        <v>509</v>
      </c>
      <c r="K68" s="726"/>
    </row>
    <row r="69" spans="1:12" s="385" customFormat="1" ht="18.75" customHeight="1" x14ac:dyDescent="0.25">
      <c r="A69" s="504" t="s">
        <v>512</v>
      </c>
      <c r="B69" s="505">
        <v>52.2</v>
      </c>
      <c r="C69" s="424">
        <f t="shared" si="5"/>
        <v>182533.51962803249</v>
      </c>
      <c r="D69" s="424">
        <f t="shared" si="2"/>
        <v>109520.1117768195</v>
      </c>
      <c r="E69" s="424">
        <f t="shared" si="3"/>
        <v>145000</v>
      </c>
      <c r="F69" s="424">
        <f t="shared" si="4"/>
        <v>110</v>
      </c>
      <c r="G69" s="424">
        <f t="shared" si="6"/>
        <v>1334.9397329871667</v>
      </c>
      <c r="H69" s="424" t="s">
        <v>508</v>
      </c>
      <c r="I69" s="426">
        <f t="shared" si="7"/>
        <v>19.070567614102384</v>
      </c>
      <c r="J69" s="506" t="s">
        <v>509</v>
      </c>
      <c r="K69" s="726"/>
    </row>
    <row r="70" spans="1:12" s="385" customFormat="1" ht="18.75" customHeight="1" x14ac:dyDescent="0.25">
      <c r="A70" s="504" t="s">
        <v>513</v>
      </c>
      <c r="B70" s="505">
        <v>52.7</v>
      </c>
      <c r="C70" s="424">
        <f t="shared" si="5"/>
        <v>181431.26407472312</v>
      </c>
      <c r="D70" s="424">
        <f t="shared" si="2"/>
        <v>108858.75844483387</v>
      </c>
      <c r="E70" s="424">
        <f t="shared" si="3"/>
        <v>145000</v>
      </c>
      <c r="F70" s="424">
        <f t="shared" si="4"/>
        <v>110</v>
      </c>
      <c r="G70" s="424">
        <f t="shared" si="6"/>
        <v>1334.9397329871667</v>
      </c>
      <c r="H70" s="424" t="s">
        <v>508</v>
      </c>
      <c r="I70" s="426">
        <f t="shared" si="7"/>
        <v>19.070567614102384</v>
      </c>
      <c r="J70" s="506" t="s">
        <v>509</v>
      </c>
      <c r="K70" s="726"/>
    </row>
    <row r="71" spans="1:12" s="385" customFormat="1" ht="18.75" customHeight="1" x14ac:dyDescent="0.25">
      <c r="A71" s="504" t="s">
        <v>514</v>
      </c>
      <c r="B71" s="505">
        <v>51.6</v>
      </c>
      <c r="C71" s="424">
        <f t="shared" si="5"/>
        <v>183856.22629200379</v>
      </c>
      <c r="D71" s="424">
        <f t="shared" si="2"/>
        <v>110313.73577520227</v>
      </c>
      <c r="E71" s="424">
        <f t="shared" si="3"/>
        <v>145000</v>
      </c>
      <c r="F71" s="424">
        <f t="shared" si="4"/>
        <v>110</v>
      </c>
      <c r="G71" s="424">
        <f t="shared" si="6"/>
        <v>1334.9397329871667</v>
      </c>
      <c r="H71" s="424" t="s">
        <v>508</v>
      </c>
      <c r="I71" s="426">
        <f t="shared" si="7"/>
        <v>19.070567614102384</v>
      </c>
      <c r="J71" s="506" t="s">
        <v>509</v>
      </c>
      <c r="K71" s="726"/>
    </row>
    <row r="72" spans="1:12" s="385" customFormat="1" ht="18.75" customHeight="1" x14ac:dyDescent="0.25">
      <c r="A72" s="504" t="s">
        <v>515</v>
      </c>
      <c r="B72" s="505">
        <v>56.8</v>
      </c>
      <c r="C72" s="424">
        <f t="shared" si="5"/>
        <v>172392.76853758626</v>
      </c>
      <c r="D72" s="424">
        <f t="shared" si="2"/>
        <v>103435.66112255176</v>
      </c>
      <c r="E72" s="424">
        <f t="shared" si="3"/>
        <v>130000</v>
      </c>
      <c r="F72" s="424">
        <f t="shared" si="4"/>
        <v>110</v>
      </c>
      <c r="G72" s="424">
        <f t="shared" si="6"/>
        <v>1316.1897329871667</v>
      </c>
      <c r="H72" s="424" t="s">
        <v>508</v>
      </c>
      <c r="I72" s="426">
        <f t="shared" si="7"/>
        <v>18.802710471245238</v>
      </c>
      <c r="J72" s="506" t="s">
        <v>509</v>
      </c>
      <c r="K72" s="726"/>
    </row>
    <row r="73" spans="1:12" s="385" customFormat="1" ht="18.75" customHeight="1" x14ac:dyDescent="0.25">
      <c r="A73" s="504" t="s">
        <v>516</v>
      </c>
      <c r="B73" s="505">
        <v>58.4</v>
      </c>
      <c r="C73" s="424">
        <f t="shared" si="5"/>
        <v>168865.55076699622</v>
      </c>
      <c r="D73" s="424">
        <f t="shared" si="2"/>
        <v>101319.33046019773</v>
      </c>
      <c r="E73" s="424">
        <f t="shared" si="3"/>
        <v>130000</v>
      </c>
      <c r="F73" s="424">
        <f t="shared" si="4"/>
        <v>110</v>
      </c>
      <c r="G73" s="424">
        <f t="shared" si="6"/>
        <v>1316.1897329871667</v>
      </c>
      <c r="H73" s="424" t="s">
        <v>508</v>
      </c>
      <c r="I73" s="426">
        <f t="shared" si="7"/>
        <v>18.802710471245238</v>
      </c>
      <c r="J73" s="506" t="s">
        <v>509</v>
      </c>
      <c r="K73" s="726"/>
    </row>
    <row r="74" spans="1:12" s="385" customFormat="1" ht="18.75" customHeight="1" x14ac:dyDescent="0.25">
      <c r="A74" s="504" t="s">
        <v>517</v>
      </c>
      <c r="B74" s="505">
        <v>58.4</v>
      </c>
      <c r="C74" s="424">
        <f t="shared" si="5"/>
        <v>168865.55076699622</v>
      </c>
      <c r="D74" s="424">
        <f t="shared" si="2"/>
        <v>101319.33046019773</v>
      </c>
      <c r="E74" s="424">
        <f t="shared" si="3"/>
        <v>130000</v>
      </c>
      <c r="F74" s="424">
        <f t="shared" si="4"/>
        <v>110</v>
      </c>
      <c r="G74" s="424">
        <f t="shared" si="6"/>
        <v>1316.1897329871667</v>
      </c>
      <c r="H74" s="424" t="s">
        <v>508</v>
      </c>
      <c r="I74" s="426">
        <f t="shared" si="7"/>
        <v>18.802710471245238</v>
      </c>
      <c r="J74" s="506" t="s">
        <v>509</v>
      </c>
      <c r="K74" s="726"/>
    </row>
    <row r="75" spans="1:12" s="385" customFormat="1" ht="18.75" customHeight="1" x14ac:dyDescent="0.25">
      <c r="A75" s="504" t="s">
        <v>518</v>
      </c>
      <c r="B75" s="505">
        <v>57.6</v>
      </c>
      <c r="C75" s="424">
        <f t="shared" si="5"/>
        <v>170629.15965229127</v>
      </c>
      <c r="D75" s="424">
        <f t="shared" si="2"/>
        <v>102377.49579137476</v>
      </c>
      <c r="E75" s="424">
        <f t="shared" si="3"/>
        <v>130000</v>
      </c>
      <c r="F75" s="424">
        <f t="shared" si="4"/>
        <v>110</v>
      </c>
      <c r="G75" s="424">
        <f t="shared" si="6"/>
        <v>1316.1897329871667</v>
      </c>
      <c r="H75" s="424" t="s">
        <v>508</v>
      </c>
      <c r="I75" s="426">
        <f t="shared" si="7"/>
        <v>18.802710471245238</v>
      </c>
      <c r="J75" s="506" t="s">
        <v>509</v>
      </c>
      <c r="K75" s="726"/>
    </row>
    <row r="76" spans="1:12" s="385" customFormat="1" ht="18.75" customHeight="1" x14ac:dyDescent="0.25">
      <c r="A76" s="504" t="s">
        <v>295</v>
      </c>
      <c r="B76" s="505">
        <v>57.1</v>
      </c>
      <c r="C76" s="424">
        <f t="shared" si="5"/>
        <v>171731.41520560064</v>
      </c>
      <c r="D76" s="424">
        <f t="shared" si="2"/>
        <v>103038.84912336039</v>
      </c>
      <c r="E76" s="424">
        <f t="shared" si="3"/>
        <v>130000</v>
      </c>
      <c r="F76" s="424">
        <f t="shared" si="4"/>
        <v>110</v>
      </c>
      <c r="G76" s="424">
        <f t="shared" si="6"/>
        <v>1316.1897329871667</v>
      </c>
      <c r="H76" s="424" t="s">
        <v>508</v>
      </c>
      <c r="I76" s="426">
        <f t="shared" si="7"/>
        <v>18.802710471245238</v>
      </c>
      <c r="J76" s="506" t="s">
        <v>509</v>
      </c>
      <c r="K76" s="726"/>
    </row>
    <row r="77" spans="1:12" s="385" customFormat="1" ht="18.75" customHeight="1" x14ac:dyDescent="0.25">
      <c r="A77" s="504" t="s">
        <v>296</v>
      </c>
      <c r="B77" s="505">
        <v>50.5</v>
      </c>
      <c r="C77" s="424">
        <f t="shared" si="5"/>
        <v>186281.18850928437</v>
      </c>
      <c r="D77" s="424">
        <f t="shared" si="2"/>
        <v>111768.71310557063</v>
      </c>
      <c r="E77" s="424">
        <f t="shared" si="3"/>
        <v>145000</v>
      </c>
      <c r="F77" s="424">
        <f t="shared" si="4"/>
        <v>110</v>
      </c>
      <c r="G77" s="424">
        <f t="shared" si="6"/>
        <v>1334.9397329871667</v>
      </c>
      <c r="H77" s="424" t="s">
        <v>508</v>
      </c>
      <c r="I77" s="426">
        <f t="shared" si="7"/>
        <v>19.070567614102384</v>
      </c>
      <c r="J77" s="506" t="s">
        <v>509</v>
      </c>
      <c r="K77" s="726"/>
    </row>
    <row r="78" spans="1:12" s="385" customFormat="1" ht="18.75" customHeight="1" x14ac:dyDescent="0.25">
      <c r="A78" s="504" t="s">
        <v>297</v>
      </c>
      <c r="B78" s="505">
        <v>51.4</v>
      </c>
      <c r="C78" s="424">
        <f t="shared" si="5"/>
        <v>184297.12851332751</v>
      </c>
      <c r="D78" s="424">
        <f t="shared" si="2"/>
        <v>110578.2771079965</v>
      </c>
      <c r="E78" s="424">
        <f t="shared" si="3"/>
        <v>145000</v>
      </c>
      <c r="F78" s="424">
        <f t="shared" si="4"/>
        <v>110</v>
      </c>
      <c r="G78" s="424">
        <f t="shared" si="6"/>
        <v>1334.9397329871667</v>
      </c>
      <c r="H78" s="424" t="s">
        <v>508</v>
      </c>
      <c r="I78" s="426">
        <f t="shared" si="7"/>
        <v>19.070567614102384</v>
      </c>
      <c r="J78" s="506" t="s">
        <v>509</v>
      </c>
      <c r="K78" s="726"/>
    </row>
    <row r="79" spans="1:12" s="385" customFormat="1" ht="18.75" customHeight="1" x14ac:dyDescent="0.25">
      <c r="A79" s="504" t="s">
        <v>298</v>
      </c>
      <c r="B79" s="505">
        <v>51.7</v>
      </c>
      <c r="C79" s="424">
        <f t="shared" si="5"/>
        <v>183635.77518134189</v>
      </c>
      <c r="D79" s="424">
        <f t="shared" si="2"/>
        <v>110181.46510880513</v>
      </c>
      <c r="E79" s="424">
        <f t="shared" si="3"/>
        <v>145000</v>
      </c>
      <c r="F79" s="424">
        <f t="shared" si="4"/>
        <v>110</v>
      </c>
      <c r="G79" s="424">
        <f t="shared" si="6"/>
        <v>1334.9397329871667</v>
      </c>
      <c r="H79" s="424" t="s">
        <v>508</v>
      </c>
      <c r="I79" s="426">
        <f t="shared" si="7"/>
        <v>19.070567614102384</v>
      </c>
      <c r="J79" s="506" t="s">
        <v>509</v>
      </c>
      <c r="K79" s="726"/>
    </row>
    <row r="80" spans="1:12" s="385" customFormat="1" ht="18.75" customHeight="1" x14ac:dyDescent="0.25">
      <c r="A80" s="504" t="s">
        <v>299</v>
      </c>
      <c r="B80" s="505">
        <v>50.1</v>
      </c>
      <c r="C80" s="424">
        <f t="shared" si="5"/>
        <v>187162.9929519319</v>
      </c>
      <c r="D80" s="424">
        <f t="shared" si="2"/>
        <v>112297.79577115913</v>
      </c>
      <c r="E80" s="424">
        <f t="shared" si="3"/>
        <v>145000</v>
      </c>
      <c r="F80" s="424">
        <f t="shared" si="4"/>
        <v>110</v>
      </c>
      <c r="G80" s="424">
        <f t="shared" si="6"/>
        <v>1334.9397329871667</v>
      </c>
      <c r="H80" s="424" t="s">
        <v>508</v>
      </c>
      <c r="I80" s="426">
        <f t="shared" si="7"/>
        <v>19.070567614102384</v>
      </c>
      <c r="J80" s="506" t="s">
        <v>509</v>
      </c>
      <c r="K80" s="726"/>
    </row>
    <row r="81" spans="1:11" s="385" customFormat="1" ht="18.75" customHeight="1" x14ac:dyDescent="0.25">
      <c r="A81" s="504" t="s">
        <v>300</v>
      </c>
      <c r="B81" s="505">
        <v>63.2</v>
      </c>
      <c r="C81" s="424">
        <f t="shared" si="5"/>
        <v>158283.89745522625</v>
      </c>
      <c r="D81" s="424">
        <f t="shared" si="2"/>
        <v>94970.338473135751</v>
      </c>
      <c r="E81" s="424">
        <f t="shared" si="3"/>
        <v>120000</v>
      </c>
      <c r="F81" s="424">
        <f t="shared" si="4"/>
        <v>110</v>
      </c>
      <c r="G81" s="424">
        <f t="shared" si="6"/>
        <v>1303.6897329871667</v>
      </c>
      <c r="H81" s="424" t="s">
        <v>508</v>
      </c>
      <c r="I81" s="426">
        <f t="shared" si="7"/>
        <v>18.624139042673811</v>
      </c>
      <c r="J81" s="506" t="s">
        <v>509</v>
      </c>
      <c r="K81" s="726"/>
    </row>
    <row r="82" spans="1:11" s="385" customFormat="1" ht="18.75" customHeight="1" x14ac:dyDescent="0.25">
      <c r="A82" s="504" t="s">
        <v>301</v>
      </c>
      <c r="B82" s="505">
        <v>41.4</v>
      </c>
      <c r="C82" s="424">
        <f t="shared" si="5"/>
        <v>206342.23957951498</v>
      </c>
      <c r="D82" s="424">
        <f t="shared" si="2"/>
        <v>123805.34374770898</v>
      </c>
      <c r="E82" s="424">
        <f t="shared" si="3"/>
        <v>156000</v>
      </c>
      <c r="F82" s="424">
        <f t="shared" si="4"/>
        <v>110</v>
      </c>
      <c r="G82" s="424">
        <f t="shared" si="6"/>
        <v>1348.6897329871667</v>
      </c>
      <c r="H82" s="424" t="s">
        <v>508</v>
      </c>
      <c r="I82" s="426">
        <f t="shared" si="7"/>
        <v>19.266996185530953</v>
      </c>
      <c r="J82" s="506" t="s">
        <v>509</v>
      </c>
      <c r="K82" s="727"/>
    </row>
    <row r="83" spans="1:11" s="385" customFormat="1" ht="14.4" x14ac:dyDescent="0.3">
      <c r="C83" s="395"/>
      <c r="D83" s="395"/>
      <c r="F83" s="395"/>
      <c r="G83" s="395"/>
    </row>
    <row r="84" spans="1:11" s="385" customFormat="1" ht="14.4" x14ac:dyDescent="0.3">
      <c r="C84" s="395"/>
      <c r="D84" s="395"/>
      <c r="F84" s="395"/>
      <c r="G84" s="395"/>
    </row>
    <row r="85" spans="1:11" s="385" customFormat="1" ht="14.4" x14ac:dyDescent="0.3">
      <c r="C85" s="395"/>
      <c r="D85" s="395"/>
      <c r="F85" s="395"/>
      <c r="G85" s="395"/>
    </row>
    <row r="86" spans="1:11" s="385" customFormat="1" ht="24.75" customHeight="1" x14ac:dyDescent="0.25">
      <c r="A86" s="718" t="s">
        <v>519</v>
      </c>
      <c r="B86" s="719"/>
      <c r="C86" s="643"/>
      <c r="D86" s="643"/>
      <c r="E86" s="643"/>
      <c r="F86" s="643"/>
      <c r="G86" s="643"/>
      <c r="H86" s="643"/>
    </row>
    <row r="87" spans="1:11" s="397" customFormat="1" ht="31.5" customHeight="1" x14ac:dyDescent="0.25">
      <c r="A87" s="418" t="s">
        <v>520</v>
      </c>
      <c r="B87" s="507" t="s">
        <v>521</v>
      </c>
      <c r="C87" s="508" t="s">
        <v>522</v>
      </c>
      <c r="D87" s="509" t="s">
        <v>523</v>
      </c>
      <c r="E87" s="510" t="s">
        <v>524</v>
      </c>
      <c r="F87" s="509" t="s">
        <v>525</v>
      </c>
      <c r="G87" s="511" t="s">
        <v>526</v>
      </c>
      <c r="H87" s="512" t="s">
        <v>527</v>
      </c>
      <c r="I87" s="396" t="str">
        <f>HYPERLINK("#'Note'!A1","Sources and links → Note tab")</f>
        <v>Sources and links → Note tab</v>
      </c>
    </row>
    <row r="88" spans="1:11" s="385" customFormat="1" ht="13.8" x14ac:dyDescent="0.25">
      <c r="A88" s="524">
        <v>60000</v>
      </c>
      <c r="B88" s="419" t="s">
        <v>528</v>
      </c>
      <c r="C88" s="514">
        <v>1.5</v>
      </c>
      <c r="D88" s="515">
        <v>5118</v>
      </c>
      <c r="E88" s="516">
        <v>34</v>
      </c>
      <c r="F88" s="516" t="s">
        <v>529</v>
      </c>
      <c r="G88" s="516">
        <v>6</v>
      </c>
      <c r="H88" s="517" t="s">
        <v>528</v>
      </c>
    </row>
    <row r="89" spans="1:11" s="385" customFormat="1" ht="13.8" x14ac:dyDescent="0.25">
      <c r="A89" s="525">
        <v>75100</v>
      </c>
      <c r="B89" s="523" t="s">
        <v>528</v>
      </c>
      <c r="C89" s="518">
        <v>2</v>
      </c>
      <c r="D89" s="423">
        <v>6824</v>
      </c>
      <c r="E89" s="513">
        <v>35</v>
      </c>
      <c r="F89" s="513" t="s">
        <v>528</v>
      </c>
      <c r="G89" s="513">
        <v>10</v>
      </c>
      <c r="H89" s="519" t="s">
        <v>528</v>
      </c>
    </row>
    <row r="90" spans="1:11" s="385" customFormat="1" ht="13.8" x14ac:dyDescent="0.25">
      <c r="A90" s="525">
        <v>76000</v>
      </c>
      <c r="B90" s="420" t="s">
        <v>530</v>
      </c>
      <c r="C90" s="518">
        <v>3</v>
      </c>
      <c r="D90" s="423">
        <v>10236</v>
      </c>
      <c r="E90" s="513">
        <v>48</v>
      </c>
      <c r="F90" s="513" t="s">
        <v>528</v>
      </c>
      <c r="G90" s="513">
        <v>15</v>
      </c>
      <c r="H90" s="519" t="s">
        <v>528</v>
      </c>
    </row>
    <row r="91" spans="1:11" s="385" customFormat="1" ht="13.8" x14ac:dyDescent="0.25">
      <c r="A91" s="525">
        <v>80000</v>
      </c>
      <c r="B91" s="420" t="s">
        <v>528</v>
      </c>
      <c r="C91" s="518">
        <v>4.5</v>
      </c>
      <c r="D91" s="423">
        <v>15355</v>
      </c>
      <c r="E91" s="513">
        <v>50</v>
      </c>
      <c r="F91" s="513" t="s">
        <v>530</v>
      </c>
      <c r="G91" s="513">
        <v>20</v>
      </c>
      <c r="H91" s="519" t="s">
        <v>528</v>
      </c>
    </row>
    <row r="92" spans="1:11" s="385" customFormat="1" ht="13.8" x14ac:dyDescent="0.25">
      <c r="A92" s="525">
        <v>99900</v>
      </c>
      <c r="B92" s="420" t="s">
        <v>529</v>
      </c>
      <c r="C92" s="518">
        <v>6</v>
      </c>
      <c r="D92" s="423">
        <v>20473</v>
      </c>
      <c r="E92" s="513">
        <v>55</v>
      </c>
      <c r="F92" s="513" t="s">
        <v>529</v>
      </c>
      <c r="G92" s="513">
        <v>28</v>
      </c>
      <c r="H92" s="519" t="s">
        <v>528</v>
      </c>
    </row>
    <row r="93" spans="1:11" s="385" customFormat="1" ht="13.8" x14ac:dyDescent="0.25">
      <c r="A93" s="525">
        <v>100000</v>
      </c>
      <c r="B93" s="420" t="s">
        <v>530</v>
      </c>
      <c r="C93" s="518">
        <v>8</v>
      </c>
      <c r="D93" s="423">
        <v>27297</v>
      </c>
      <c r="E93" s="513">
        <v>60</v>
      </c>
      <c r="F93" s="513" t="s">
        <v>529</v>
      </c>
      <c r="G93" s="513">
        <v>30</v>
      </c>
      <c r="H93" s="519" t="s">
        <v>528</v>
      </c>
    </row>
    <row r="94" spans="1:11" s="385" customFormat="1" ht="13.8" x14ac:dyDescent="0.25">
      <c r="A94" s="525">
        <v>120000</v>
      </c>
      <c r="B94" s="420" t="s">
        <v>529</v>
      </c>
      <c r="C94" s="518">
        <v>9</v>
      </c>
      <c r="D94" s="513">
        <v>30709</v>
      </c>
      <c r="E94" s="513">
        <v>65</v>
      </c>
      <c r="F94" s="513" t="s">
        <v>530</v>
      </c>
      <c r="G94" s="513">
        <v>36</v>
      </c>
      <c r="H94" s="519" t="s">
        <v>528</v>
      </c>
    </row>
    <row r="95" spans="1:11" s="385" customFormat="1" ht="13.8" x14ac:dyDescent="0.25">
      <c r="A95" s="525">
        <v>125000</v>
      </c>
      <c r="B95" s="420" t="s">
        <v>530</v>
      </c>
      <c r="C95" s="518">
        <v>10</v>
      </c>
      <c r="D95" s="513">
        <v>34121</v>
      </c>
      <c r="E95" s="513">
        <v>72</v>
      </c>
      <c r="F95" s="513" t="s">
        <v>528</v>
      </c>
      <c r="G95" s="513">
        <v>40</v>
      </c>
      <c r="H95" s="519" t="s">
        <v>528</v>
      </c>
    </row>
    <row r="96" spans="1:11" s="385" customFormat="1" ht="13.8" x14ac:dyDescent="0.25">
      <c r="A96" s="525">
        <v>130000</v>
      </c>
      <c r="B96" s="420" t="s">
        <v>530</v>
      </c>
      <c r="C96" s="518">
        <v>12</v>
      </c>
      <c r="D96" s="513">
        <v>40946</v>
      </c>
      <c r="E96" s="513">
        <v>75</v>
      </c>
      <c r="F96" s="513" t="s">
        <v>530</v>
      </c>
      <c r="G96" s="513">
        <v>47</v>
      </c>
      <c r="H96" s="519"/>
    </row>
    <row r="97" spans="1:8" s="385" customFormat="1" ht="13.8" x14ac:dyDescent="0.25">
      <c r="A97" s="525">
        <v>145000</v>
      </c>
      <c r="B97" s="420" t="s">
        <v>529</v>
      </c>
      <c r="C97" s="518">
        <v>12.1</v>
      </c>
      <c r="D97" s="513">
        <v>41287</v>
      </c>
      <c r="E97" s="513">
        <v>76</v>
      </c>
      <c r="F97" s="513" t="s">
        <v>528</v>
      </c>
      <c r="G97" s="513">
        <v>50</v>
      </c>
      <c r="H97" s="519"/>
    </row>
    <row r="98" spans="1:8" s="385" customFormat="1" ht="13.8" x14ac:dyDescent="0.25">
      <c r="A98" s="525">
        <v>150000</v>
      </c>
      <c r="B98" s="420" t="s">
        <v>529</v>
      </c>
      <c r="C98" s="518">
        <v>18</v>
      </c>
      <c r="D98" s="513">
        <v>61419</v>
      </c>
      <c r="E98" s="513">
        <v>80</v>
      </c>
      <c r="F98" s="513" t="s">
        <v>530</v>
      </c>
      <c r="G98" s="513">
        <v>65</v>
      </c>
      <c r="H98" s="519"/>
    </row>
    <row r="99" spans="1:8" s="385" customFormat="1" x14ac:dyDescent="0.25">
      <c r="A99" s="525">
        <v>156000</v>
      </c>
      <c r="B99" s="421" t="s">
        <v>528</v>
      </c>
      <c r="C99" s="518">
        <v>24</v>
      </c>
      <c r="D99" s="513">
        <v>81891</v>
      </c>
      <c r="E99" s="513">
        <v>82</v>
      </c>
      <c r="F99" s="513" t="s">
        <v>528</v>
      </c>
      <c r="G99" s="513">
        <v>80</v>
      </c>
      <c r="H99" s="519"/>
    </row>
    <row r="100" spans="1:8" s="385" customFormat="1" x14ac:dyDescent="0.25">
      <c r="A100" s="525">
        <v>160000</v>
      </c>
      <c r="B100" s="421" t="s">
        <v>530</v>
      </c>
      <c r="C100" s="518">
        <v>27</v>
      </c>
      <c r="D100" s="513">
        <v>92128</v>
      </c>
      <c r="E100" s="513">
        <v>85</v>
      </c>
      <c r="F100" s="513" t="s">
        <v>528</v>
      </c>
      <c r="G100" s="513">
        <v>85</v>
      </c>
      <c r="H100" s="519"/>
    </row>
    <row r="101" spans="1:8" s="385" customFormat="1" x14ac:dyDescent="0.25">
      <c r="A101" s="525">
        <v>175000</v>
      </c>
      <c r="B101" s="421" t="s">
        <v>529</v>
      </c>
      <c r="C101" s="518">
        <v>36</v>
      </c>
      <c r="D101" s="513">
        <v>122837</v>
      </c>
      <c r="E101" s="513">
        <v>90</v>
      </c>
      <c r="F101" s="513" t="s">
        <v>530</v>
      </c>
      <c r="G101" s="513">
        <v>105</v>
      </c>
      <c r="H101" s="519"/>
    </row>
    <row r="102" spans="1:8" s="385" customFormat="1" x14ac:dyDescent="0.25">
      <c r="A102" s="525">
        <v>180000</v>
      </c>
      <c r="B102" s="421" t="s">
        <v>528</v>
      </c>
      <c r="C102" s="518">
        <v>54</v>
      </c>
      <c r="D102" s="513">
        <v>184256</v>
      </c>
      <c r="E102" s="513">
        <v>91</v>
      </c>
      <c r="F102" s="513" t="s">
        <v>528</v>
      </c>
      <c r="G102" s="513">
        <v>120</v>
      </c>
      <c r="H102" s="519"/>
    </row>
    <row r="103" spans="1:8" s="385" customFormat="1" x14ac:dyDescent="0.25">
      <c r="A103" s="525">
        <v>199000</v>
      </c>
      <c r="B103" s="421" t="s">
        <v>529</v>
      </c>
      <c r="C103" s="518"/>
      <c r="D103" s="513"/>
      <c r="E103" s="513">
        <v>100</v>
      </c>
      <c r="F103" s="513" t="s">
        <v>530</v>
      </c>
      <c r="G103" s="513"/>
      <c r="H103" s="519"/>
    </row>
    <row r="104" spans="1:8" s="385" customFormat="1" x14ac:dyDescent="0.25">
      <c r="A104" s="525">
        <v>199900</v>
      </c>
      <c r="B104" s="421" t="s">
        <v>530</v>
      </c>
      <c r="C104" s="518"/>
      <c r="D104" s="513"/>
      <c r="E104" s="513">
        <v>110</v>
      </c>
      <c r="F104" s="513" t="s">
        <v>529</v>
      </c>
      <c r="G104" s="513"/>
      <c r="H104" s="519"/>
    </row>
    <row r="105" spans="1:8" s="385" customFormat="1" x14ac:dyDescent="0.25">
      <c r="A105" s="525">
        <v>200000</v>
      </c>
      <c r="B105" s="421" t="s">
        <v>529</v>
      </c>
      <c r="C105" s="518"/>
      <c r="D105" s="513"/>
      <c r="E105" s="513">
        <v>119</v>
      </c>
      <c r="F105" s="513" t="s">
        <v>530</v>
      </c>
      <c r="G105" s="513"/>
      <c r="H105" s="519"/>
    </row>
    <row r="106" spans="1:8" s="385" customFormat="1" x14ac:dyDescent="0.25">
      <c r="A106" s="525">
        <v>250000</v>
      </c>
      <c r="B106" s="421" t="s">
        <v>530</v>
      </c>
      <c r="C106" s="520"/>
      <c r="D106" s="521"/>
      <c r="E106" s="521">
        <v>125</v>
      </c>
      <c r="F106" s="521" t="s">
        <v>529</v>
      </c>
      <c r="G106" s="521"/>
      <c r="H106" s="522"/>
    </row>
    <row r="107" spans="1:8" s="385" customFormat="1" ht="14.4" x14ac:dyDescent="0.25">
      <c r="A107" s="525">
        <v>251000</v>
      </c>
      <c r="B107" s="422" t="s">
        <v>529</v>
      </c>
      <c r="C107" s="399"/>
      <c r="D107" s="399"/>
      <c r="E107" s="400"/>
      <c r="F107" s="399"/>
      <c r="G107" s="399"/>
    </row>
    <row r="108" spans="1:8" s="385" customFormat="1" ht="14.4" x14ac:dyDescent="0.25">
      <c r="A108" s="525">
        <v>270000</v>
      </c>
      <c r="B108" s="422" t="s">
        <v>528</v>
      </c>
      <c r="C108" s="399"/>
      <c r="D108" s="399"/>
      <c r="E108" s="400"/>
      <c r="F108" s="399"/>
      <c r="G108" s="399"/>
    </row>
    <row r="109" spans="1:8" s="385" customFormat="1" ht="14.4" x14ac:dyDescent="0.25">
      <c r="A109" s="525">
        <v>285000</v>
      </c>
      <c r="B109" s="422" t="s">
        <v>529</v>
      </c>
      <c r="C109" s="399"/>
      <c r="D109" s="399"/>
      <c r="E109" s="400"/>
      <c r="F109" s="399"/>
      <c r="G109" s="399"/>
    </row>
    <row r="110" spans="1:8" s="385" customFormat="1" ht="14.4" x14ac:dyDescent="0.25">
      <c r="A110" s="525">
        <v>300000</v>
      </c>
      <c r="B110" s="422" t="s">
        <v>530</v>
      </c>
      <c r="C110" s="399"/>
      <c r="D110" s="399"/>
      <c r="E110" s="400"/>
      <c r="F110" s="399"/>
      <c r="G110" s="399"/>
    </row>
    <row r="111" spans="1:8" s="385" customFormat="1" ht="14.4" x14ac:dyDescent="0.25">
      <c r="A111" s="525">
        <v>320000</v>
      </c>
      <c r="B111" s="422" t="s">
        <v>529</v>
      </c>
      <c r="C111" s="399"/>
      <c r="D111" s="399"/>
      <c r="E111" s="400"/>
      <c r="F111" s="399"/>
      <c r="G111" s="399"/>
    </row>
    <row r="112" spans="1:8" s="385" customFormat="1" ht="14.4" x14ac:dyDescent="0.25">
      <c r="A112" s="525">
        <v>360000</v>
      </c>
      <c r="B112" s="422" t="s">
        <v>528</v>
      </c>
      <c r="C112" s="399"/>
      <c r="D112" s="399"/>
      <c r="E112" s="400"/>
      <c r="F112" s="399"/>
      <c r="G112" s="399"/>
    </row>
    <row r="113" spans="1:38" s="385" customFormat="1" ht="14.4" x14ac:dyDescent="0.25">
      <c r="A113" s="525">
        <v>398000</v>
      </c>
      <c r="B113" s="422" t="s">
        <v>529</v>
      </c>
      <c r="C113" s="399"/>
      <c r="D113" s="399"/>
      <c r="E113" s="400"/>
      <c r="F113" s="399"/>
      <c r="G113" s="399"/>
    </row>
    <row r="114" spans="1:38" s="385" customFormat="1" ht="14.4" x14ac:dyDescent="0.25">
      <c r="A114" s="525">
        <v>399000</v>
      </c>
      <c r="B114" s="422" t="s">
        <v>529</v>
      </c>
      <c r="C114" s="399"/>
      <c r="D114" s="399"/>
      <c r="E114" s="400"/>
      <c r="F114" s="399"/>
      <c r="G114" s="399"/>
    </row>
    <row r="115" spans="1:38" s="385" customFormat="1" ht="14.4" x14ac:dyDescent="0.25">
      <c r="A115" s="525">
        <v>399900</v>
      </c>
      <c r="B115" s="422" t="s">
        <v>530</v>
      </c>
      <c r="C115" s="399"/>
      <c r="D115" s="399"/>
      <c r="E115" s="400"/>
      <c r="F115" s="399"/>
      <c r="G115" s="399"/>
    </row>
    <row r="116" spans="1:38" s="385" customFormat="1" ht="14.4" x14ac:dyDescent="0.25">
      <c r="A116" s="525">
        <v>499900</v>
      </c>
      <c r="B116" s="422" t="s">
        <v>528</v>
      </c>
      <c r="C116" s="399"/>
      <c r="D116" s="399"/>
      <c r="E116" s="400"/>
      <c r="F116" s="399"/>
      <c r="G116" s="399"/>
    </row>
    <row r="117" spans="1:38" s="385" customFormat="1" ht="14.4" x14ac:dyDescent="0.25">
      <c r="A117" s="525">
        <v>550000</v>
      </c>
      <c r="B117" s="422" t="s">
        <v>528</v>
      </c>
      <c r="C117" s="399"/>
      <c r="D117" s="399"/>
      <c r="E117" s="400"/>
      <c r="F117" s="399"/>
      <c r="G117" s="399"/>
    </row>
    <row r="118" spans="1:38" s="385" customFormat="1" ht="14.4" x14ac:dyDescent="0.25">
      <c r="A118" s="525">
        <v>715000</v>
      </c>
      <c r="B118" s="422" t="s">
        <v>528</v>
      </c>
      <c r="C118" s="399"/>
      <c r="D118" s="399"/>
      <c r="E118" s="400"/>
      <c r="F118" s="399"/>
      <c r="G118" s="399"/>
    </row>
    <row r="119" spans="1:38" s="385" customFormat="1" ht="14.4" x14ac:dyDescent="0.25">
      <c r="A119" s="526"/>
      <c r="B119" s="398"/>
      <c r="C119" s="399"/>
      <c r="D119" s="399"/>
      <c r="E119" s="400"/>
      <c r="F119" s="399"/>
      <c r="G119" s="399"/>
    </row>
    <row r="120" spans="1:38" s="385" customFormat="1" ht="14.4" x14ac:dyDescent="0.25">
      <c r="A120" s="526"/>
      <c r="B120" s="398"/>
      <c r="C120" s="399"/>
      <c r="D120" s="399"/>
      <c r="E120" s="400"/>
      <c r="F120" s="399"/>
      <c r="G120" s="399"/>
    </row>
    <row r="121" spans="1:38" s="385" customFormat="1" ht="14.4" x14ac:dyDescent="0.25">
      <c r="A121" s="526"/>
      <c r="B121" s="398"/>
      <c r="C121" s="399"/>
      <c r="D121" s="399"/>
      <c r="E121" s="400"/>
      <c r="F121" s="399"/>
      <c r="G121" s="399"/>
    </row>
    <row r="122" spans="1:38" s="385" customFormat="1" ht="14.4" x14ac:dyDescent="0.25">
      <c r="A122" s="526"/>
      <c r="B122" s="398"/>
      <c r="C122" s="399"/>
      <c r="D122" s="399"/>
      <c r="E122" s="400"/>
      <c r="F122" s="399"/>
      <c r="G122" s="399"/>
    </row>
    <row r="123" spans="1:38" s="385" customFormat="1" ht="14.4" x14ac:dyDescent="0.25">
      <c r="A123" s="526"/>
      <c r="B123" s="398"/>
      <c r="C123" s="399"/>
      <c r="D123" s="399"/>
      <c r="E123" s="400"/>
      <c r="F123" s="399"/>
      <c r="G123" s="399"/>
    </row>
    <row r="124" spans="1:38" s="385" customFormat="1" ht="14.4" x14ac:dyDescent="0.25">
      <c r="A124" s="527"/>
      <c r="B124" s="401"/>
      <c r="C124" s="399"/>
      <c r="D124" s="399"/>
      <c r="E124" s="400"/>
      <c r="F124" s="399"/>
      <c r="G124" s="399"/>
    </row>
    <row r="125" spans="1:38" customFormat="1" ht="14.4" x14ac:dyDescent="0.3">
      <c r="U125" s="385"/>
      <c r="V125" s="385"/>
      <c r="W125" s="385"/>
      <c r="X125" s="385"/>
      <c r="Y125" s="385"/>
      <c r="Z125" s="385"/>
      <c r="AA125" s="385"/>
      <c r="AB125" s="385"/>
      <c r="AC125" s="385"/>
      <c r="AD125" s="385"/>
      <c r="AE125" s="385"/>
      <c r="AF125" s="385"/>
      <c r="AG125" s="385"/>
      <c r="AH125" s="385"/>
      <c r="AI125" s="385"/>
      <c r="AJ125" s="385"/>
      <c r="AK125" s="385"/>
      <c r="AL125" s="385"/>
    </row>
    <row r="126" spans="1:38" customFormat="1" ht="14.4" x14ac:dyDescent="0.3">
      <c r="U126" s="385"/>
      <c r="V126" s="385"/>
      <c r="W126" s="385"/>
      <c r="X126" s="385"/>
      <c r="Y126" s="385"/>
      <c r="Z126" s="385"/>
      <c r="AA126" s="385"/>
      <c r="AB126" s="385"/>
      <c r="AC126" s="385"/>
      <c r="AD126" s="385"/>
      <c r="AE126" s="385"/>
      <c r="AF126" s="385"/>
      <c r="AG126" s="385"/>
      <c r="AH126" s="385"/>
      <c r="AI126" s="385"/>
      <c r="AJ126" s="385"/>
      <c r="AK126" s="385"/>
      <c r="AL126" s="385"/>
    </row>
    <row r="127" spans="1:38" customFormat="1" ht="14.4" x14ac:dyDescent="0.3">
      <c r="A127" s="5"/>
      <c r="B127" s="5"/>
      <c r="U127" s="385"/>
      <c r="V127" s="385"/>
      <c r="W127" s="385"/>
      <c r="X127" s="385"/>
      <c r="Y127" s="385"/>
      <c r="Z127" s="385"/>
      <c r="AA127" s="385"/>
      <c r="AB127" s="385"/>
      <c r="AC127" s="385"/>
      <c r="AD127" s="385"/>
      <c r="AE127" s="385"/>
      <c r="AF127" s="385"/>
      <c r="AG127" s="385"/>
      <c r="AH127" s="385"/>
      <c r="AI127" s="385"/>
      <c r="AJ127" s="385"/>
      <c r="AK127" s="385"/>
      <c r="AL127" s="385"/>
    </row>
    <row r="130" spans="1:61" hidden="1" x14ac:dyDescent="0.25">
      <c r="A130" s="151"/>
      <c r="B130" s="151"/>
      <c r="C130" s="151"/>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51"/>
      <c r="AX130" s="151"/>
      <c r="AY130" s="151"/>
      <c r="AZ130" s="151"/>
      <c r="BA130" s="151"/>
      <c r="BB130" s="151"/>
      <c r="BC130" s="151"/>
      <c r="BD130" s="151"/>
      <c r="BE130" s="151"/>
      <c r="BF130" s="151"/>
      <c r="BG130" s="151"/>
      <c r="BH130" s="151"/>
      <c r="BI130" s="151"/>
    </row>
    <row r="131" spans="1:61" hidden="1" x14ac:dyDescent="0.25"/>
    <row r="132" spans="1:61" hidden="1" x14ac:dyDescent="0.25"/>
    <row r="133" spans="1:61" hidden="1" x14ac:dyDescent="0.25"/>
    <row r="134" spans="1:61" hidden="1" x14ac:dyDescent="0.25"/>
    <row r="135" spans="1:61" hidden="1" x14ac:dyDescent="0.25"/>
    <row r="136" spans="1:61" hidden="1" x14ac:dyDescent="0.25"/>
    <row r="137" spans="1:61" hidden="1" x14ac:dyDescent="0.25"/>
    <row r="138" spans="1:61" hidden="1" x14ac:dyDescent="0.25"/>
    <row r="139" spans="1:61" hidden="1" x14ac:dyDescent="0.25"/>
    <row r="140" spans="1:61" hidden="1" x14ac:dyDescent="0.25"/>
    <row r="141" spans="1:61" hidden="1" x14ac:dyDescent="0.25"/>
    <row r="142" spans="1:61" hidden="1" x14ac:dyDescent="0.25"/>
    <row r="143" spans="1:61" hidden="1" x14ac:dyDescent="0.25"/>
    <row r="144" spans="1:61"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sheetData>
  <mergeCells count="11">
    <mergeCell ref="A86:H86"/>
    <mergeCell ref="A1:G1"/>
    <mergeCell ref="A65:K65"/>
    <mergeCell ref="G66:H66"/>
    <mergeCell ref="I66:J66"/>
    <mergeCell ref="K67:K82"/>
    <mergeCell ref="A6:H6"/>
    <mergeCell ref="H8:H55"/>
    <mergeCell ref="B56:E56"/>
    <mergeCell ref="H56:H57"/>
    <mergeCell ref="B57:E57"/>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37"/>
  <sheetViews>
    <sheetView zoomScaleNormal="100" workbookViewId="0">
      <selection sqref="A1:H1"/>
    </sheetView>
  </sheetViews>
  <sheetFormatPr defaultColWidth="8.6640625" defaultRowHeight="13.2" x14ac:dyDescent="0.25"/>
  <cols>
    <col min="1" max="1" width="48.5546875" style="5" bestFit="1" customWidth="1"/>
    <col min="2" max="2" width="20.33203125" style="5" customWidth="1"/>
    <col min="3" max="3" width="23.33203125" style="5" customWidth="1"/>
    <col min="4" max="4" width="24.33203125" style="5" customWidth="1"/>
    <col min="5" max="5" width="21" style="5" customWidth="1"/>
    <col min="6" max="6" width="24.33203125" style="5" customWidth="1"/>
    <col min="7" max="7" width="24.6640625" style="5" customWidth="1"/>
    <col min="8" max="8" width="40.88671875" style="5" customWidth="1"/>
    <col min="9" max="9" width="9.6640625" style="5" customWidth="1"/>
    <col min="10" max="10" width="9.44140625" style="5" customWidth="1"/>
    <col min="11" max="11" width="12.6640625" style="5" customWidth="1"/>
    <col min="12" max="12" width="14.6640625" style="5" customWidth="1"/>
    <col min="13" max="13" width="20.6640625" style="5" customWidth="1"/>
    <col min="14" max="14" width="19.6640625" style="5" customWidth="1"/>
    <col min="15" max="20" width="8.6640625" style="5"/>
    <col min="21" max="21" width="13.6640625" style="5" bestFit="1" customWidth="1"/>
    <col min="22" max="16384" width="8.6640625" style="5"/>
  </cols>
  <sheetData>
    <row r="1" spans="1:8" ht="25.95" customHeight="1" x14ac:dyDescent="0.25">
      <c r="A1" s="742" t="s">
        <v>531</v>
      </c>
      <c r="B1" s="710"/>
      <c r="C1" s="710"/>
      <c r="D1" s="710"/>
      <c r="E1" s="710"/>
      <c r="F1" s="710"/>
      <c r="G1" s="710"/>
      <c r="H1" s="710"/>
    </row>
    <row r="2" spans="1:8" ht="25.95" customHeight="1" x14ac:dyDescent="0.25">
      <c r="A2" s="752" t="s">
        <v>532</v>
      </c>
      <c r="B2" s="753" t="s">
        <v>533</v>
      </c>
      <c r="C2" s="753"/>
      <c r="D2" s="753"/>
      <c r="E2" s="753" t="s">
        <v>315</v>
      </c>
      <c r="F2" s="753"/>
      <c r="G2" s="753"/>
      <c r="H2" s="747" t="s">
        <v>367</v>
      </c>
    </row>
    <row r="3" spans="1:8" ht="31.2" customHeight="1" x14ac:dyDescent="0.25">
      <c r="A3" s="752"/>
      <c r="B3" s="610" t="s">
        <v>534</v>
      </c>
      <c r="C3" s="610" t="s">
        <v>535</v>
      </c>
      <c r="D3" s="610" t="s">
        <v>271</v>
      </c>
      <c r="E3" s="610" t="s">
        <v>536</v>
      </c>
      <c r="F3" s="610" t="s">
        <v>535</v>
      </c>
      <c r="G3" s="610" t="s">
        <v>271</v>
      </c>
      <c r="H3" s="748"/>
    </row>
    <row r="4" spans="1:8" ht="20.7" customHeight="1" x14ac:dyDescent="0.25">
      <c r="A4" s="202" t="s">
        <v>152</v>
      </c>
      <c r="B4" s="607">
        <v>0.4</v>
      </c>
      <c r="C4" s="189"/>
      <c r="D4" s="749" t="s">
        <v>537</v>
      </c>
      <c r="E4" s="188">
        <v>0.6</v>
      </c>
      <c r="F4" s="189"/>
      <c r="G4" s="743" t="s">
        <v>538</v>
      </c>
      <c r="H4" s="350"/>
    </row>
    <row r="5" spans="1:8" ht="19.95" customHeight="1" x14ac:dyDescent="0.25">
      <c r="A5" s="238" t="s">
        <v>161</v>
      </c>
      <c r="B5" s="607">
        <v>0.55000000000000004</v>
      </c>
      <c r="C5" s="603">
        <f>0.25*0.5</f>
        <v>0.125</v>
      </c>
      <c r="D5" s="750"/>
      <c r="E5" s="188">
        <v>0.85</v>
      </c>
      <c r="F5" s="603">
        <f>0.5*0.5</f>
        <v>0.25</v>
      </c>
      <c r="G5" s="744"/>
      <c r="H5" s="350"/>
    </row>
    <row r="6" spans="1:8" ht="19.95" customHeight="1" x14ac:dyDescent="0.25">
      <c r="A6" s="183" t="s">
        <v>163</v>
      </c>
      <c r="B6" s="607">
        <v>0.5</v>
      </c>
      <c r="C6" s="189"/>
      <c r="D6" s="750"/>
      <c r="E6" s="215">
        <v>0.5</v>
      </c>
      <c r="F6" s="189"/>
      <c r="G6" s="744"/>
      <c r="H6" s="350"/>
    </row>
    <row r="7" spans="1:8" ht="19.2" customHeight="1" x14ac:dyDescent="0.25">
      <c r="A7" s="202" t="s">
        <v>168</v>
      </c>
      <c r="B7" s="607">
        <v>0.6</v>
      </c>
      <c r="C7" s="603">
        <f>0.25*0.5</f>
        <v>0.125</v>
      </c>
      <c r="D7" s="750"/>
      <c r="E7" s="607">
        <v>0.7</v>
      </c>
      <c r="F7" s="189"/>
      <c r="G7" s="744"/>
      <c r="H7" s="350"/>
    </row>
    <row r="8" spans="1:8" ht="19.95" customHeight="1" x14ac:dyDescent="0.25">
      <c r="A8" s="202" t="s">
        <v>171</v>
      </c>
      <c r="B8" s="607">
        <v>0.6</v>
      </c>
      <c r="C8" s="189"/>
      <c r="D8" s="750"/>
      <c r="E8" s="607">
        <v>0.5</v>
      </c>
      <c r="F8" s="189"/>
      <c r="G8" s="744"/>
      <c r="H8" s="350"/>
    </row>
    <row r="9" spans="1:8" ht="19.95" customHeight="1" x14ac:dyDescent="0.25">
      <c r="A9" s="202" t="s">
        <v>177</v>
      </c>
      <c r="B9" s="607">
        <v>0.4</v>
      </c>
      <c r="C9" s="189"/>
      <c r="D9" s="750"/>
      <c r="E9" s="188">
        <v>0.4</v>
      </c>
      <c r="F9" s="189"/>
      <c r="G9" s="744"/>
      <c r="H9" s="350"/>
    </row>
    <row r="10" spans="1:8" ht="19.2" customHeight="1" x14ac:dyDescent="0.25">
      <c r="A10" s="258" t="s">
        <v>181</v>
      </c>
      <c r="B10" s="216">
        <v>0.41</v>
      </c>
      <c r="C10" s="189"/>
      <c r="D10" s="750"/>
      <c r="E10" s="415">
        <v>0.77</v>
      </c>
      <c r="F10" s="189"/>
      <c r="G10" s="744"/>
      <c r="H10" s="350"/>
    </row>
    <row r="11" spans="1:8" ht="19.95" customHeight="1" x14ac:dyDescent="0.25">
      <c r="A11" s="202" t="s">
        <v>247</v>
      </c>
      <c r="B11" s="607">
        <v>0.45</v>
      </c>
      <c r="C11" s="189"/>
      <c r="D11" s="750"/>
      <c r="E11" s="607">
        <v>0.45</v>
      </c>
      <c r="F11" s="189"/>
      <c r="G11" s="744"/>
      <c r="H11" s="350"/>
    </row>
    <row r="12" spans="1:8" ht="19.95" customHeight="1" x14ac:dyDescent="0.25">
      <c r="A12" s="202" t="s">
        <v>249</v>
      </c>
      <c r="B12" s="607">
        <v>0.4</v>
      </c>
      <c r="C12" s="189"/>
      <c r="D12" s="750"/>
      <c r="E12" s="188">
        <v>0.4</v>
      </c>
      <c r="F12" s="189"/>
      <c r="G12" s="744"/>
      <c r="H12" s="350"/>
    </row>
    <row r="13" spans="1:8" ht="19.95" customHeight="1" x14ac:dyDescent="0.25">
      <c r="A13" s="202" t="s">
        <v>252</v>
      </c>
      <c r="B13" s="607">
        <v>0.75</v>
      </c>
      <c r="C13" s="189"/>
      <c r="D13" s="750"/>
      <c r="E13" s="188">
        <v>0.85</v>
      </c>
      <c r="F13" s="189"/>
      <c r="G13" s="744"/>
      <c r="H13" s="350"/>
    </row>
    <row r="14" spans="1:8" ht="19.95" customHeight="1" x14ac:dyDescent="0.25">
      <c r="A14" s="202" t="s">
        <v>260</v>
      </c>
      <c r="B14" s="607">
        <v>0.65</v>
      </c>
      <c r="C14" s="189"/>
      <c r="D14" s="751"/>
      <c r="E14" s="188">
        <v>0.65</v>
      </c>
      <c r="F14" s="189"/>
      <c r="G14" s="745"/>
      <c r="H14" s="350"/>
    </row>
    <row r="15" spans="1:8" ht="12.75" customHeight="1" x14ac:dyDescent="0.25">
      <c r="A15" s="160"/>
      <c r="B15" s="602"/>
      <c r="D15" s="161"/>
      <c r="E15" s="162"/>
      <c r="G15" s="8"/>
    </row>
    <row r="16" spans="1:8" ht="73.95" customHeight="1" x14ac:dyDescent="0.25">
      <c r="A16" s="746" t="s">
        <v>539</v>
      </c>
      <c r="B16" s="746"/>
      <c r="C16" s="746"/>
      <c r="D16" s="746"/>
      <c r="E16" s="746"/>
      <c r="F16" s="746"/>
      <c r="G16" s="746"/>
    </row>
    <row r="17" spans="1:7" ht="13.2" customHeight="1" x14ac:dyDescent="0.25">
      <c r="A17" s="608"/>
      <c r="B17" s="608"/>
      <c r="C17" s="608"/>
      <c r="D17" s="608"/>
      <c r="E17" s="608"/>
      <c r="F17" s="608"/>
      <c r="G17" s="608"/>
    </row>
    <row r="18" spans="1:7" ht="13.2" customHeight="1" x14ac:dyDescent="0.25">
      <c r="A18" s="608"/>
      <c r="B18" s="608"/>
      <c r="C18" s="608"/>
      <c r="D18" s="608"/>
      <c r="E18" s="608"/>
      <c r="F18" s="608"/>
      <c r="G18" s="608"/>
    </row>
    <row r="19" spans="1:7" ht="13.2" customHeight="1" x14ac:dyDescent="0.25">
      <c r="A19" s="608"/>
      <c r="B19" s="608"/>
      <c r="C19" s="608"/>
      <c r="D19" s="608"/>
      <c r="E19" s="608"/>
      <c r="F19" s="608"/>
      <c r="G19" s="608"/>
    </row>
    <row r="20" spans="1:7" ht="13.2" customHeight="1" x14ac:dyDescent="0.25">
      <c r="A20" s="608"/>
      <c r="B20" s="608"/>
      <c r="C20" s="608"/>
      <c r="D20" s="608"/>
      <c r="E20" s="608"/>
      <c r="F20" s="608"/>
      <c r="G20" s="608"/>
    </row>
    <row r="24" spans="1:7" ht="13.2" customHeight="1" x14ac:dyDescent="0.25">
      <c r="G24" s="372"/>
    </row>
    <row r="25" spans="1:7" ht="13.2" customHeight="1" x14ac:dyDescent="0.25">
      <c r="G25" s="373"/>
    </row>
    <row r="26" spans="1:7" ht="13.2" customHeight="1" x14ac:dyDescent="0.25">
      <c r="G26" s="373"/>
    </row>
    <row r="27" spans="1:7" ht="13.2" customHeight="1" x14ac:dyDescent="0.25">
      <c r="G27" s="373"/>
    </row>
    <row r="28" spans="1:7" ht="13.2" customHeight="1" x14ac:dyDescent="0.25">
      <c r="G28" s="373"/>
    </row>
    <row r="29" spans="1:7" ht="13.2" customHeight="1" x14ac:dyDescent="0.25">
      <c r="G29" s="373"/>
    </row>
    <row r="30" spans="1:7" ht="13.2" customHeight="1" x14ac:dyDescent="0.25">
      <c r="G30" s="373"/>
    </row>
    <row r="31" spans="1:7" ht="13.2" customHeight="1" x14ac:dyDescent="0.25">
      <c r="G31" s="373"/>
    </row>
    <row r="32" spans="1:7" ht="13.2" customHeight="1" x14ac:dyDescent="0.25">
      <c r="G32" s="373"/>
    </row>
    <row r="33" spans="7:7" ht="13.2" customHeight="1" x14ac:dyDescent="0.25">
      <c r="G33" s="373"/>
    </row>
    <row r="34" spans="7:7" ht="13.2" customHeight="1" x14ac:dyDescent="0.25">
      <c r="G34" s="373"/>
    </row>
    <row r="35" spans="7:7" ht="13.2" customHeight="1" x14ac:dyDescent="0.25">
      <c r="G35" s="373"/>
    </row>
    <row r="36" spans="7:7" ht="13.2" customHeight="1" x14ac:dyDescent="0.25">
      <c r="G36" s="373"/>
    </row>
    <row r="37" spans="7:7" ht="13.2" customHeight="1" x14ac:dyDescent="0.25">
      <c r="G37" s="374"/>
    </row>
  </sheetData>
  <mergeCells count="8">
    <mergeCell ref="A1:H1"/>
    <mergeCell ref="G4:G14"/>
    <mergeCell ref="A16:G16"/>
    <mergeCell ref="H2:H3"/>
    <mergeCell ref="D4:D14"/>
    <mergeCell ref="A2:A3"/>
    <mergeCell ref="B2:D2"/>
    <mergeCell ref="E2:G2"/>
  </mergeCells>
  <phoneticPr fontId="5"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2959138-2769-4911-B3AB-DDA295328464}">
          <x14:formula1>
            <xm:f>Data!$A$2:$A$200</xm:f>
          </x14:formula1>
          <xm:sqref>A5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5"/>
  <sheetViews>
    <sheetView zoomScaleNormal="100" workbookViewId="0">
      <selection sqref="A1:D1"/>
    </sheetView>
  </sheetViews>
  <sheetFormatPr defaultColWidth="8.6640625" defaultRowHeight="13.2" x14ac:dyDescent="0.25"/>
  <cols>
    <col min="1" max="1" width="30.5546875" style="5" customWidth="1"/>
    <col min="2" max="2" width="38.44140625" style="5" customWidth="1"/>
    <col min="3" max="3" width="14.5546875" style="5" customWidth="1"/>
    <col min="4" max="4" width="15" style="5" customWidth="1"/>
    <col min="5" max="5" width="32.109375" style="5" customWidth="1"/>
    <col min="6" max="6" width="11.88671875" style="5" customWidth="1"/>
    <col min="7" max="7" width="15.109375" style="5" customWidth="1"/>
    <col min="8" max="8" width="15.5546875" style="5" customWidth="1"/>
    <col min="9" max="9" width="13.33203125" style="5" customWidth="1"/>
    <col min="10" max="10" width="17.109375" style="5" customWidth="1"/>
    <col min="11" max="16384" width="8.6640625" style="5"/>
  </cols>
  <sheetData>
    <row r="1" spans="1:7" ht="25.2" customHeight="1" x14ac:dyDescent="0.25">
      <c r="A1" s="755" t="s">
        <v>540</v>
      </c>
      <c r="B1" s="755"/>
      <c r="C1" s="755"/>
      <c r="D1" s="755"/>
    </row>
    <row r="2" spans="1:7" ht="37.200000000000003" customHeight="1" x14ac:dyDescent="0.25">
      <c r="A2" s="611" t="s">
        <v>541</v>
      </c>
      <c r="B2" s="611" t="s">
        <v>542</v>
      </c>
      <c r="C2" s="611" t="s">
        <v>543</v>
      </c>
      <c r="D2" s="611" t="s">
        <v>271</v>
      </c>
      <c r="F2" s="8"/>
      <c r="G2" s="8"/>
    </row>
    <row r="3" spans="1:7" ht="26.4" customHeight="1" x14ac:dyDescent="0.25">
      <c r="A3" s="203">
        <f>G16</f>
        <v>979.8579555555558</v>
      </c>
      <c r="B3" s="203">
        <f>G17</f>
        <v>742.68324800000005</v>
      </c>
      <c r="C3" s="203">
        <f>A3+B3</f>
        <v>1722.541203555556</v>
      </c>
      <c r="D3" s="469" t="s">
        <v>544</v>
      </c>
      <c r="F3" s="12"/>
      <c r="G3" s="12"/>
    </row>
    <row r="4" spans="1:7" ht="17.399999999999999" customHeight="1" x14ac:dyDescent="0.25">
      <c r="A4" s="93"/>
      <c r="B4" s="93"/>
      <c r="C4" s="93"/>
    </row>
    <row r="5" spans="1:7" ht="17.399999999999999" customHeight="1" x14ac:dyDescent="0.25">
      <c r="A5" s="93"/>
      <c r="B5" s="93"/>
      <c r="C5" s="93"/>
    </row>
    <row r="6" spans="1:7" ht="17.399999999999999" customHeight="1" x14ac:dyDescent="0.25">
      <c r="A6" s="93"/>
      <c r="B6" s="93"/>
      <c r="C6" s="93"/>
    </row>
    <row r="8" spans="1:7" ht="21" customHeight="1" x14ac:dyDescent="0.25">
      <c r="A8" s="672" t="s">
        <v>545</v>
      </c>
      <c r="B8" s="672"/>
      <c r="C8" s="672"/>
      <c r="D8" s="672"/>
      <c r="E8" s="672"/>
      <c r="F8" s="672"/>
      <c r="G8" s="672"/>
    </row>
    <row r="9" spans="1:7" ht="39.6" x14ac:dyDescent="0.25">
      <c r="A9" s="246" t="s">
        <v>546</v>
      </c>
      <c r="B9" s="756" t="s">
        <v>547</v>
      </c>
      <c r="C9" s="756"/>
      <c r="D9" s="611" t="s">
        <v>548</v>
      </c>
      <c r="E9" s="611" t="s">
        <v>549</v>
      </c>
      <c r="F9" s="611" t="s">
        <v>548</v>
      </c>
      <c r="G9" s="611" t="s">
        <v>550</v>
      </c>
    </row>
    <row r="10" spans="1:7" ht="16.95" customHeight="1" x14ac:dyDescent="0.25">
      <c r="A10" s="183" t="s">
        <v>551</v>
      </c>
      <c r="B10" s="183"/>
      <c r="C10" s="247"/>
      <c r="D10" s="469"/>
      <c r="E10" s="469">
        <v>200</v>
      </c>
      <c r="F10" s="469" t="s">
        <v>552</v>
      </c>
      <c r="G10" s="248">
        <f>$E10</f>
        <v>200</v>
      </c>
    </row>
    <row r="11" spans="1:7" ht="52.8" x14ac:dyDescent="0.25">
      <c r="A11" s="187" t="s">
        <v>553</v>
      </c>
      <c r="B11" s="452" t="s">
        <v>554</v>
      </c>
      <c r="C11" s="249">
        <f>B23/360*400</f>
        <v>36005.155555555568</v>
      </c>
      <c r="D11" s="469" t="s">
        <v>555</v>
      </c>
      <c r="E11" s="469">
        <v>1.9E-2</v>
      </c>
      <c r="F11" s="469" t="s">
        <v>556</v>
      </c>
      <c r="G11" s="248">
        <f>$E11*C11</f>
        <v>684.09795555555581</v>
      </c>
    </row>
    <row r="12" spans="1:7" ht="26.4" x14ac:dyDescent="0.25">
      <c r="A12" s="183" t="s">
        <v>557</v>
      </c>
      <c r="B12" s="453" t="s">
        <v>558</v>
      </c>
      <c r="C12" s="247">
        <f>2</f>
        <v>2</v>
      </c>
      <c r="D12" s="469" t="s">
        <v>559</v>
      </c>
      <c r="E12" s="469">
        <v>15</v>
      </c>
      <c r="F12" s="469" t="s">
        <v>560</v>
      </c>
      <c r="G12" s="248">
        <f>E12*2</f>
        <v>30</v>
      </c>
    </row>
    <row r="13" spans="1:7" ht="26.4" x14ac:dyDescent="0.25">
      <c r="A13" s="183" t="s">
        <v>561</v>
      </c>
      <c r="B13" s="453" t="s">
        <v>562</v>
      </c>
      <c r="C13" s="250">
        <f>B23*0.1</f>
        <v>3240.4640000000018</v>
      </c>
      <c r="D13" s="469" t="s">
        <v>555</v>
      </c>
      <c r="E13" s="469">
        <v>7.0000000000000001E-3</v>
      </c>
      <c r="F13" s="469" t="s">
        <v>556</v>
      </c>
      <c r="G13" s="251">
        <f>E13*C13</f>
        <v>22.683248000000013</v>
      </c>
    </row>
    <row r="14" spans="1:7" ht="92.4" x14ac:dyDescent="0.25">
      <c r="A14" s="183" t="s">
        <v>563</v>
      </c>
      <c r="B14" s="187" t="s">
        <v>564</v>
      </c>
      <c r="C14" s="250">
        <f>B22*0.5*30</f>
        <v>7200</v>
      </c>
      <c r="D14" s="469" t="s">
        <v>555</v>
      </c>
      <c r="E14" s="469">
        <v>0.1</v>
      </c>
      <c r="F14" s="469" t="s">
        <v>556</v>
      </c>
      <c r="G14" s="251">
        <f>E14*C14</f>
        <v>720</v>
      </c>
    </row>
    <row r="15" spans="1:7" ht="26.4" x14ac:dyDescent="0.25">
      <c r="A15" s="183" t="s">
        <v>565</v>
      </c>
      <c r="B15" s="454" t="s">
        <v>566</v>
      </c>
      <c r="C15" s="250">
        <f>(40*12)</f>
        <v>480</v>
      </c>
      <c r="D15" s="469" t="s">
        <v>555</v>
      </c>
      <c r="E15" s="469">
        <v>0.13700000000000001</v>
      </c>
      <c r="F15" s="469" t="s">
        <v>556</v>
      </c>
      <c r="G15" s="251">
        <f>E15*C15</f>
        <v>65.760000000000005</v>
      </c>
    </row>
    <row r="16" spans="1:7" x14ac:dyDescent="0.25">
      <c r="A16" s="754" t="s">
        <v>567</v>
      </c>
      <c r="B16" s="754"/>
      <c r="C16" s="754"/>
      <c r="D16" s="754"/>
      <c r="E16" s="754"/>
      <c r="F16" s="754"/>
      <c r="G16" s="252">
        <f>G11+G10+G15+G12</f>
        <v>979.8579555555558</v>
      </c>
    </row>
    <row r="17" spans="1:7" x14ac:dyDescent="0.25">
      <c r="A17" s="754" t="s">
        <v>568</v>
      </c>
      <c r="B17" s="754"/>
      <c r="C17" s="754"/>
      <c r="D17" s="754"/>
      <c r="E17" s="754"/>
      <c r="F17" s="754"/>
      <c r="G17" s="252">
        <f>G13+G14</f>
        <v>742.68324800000005</v>
      </c>
    </row>
    <row r="18" spans="1:7" x14ac:dyDescent="0.25">
      <c r="A18" s="754" t="s">
        <v>486</v>
      </c>
      <c r="B18" s="754"/>
      <c r="C18" s="754"/>
      <c r="D18" s="754"/>
      <c r="E18" s="754"/>
      <c r="F18" s="754"/>
      <c r="G18" s="252">
        <f>G16+G17</f>
        <v>1722.541203555556</v>
      </c>
    </row>
    <row r="19" spans="1:7" ht="14.4" x14ac:dyDescent="0.25">
      <c r="A19" s="163"/>
      <c r="B19" s="163"/>
      <c r="C19" s="163"/>
      <c r="D19" s="163"/>
      <c r="E19" s="163"/>
      <c r="F19" s="163"/>
      <c r="G19" s="217"/>
    </row>
    <row r="20" spans="1:7" ht="14.4" x14ac:dyDescent="0.3">
      <c r="A20" s="5" t="s">
        <v>569</v>
      </c>
      <c r="C20" s="613"/>
      <c r="D20" s="218"/>
      <c r="F20" s="219"/>
    </row>
    <row r="21" spans="1:7" ht="14.4" x14ac:dyDescent="0.3">
      <c r="C21" s="613"/>
      <c r="D21" s="218"/>
      <c r="F21" s="219"/>
    </row>
    <row r="22" spans="1:7" ht="14.4" x14ac:dyDescent="0.3">
      <c r="A22" s="5" t="s">
        <v>570</v>
      </c>
      <c r="B22" s="612">
        <f>(180+60)*2</f>
        <v>480</v>
      </c>
      <c r="C22" s="613"/>
      <c r="D22" s="218"/>
      <c r="F22" s="219"/>
    </row>
    <row r="23" spans="1:7" ht="14.4" x14ac:dyDescent="0.3">
      <c r="A23" s="5" t="s">
        <v>571</v>
      </c>
      <c r="B23" s="68">
        <f>Zones!H51</f>
        <v>32404.640000000014</v>
      </c>
      <c r="D23" s="218"/>
      <c r="F23" s="219"/>
    </row>
    <row r="24" spans="1:7" ht="14.4" x14ac:dyDescent="0.3">
      <c r="A24" s="5" t="s">
        <v>572</v>
      </c>
      <c r="B24" s="612">
        <v>3</v>
      </c>
      <c r="D24" s="218"/>
      <c r="F24" s="219"/>
    </row>
    <row r="25" spans="1:7" ht="14.4" x14ac:dyDescent="0.3">
      <c r="B25" s="2"/>
      <c r="D25" s="218"/>
      <c r="F25" s="219"/>
    </row>
  </sheetData>
  <mergeCells count="6">
    <mergeCell ref="A18:F18"/>
    <mergeCell ref="A1:D1"/>
    <mergeCell ref="A8:G8"/>
    <mergeCell ref="B9:C9"/>
    <mergeCell ref="A16:F16"/>
    <mergeCell ref="A17:F1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M274"/>
  <sheetViews>
    <sheetView zoomScale="85" zoomScaleNormal="85" workbookViewId="0">
      <selection sqref="A1:F1"/>
    </sheetView>
  </sheetViews>
  <sheetFormatPr defaultColWidth="8.6640625" defaultRowHeight="13.2" x14ac:dyDescent="0.25"/>
  <cols>
    <col min="1" max="1" width="49.33203125" style="5" bestFit="1" customWidth="1"/>
    <col min="2" max="2" width="24" style="5" bestFit="1" customWidth="1"/>
    <col min="3" max="3" width="21.88671875" style="5" customWidth="1"/>
    <col min="4" max="4" width="27.6640625" style="5" customWidth="1"/>
    <col min="5" max="5" width="23.6640625" style="5" customWidth="1"/>
    <col min="6" max="6" width="47.6640625" style="5" customWidth="1"/>
    <col min="7" max="7" width="44.33203125" style="5" customWidth="1"/>
    <col min="8" max="8" width="19.33203125" style="5" customWidth="1"/>
    <col min="9" max="9" width="19.44140625" style="5" customWidth="1"/>
    <col min="10" max="10" width="10.5546875" style="5" bestFit="1" customWidth="1"/>
    <col min="11" max="11" width="16.33203125" style="5" customWidth="1"/>
    <col min="12" max="12" width="36.109375" style="5" customWidth="1"/>
    <col min="13" max="13" width="10.5546875" style="5" bestFit="1" customWidth="1"/>
    <col min="14" max="16384" width="8.6640625" style="5"/>
  </cols>
  <sheetData>
    <row r="1" spans="1:12" ht="23.4" customHeight="1" x14ac:dyDescent="0.25">
      <c r="A1" s="764" t="s">
        <v>573</v>
      </c>
      <c r="B1" s="765"/>
      <c r="C1" s="765"/>
      <c r="D1" s="765"/>
      <c r="E1" s="765"/>
      <c r="F1" s="765"/>
    </row>
    <row r="2" spans="1:12" ht="34.950000000000003" customHeight="1" x14ac:dyDescent="0.25">
      <c r="A2" s="184" t="s">
        <v>532</v>
      </c>
      <c r="B2" s="259" t="s">
        <v>574</v>
      </c>
      <c r="C2" s="259" t="s">
        <v>575</v>
      </c>
      <c r="D2" s="259" t="s">
        <v>576</v>
      </c>
      <c r="E2" s="184" t="s">
        <v>271</v>
      </c>
      <c r="F2" s="184" t="s">
        <v>367</v>
      </c>
    </row>
    <row r="3" spans="1:12" ht="18" customHeight="1" x14ac:dyDescent="0.25">
      <c r="A3" s="195" t="s">
        <v>152</v>
      </c>
      <c r="B3" s="469">
        <v>0</v>
      </c>
      <c r="C3" s="469"/>
      <c r="D3" s="469"/>
      <c r="E3" s="711" t="s">
        <v>577</v>
      </c>
      <c r="F3" s="183"/>
    </row>
    <row r="4" spans="1:12" ht="18" customHeight="1" x14ac:dyDescent="0.25">
      <c r="A4" s="238" t="s">
        <v>161</v>
      </c>
      <c r="B4" s="469">
        <v>1</v>
      </c>
      <c r="C4" s="469"/>
      <c r="D4" s="469"/>
      <c r="E4" s="711"/>
      <c r="F4" s="183"/>
      <c r="G4" s="99"/>
    </row>
    <row r="5" spans="1:12" ht="18" customHeight="1" x14ac:dyDescent="0.25">
      <c r="A5" s="196" t="s">
        <v>163</v>
      </c>
      <c r="B5" s="469">
        <v>0.5</v>
      </c>
      <c r="C5" s="469"/>
      <c r="D5" s="469"/>
      <c r="E5" s="711"/>
      <c r="F5" s="183"/>
      <c r="G5" s="99"/>
    </row>
    <row r="6" spans="1:12" ht="27" customHeight="1" x14ac:dyDescent="0.25">
      <c r="A6" s="195" t="s">
        <v>168</v>
      </c>
      <c r="B6" s="469">
        <v>0.7</v>
      </c>
      <c r="C6" s="469"/>
      <c r="D6" s="469"/>
      <c r="E6" s="607" t="s">
        <v>578</v>
      </c>
      <c r="F6" s="220"/>
      <c r="G6" s="99"/>
    </row>
    <row r="7" spans="1:12" ht="18" customHeight="1" x14ac:dyDescent="0.25">
      <c r="A7" s="195" t="s">
        <v>171</v>
      </c>
      <c r="B7" s="469">
        <v>0</v>
      </c>
      <c r="C7" s="469"/>
      <c r="D7" s="469"/>
      <c r="E7" s="711" t="s">
        <v>577</v>
      </c>
      <c r="F7" s="221"/>
      <c r="G7" s="99"/>
    </row>
    <row r="8" spans="1:12" ht="18" customHeight="1" x14ac:dyDescent="0.25">
      <c r="A8" s="195" t="s">
        <v>177</v>
      </c>
      <c r="B8" s="469">
        <v>0.2</v>
      </c>
      <c r="C8" s="469"/>
      <c r="D8" s="469"/>
      <c r="E8" s="711"/>
      <c r="F8" s="221"/>
      <c r="G8" s="99"/>
    </row>
    <row r="9" spans="1:12" ht="30.6" customHeight="1" x14ac:dyDescent="0.25">
      <c r="A9" s="196" t="s">
        <v>181</v>
      </c>
      <c r="B9" s="469">
        <v>0.5</v>
      </c>
      <c r="C9" s="469"/>
      <c r="D9" s="469"/>
      <c r="E9" s="607" t="s">
        <v>578</v>
      </c>
      <c r="F9" s="183"/>
      <c r="G9" s="99"/>
    </row>
    <row r="10" spans="1:12" ht="25.95" customHeight="1" x14ac:dyDescent="0.25">
      <c r="A10" s="195" t="s">
        <v>247</v>
      </c>
      <c r="B10" s="469">
        <v>3</v>
      </c>
      <c r="C10" s="469">
        <v>0.75</v>
      </c>
      <c r="D10" s="469"/>
      <c r="E10" s="711" t="s">
        <v>577</v>
      </c>
      <c r="F10" s="187" t="s">
        <v>579</v>
      </c>
      <c r="G10" s="25"/>
    </row>
    <row r="11" spans="1:12" ht="18" customHeight="1" x14ac:dyDescent="0.25">
      <c r="A11" s="195" t="s">
        <v>249</v>
      </c>
      <c r="B11" s="469">
        <v>3</v>
      </c>
      <c r="C11" s="469"/>
      <c r="D11" s="469"/>
      <c r="E11" s="711"/>
      <c r="F11" s="183"/>
      <c r="G11" s="25"/>
    </row>
    <row r="12" spans="1:12" ht="18" customHeight="1" x14ac:dyDescent="0.25">
      <c r="A12" s="195" t="s">
        <v>252</v>
      </c>
      <c r="B12" s="469">
        <v>1</v>
      </c>
      <c r="C12" s="469"/>
      <c r="D12" s="469"/>
      <c r="E12" s="711"/>
      <c r="F12" s="183"/>
      <c r="G12" s="25"/>
    </row>
    <row r="13" spans="1:12" ht="19.95" customHeight="1" x14ac:dyDescent="0.25">
      <c r="A13" s="195" t="s">
        <v>260</v>
      </c>
      <c r="B13" s="469">
        <v>0</v>
      </c>
      <c r="C13" s="469"/>
      <c r="D13" s="469"/>
      <c r="E13" s="711"/>
      <c r="F13" s="189"/>
    </row>
    <row r="14" spans="1:12" ht="19.95" customHeight="1" x14ac:dyDescent="0.25">
      <c r="A14" s="138"/>
      <c r="B14" s="7"/>
      <c r="C14" s="602"/>
      <c r="D14" s="7"/>
    </row>
    <row r="15" spans="1:12" ht="19.95" customHeight="1" x14ac:dyDescent="0.25">
      <c r="A15" s="143"/>
      <c r="B15" s="143"/>
      <c r="C15" s="143"/>
      <c r="D15" s="143"/>
      <c r="E15" s="143"/>
      <c r="F15" s="143"/>
      <c r="G15" s="143"/>
      <c r="H15" s="143"/>
      <c r="I15" s="143"/>
    </row>
    <row r="16" spans="1:12" ht="27.6" customHeight="1" x14ac:dyDescent="0.3">
      <c r="A16" s="771" t="s">
        <v>580</v>
      </c>
      <c r="B16" s="771"/>
      <c r="C16" s="771"/>
      <c r="D16" s="771"/>
      <c r="E16" s="771"/>
      <c r="F16" s="771"/>
      <c r="G16" s="771"/>
      <c r="H16" s="771"/>
      <c r="I16" s="771"/>
      <c r="J16" s="771"/>
      <c r="K16" s="771"/>
      <c r="L16"/>
    </row>
    <row r="17" spans="1:12" ht="52.5" customHeight="1" x14ac:dyDescent="0.25">
      <c r="A17" s="404" t="s">
        <v>284</v>
      </c>
      <c r="B17" s="404" t="s">
        <v>581</v>
      </c>
      <c r="C17" s="404" t="s">
        <v>582</v>
      </c>
      <c r="D17" s="404" t="s">
        <v>583</v>
      </c>
      <c r="E17" s="404" t="s">
        <v>584</v>
      </c>
      <c r="F17" s="404" t="s">
        <v>585</v>
      </c>
      <c r="G17" s="404" t="s">
        <v>586</v>
      </c>
      <c r="H17" s="404" t="s">
        <v>587</v>
      </c>
      <c r="I17" s="404" t="s">
        <v>588</v>
      </c>
      <c r="J17" s="404" t="s">
        <v>589</v>
      </c>
      <c r="K17" s="404" t="s">
        <v>367</v>
      </c>
    </row>
    <row r="18" spans="1:12" ht="60" customHeight="1" x14ac:dyDescent="0.25">
      <c r="A18" s="614" t="s">
        <v>315</v>
      </c>
      <c r="B18" s="614" t="s">
        <v>590</v>
      </c>
      <c r="C18" s="614">
        <v>2</v>
      </c>
      <c r="D18" s="406">
        <v>1.1399999999999999</v>
      </c>
      <c r="E18" s="406">
        <v>0.33</v>
      </c>
      <c r="F18" s="614" t="s">
        <v>591</v>
      </c>
      <c r="G18" s="406">
        <f>ROUND(INDEX($C:$C,MATCH("Annual energy consumption of the elevator - Existing",$B:$B,0))/INDEX($C:$C,MATCH("Equivalent full load hours",$B:$B,0))*1000,2)</f>
        <v>16434.2</v>
      </c>
      <c r="H18" s="406">
        <f>ROUND(C18*INDEX($C:$C,MATCH("Cab fan airflow",$B:$B,0))*E18,2)</f>
        <v>165</v>
      </c>
      <c r="I18" s="406">
        <f>ROUND(C18*INDEX($C:$C,MATCH("Cab floor area",$B:$B,0))*D18,2)</f>
        <v>68.17</v>
      </c>
      <c r="J18" s="406">
        <f>ROUND(SUM(G18:I18),2)</f>
        <v>16667.37</v>
      </c>
      <c r="K18" s="614" t="s">
        <v>592</v>
      </c>
    </row>
    <row r="19" spans="1:12" ht="74.400000000000006" customHeight="1" x14ac:dyDescent="0.25">
      <c r="A19" s="614" t="s">
        <v>374</v>
      </c>
      <c r="B19" s="614" t="s">
        <v>593</v>
      </c>
      <c r="C19" s="614">
        <v>2</v>
      </c>
      <c r="D19" s="406">
        <v>0.6</v>
      </c>
      <c r="E19" s="406">
        <v>0.33</v>
      </c>
      <c r="F19" s="614" t="s">
        <v>594</v>
      </c>
      <c r="G19" s="406">
        <f>ROUND(INDEX($C:$C,MATCH("Annual energy consumption of the elevator - New Construction",$B:$B,0))/INDEX($C:$C,MATCH("Equivalent full load hours",$B:$B,0))*1000,2)</f>
        <v>8753.8799999999992</v>
      </c>
      <c r="H19" s="406">
        <f>ROUND(C19*INDEX($C:$C,MATCH("Cab fan airflow",$B:$B,0))*E19,2)</f>
        <v>165</v>
      </c>
      <c r="I19" s="406">
        <f>ROUND(C19*INDEX($C:$C,MATCH("Cab floor area",$B:$B,0))*D19,2)</f>
        <v>35.880000000000003</v>
      </c>
      <c r="J19" s="406">
        <f>ROUND(SUM(G19:I19),2)</f>
        <v>8954.76</v>
      </c>
      <c r="K19" s="614" t="s">
        <v>595</v>
      </c>
    </row>
    <row r="20" spans="1:12" ht="14.4" x14ac:dyDescent="0.3">
      <c r="A20"/>
      <c r="B20"/>
      <c r="C20"/>
      <c r="D20"/>
      <c r="E20"/>
      <c r="F20"/>
      <c r="G20"/>
      <c r="H20"/>
      <c r="I20"/>
      <c r="J20"/>
      <c r="K20"/>
      <c r="L20"/>
    </row>
    <row r="21" spans="1:12" ht="14.4" x14ac:dyDescent="0.3">
      <c r="A21"/>
      <c r="B21"/>
      <c r="C21"/>
      <c r="D21"/>
      <c r="E21"/>
      <c r="F21"/>
      <c r="G21"/>
      <c r="H21"/>
      <c r="I21"/>
      <c r="J21"/>
      <c r="K21"/>
      <c r="L21"/>
    </row>
    <row r="22" spans="1:12" ht="14.4" x14ac:dyDescent="0.3">
      <c r="A22" s="768" t="s">
        <v>596</v>
      </c>
      <c r="B22" s="769"/>
      <c r="C22" s="769"/>
      <c r="D22" s="769"/>
      <c r="E22" s="769"/>
      <c r="F22"/>
      <c r="G22"/>
      <c r="H22"/>
      <c r="I22"/>
      <c r="J22"/>
      <c r="K22"/>
      <c r="L22"/>
    </row>
    <row r="23" spans="1:12" ht="14.4" x14ac:dyDescent="0.3">
      <c r="A23" s="404" t="s">
        <v>597</v>
      </c>
      <c r="B23" s="404" t="s">
        <v>598</v>
      </c>
      <c r="C23" s="404" t="s">
        <v>67</v>
      </c>
      <c r="D23" s="404" t="s">
        <v>599</v>
      </c>
      <c r="E23" s="404" t="s">
        <v>271</v>
      </c>
      <c r="F23"/>
      <c r="G23"/>
      <c r="H23"/>
      <c r="I23"/>
      <c r="J23"/>
      <c r="K23"/>
      <c r="L23"/>
    </row>
    <row r="24" spans="1:12" ht="28.8" x14ac:dyDescent="0.3">
      <c r="A24" s="770" t="s">
        <v>593</v>
      </c>
      <c r="B24" s="614" t="s">
        <v>600</v>
      </c>
      <c r="C24" s="614">
        <v>33291.589999999997</v>
      </c>
      <c r="D24" s="614" t="s">
        <v>601</v>
      </c>
      <c r="E24" s="614" t="s">
        <v>602</v>
      </c>
      <c r="F24"/>
      <c r="G24"/>
      <c r="H24"/>
      <c r="I24"/>
      <c r="J24"/>
      <c r="K24"/>
      <c r="L24"/>
    </row>
    <row r="25" spans="1:12" ht="43.2" x14ac:dyDescent="0.3">
      <c r="A25" s="770"/>
      <c r="B25" s="614" t="s">
        <v>603</v>
      </c>
      <c r="C25" s="614">
        <v>17733.18</v>
      </c>
      <c r="D25" s="614" t="s">
        <v>601</v>
      </c>
      <c r="E25" s="614" t="s">
        <v>602</v>
      </c>
      <c r="F25"/>
      <c r="G25"/>
      <c r="H25"/>
      <c r="I25"/>
      <c r="J25"/>
      <c r="K25"/>
      <c r="L25"/>
    </row>
    <row r="26" spans="1:12" ht="28.8" x14ac:dyDescent="0.3">
      <c r="A26" s="614" t="s">
        <v>604</v>
      </c>
      <c r="B26" s="614" t="s">
        <v>605</v>
      </c>
      <c r="C26" s="614" t="s">
        <v>606</v>
      </c>
      <c r="D26" s="614" t="s">
        <v>607</v>
      </c>
      <c r="E26" s="614" t="s">
        <v>608</v>
      </c>
      <c r="F26"/>
      <c r="G26"/>
      <c r="H26"/>
      <c r="I26"/>
      <c r="J26"/>
      <c r="K26"/>
      <c r="L26"/>
    </row>
    <row r="27" spans="1:12" ht="28.8" x14ac:dyDescent="0.3">
      <c r="A27" s="614" t="s">
        <v>609</v>
      </c>
      <c r="B27" s="614" t="s">
        <v>610</v>
      </c>
      <c r="C27" s="614" t="s">
        <v>611</v>
      </c>
      <c r="D27" s="614" t="s">
        <v>607</v>
      </c>
      <c r="E27" s="614" t="s">
        <v>608</v>
      </c>
      <c r="F27"/>
      <c r="G27"/>
      <c r="H27"/>
      <c r="I27"/>
      <c r="J27"/>
      <c r="K27"/>
      <c r="L27"/>
    </row>
    <row r="28" spans="1:12" ht="14.4" x14ac:dyDescent="0.3">
      <c r="A28" s="614" t="s">
        <v>612</v>
      </c>
      <c r="B28" s="614" t="s">
        <v>613</v>
      </c>
      <c r="C28" s="614">
        <v>1361</v>
      </c>
      <c r="D28" s="614" t="s">
        <v>614</v>
      </c>
      <c r="E28" s="614" t="s">
        <v>615</v>
      </c>
      <c r="F28"/>
      <c r="G28"/>
      <c r="H28"/>
      <c r="I28"/>
      <c r="J28"/>
      <c r="K28"/>
      <c r="L28"/>
    </row>
    <row r="29" spans="1:12" ht="57.6" x14ac:dyDescent="0.3">
      <c r="A29" s="614" t="s">
        <v>616</v>
      </c>
      <c r="B29" s="614" t="s">
        <v>617</v>
      </c>
      <c r="C29" s="614">
        <v>29.9</v>
      </c>
      <c r="D29" s="614" t="s">
        <v>618</v>
      </c>
      <c r="E29" s="614" t="s">
        <v>619</v>
      </c>
      <c r="F29"/>
      <c r="G29"/>
      <c r="H29"/>
      <c r="I29"/>
      <c r="J29"/>
      <c r="K29"/>
      <c r="L29"/>
    </row>
    <row r="30" spans="1:12" ht="43.2" x14ac:dyDescent="0.3">
      <c r="A30" s="614" t="s">
        <v>620</v>
      </c>
      <c r="B30" s="614" t="s">
        <v>621</v>
      </c>
      <c r="C30" s="614">
        <v>250</v>
      </c>
      <c r="D30" s="614" t="s">
        <v>622</v>
      </c>
      <c r="E30" s="614" t="s">
        <v>623</v>
      </c>
      <c r="F30"/>
      <c r="G30"/>
      <c r="H30"/>
      <c r="I30"/>
      <c r="J30"/>
      <c r="K30"/>
      <c r="L30"/>
    </row>
    <row r="31" spans="1:12" ht="14.4" x14ac:dyDescent="0.3">
      <c r="A31" s="614" t="s">
        <v>624</v>
      </c>
      <c r="B31" s="614" t="s">
        <v>625</v>
      </c>
      <c r="C31" s="614">
        <v>3</v>
      </c>
      <c r="D31" s="614" t="s">
        <v>390</v>
      </c>
      <c r="E31" s="614" t="s">
        <v>626</v>
      </c>
      <c r="F31"/>
      <c r="G31"/>
      <c r="H31"/>
      <c r="I31"/>
      <c r="J31"/>
      <c r="K31"/>
      <c r="L31"/>
    </row>
    <row r="32" spans="1:12" ht="14.4" x14ac:dyDescent="0.3">
      <c r="A32" s="614" t="s">
        <v>627</v>
      </c>
      <c r="B32" s="614" t="s">
        <v>628</v>
      </c>
      <c r="C32" s="614">
        <v>360</v>
      </c>
      <c r="D32" s="614" t="s">
        <v>629</v>
      </c>
      <c r="E32" s="614" t="s">
        <v>626</v>
      </c>
      <c r="F32"/>
      <c r="G32"/>
      <c r="H32"/>
      <c r="I32"/>
      <c r="J32"/>
      <c r="K32"/>
      <c r="L32"/>
    </row>
    <row r="33" spans="1:12" ht="14.4" x14ac:dyDescent="0.3">
      <c r="A33" s="614" t="s">
        <v>630</v>
      </c>
      <c r="B33" s="614" t="s">
        <v>631</v>
      </c>
      <c r="C33" s="614">
        <v>3</v>
      </c>
      <c r="D33" s="614" t="s">
        <v>632</v>
      </c>
      <c r="E33" s="614" t="s">
        <v>633</v>
      </c>
      <c r="F33"/>
      <c r="G33"/>
      <c r="H33"/>
      <c r="I33"/>
      <c r="J33"/>
      <c r="K33"/>
      <c r="L33"/>
    </row>
    <row r="34" spans="1:12" ht="14.4" x14ac:dyDescent="0.3">
      <c r="A34" s="614" t="s">
        <v>634</v>
      </c>
      <c r="B34" s="614" t="s">
        <v>635</v>
      </c>
      <c r="C34" s="614">
        <v>2.75</v>
      </c>
      <c r="D34" s="614" t="s">
        <v>636</v>
      </c>
      <c r="E34" s="614" t="s">
        <v>633</v>
      </c>
      <c r="F34"/>
      <c r="G34"/>
      <c r="H34"/>
      <c r="I34"/>
      <c r="J34"/>
      <c r="K34"/>
      <c r="L34"/>
    </row>
    <row r="35" spans="1:12" ht="14.4" x14ac:dyDescent="0.3">
      <c r="A35" s="614" t="s">
        <v>637</v>
      </c>
      <c r="B35" s="614" t="s">
        <v>638</v>
      </c>
      <c r="C35" s="614">
        <v>1.6</v>
      </c>
      <c r="D35" s="614" t="s">
        <v>639</v>
      </c>
      <c r="E35" s="614" t="s">
        <v>626</v>
      </c>
      <c r="F35"/>
      <c r="G35"/>
      <c r="H35"/>
      <c r="I35"/>
      <c r="J35"/>
      <c r="K35"/>
      <c r="L35"/>
    </row>
    <row r="36" spans="1:12" ht="14.4" x14ac:dyDescent="0.3">
      <c r="A36" s="614" t="s">
        <v>640</v>
      </c>
      <c r="B36" s="614" t="s">
        <v>641</v>
      </c>
      <c r="C36" s="614">
        <v>300</v>
      </c>
      <c r="D36" s="614" t="s">
        <v>642</v>
      </c>
      <c r="E36" s="614" t="s">
        <v>626</v>
      </c>
      <c r="F36"/>
      <c r="G36"/>
      <c r="H36"/>
      <c r="I36"/>
      <c r="J36"/>
      <c r="K36"/>
      <c r="L36"/>
    </row>
    <row r="37" spans="1:12" ht="28.8" x14ac:dyDescent="0.3">
      <c r="A37" s="614" t="s">
        <v>643</v>
      </c>
      <c r="B37" s="614" t="s">
        <v>644</v>
      </c>
      <c r="C37" s="614">
        <v>0.49</v>
      </c>
      <c r="D37" s="614" t="s">
        <v>645</v>
      </c>
      <c r="E37" s="614" t="s">
        <v>646</v>
      </c>
      <c r="F37"/>
      <c r="G37"/>
      <c r="H37"/>
      <c r="I37"/>
      <c r="J37"/>
      <c r="K37"/>
      <c r="L37"/>
    </row>
    <row r="38" spans="1:12" ht="14.4" x14ac:dyDescent="0.3">
      <c r="A38" s="614" t="s">
        <v>647</v>
      </c>
      <c r="B38" s="614" t="s">
        <v>648</v>
      </c>
      <c r="C38" s="614">
        <v>1</v>
      </c>
      <c r="D38" s="614" t="s">
        <v>649</v>
      </c>
      <c r="E38" s="614" t="s">
        <v>650</v>
      </c>
      <c r="F38"/>
      <c r="G38"/>
      <c r="H38"/>
      <c r="I38"/>
      <c r="J38"/>
      <c r="K38"/>
      <c r="L38"/>
    </row>
    <row r="39" spans="1:12" ht="14.4" x14ac:dyDescent="0.3">
      <c r="A39" s="614" t="s">
        <v>651</v>
      </c>
      <c r="B39" s="614" t="s">
        <v>652</v>
      </c>
      <c r="C39" s="614">
        <v>1.25</v>
      </c>
      <c r="D39" s="614" t="s">
        <v>653</v>
      </c>
      <c r="E39" s="614" t="s">
        <v>650</v>
      </c>
      <c r="F39"/>
      <c r="G39"/>
      <c r="H39"/>
      <c r="I39"/>
      <c r="J39"/>
      <c r="K39"/>
      <c r="L39"/>
    </row>
    <row r="40" spans="1:12" ht="14.4" x14ac:dyDescent="0.3">
      <c r="A40" s="614" t="s">
        <v>654</v>
      </c>
      <c r="B40" s="614" t="s">
        <v>655</v>
      </c>
      <c r="C40" s="614">
        <v>8</v>
      </c>
      <c r="D40" s="614" t="s">
        <v>656</v>
      </c>
      <c r="E40" s="614" t="s">
        <v>650</v>
      </c>
      <c r="F40"/>
      <c r="G40"/>
      <c r="H40"/>
      <c r="I40"/>
      <c r="J40"/>
      <c r="K40"/>
      <c r="L40"/>
    </row>
    <row r="41" spans="1:12" ht="28.8" x14ac:dyDescent="0.3">
      <c r="A41" s="614" t="s">
        <v>657</v>
      </c>
      <c r="B41" s="614" t="s">
        <v>658</v>
      </c>
      <c r="C41" s="614">
        <v>4.04</v>
      </c>
      <c r="D41" s="614" t="s">
        <v>659</v>
      </c>
      <c r="E41" s="614" t="s">
        <v>660</v>
      </c>
      <c r="F41"/>
      <c r="G41"/>
      <c r="H41"/>
      <c r="I41"/>
      <c r="J41"/>
      <c r="K41"/>
      <c r="L41"/>
    </row>
    <row r="42" spans="1:12" ht="28.8" x14ac:dyDescent="0.3">
      <c r="A42" s="614" t="s">
        <v>661</v>
      </c>
      <c r="B42" s="614" t="s">
        <v>662</v>
      </c>
      <c r="C42" s="614">
        <v>12.93</v>
      </c>
      <c r="D42" s="614" t="s">
        <v>663</v>
      </c>
      <c r="E42" s="614" t="s">
        <v>664</v>
      </c>
      <c r="F42"/>
      <c r="G42"/>
      <c r="H42"/>
      <c r="I42"/>
      <c r="J42"/>
      <c r="K42"/>
      <c r="L42"/>
    </row>
    <row r="43" spans="1:12" ht="14.4" x14ac:dyDescent="0.3">
      <c r="A43" s="614" t="s">
        <v>665</v>
      </c>
      <c r="B43" s="614" t="s">
        <v>666</v>
      </c>
      <c r="C43" s="614">
        <v>22.92</v>
      </c>
      <c r="D43" s="614" t="s">
        <v>667</v>
      </c>
      <c r="E43" s="614" t="s">
        <v>668</v>
      </c>
      <c r="F43"/>
      <c r="G43"/>
      <c r="H43"/>
      <c r="I43"/>
      <c r="J43"/>
      <c r="K43"/>
      <c r="L43"/>
    </row>
    <row r="44" spans="1:12" ht="28.8" x14ac:dyDescent="0.3">
      <c r="A44" s="614" t="s">
        <v>669</v>
      </c>
      <c r="B44" s="614" t="s">
        <v>670</v>
      </c>
      <c r="C44" s="614">
        <v>8372.2000000000007</v>
      </c>
      <c r="D44" s="614" t="s">
        <v>671</v>
      </c>
      <c r="E44" s="614" t="s">
        <v>672</v>
      </c>
      <c r="F44"/>
      <c r="G44"/>
      <c r="H44"/>
      <c r="I44"/>
      <c r="J44"/>
      <c r="K44"/>
      <c r="L44"/>
    </row>
    <row r="45" spans="1:12" ht="14.4" x14ac:dyDescent="0.3">
      <c r="A45" s="614" t="s">
        <v>673</v>
      </c>
      <c r="B45" s="614" t="s">
        <v>673</v>
      </c>
      <c r="C45" s="614">
        <v>40</v>
      </c>
      <c r="D45" s="614" t="s">
        <v>674</v>
      </c>
      <c r="E45" s="614" t="s">
        <v>675</v>
      </c>
      <c r="F45"/>
      <c r="G45"/>
      <c r="H45"/>
      <c r="I45"/>
      <c r="J45"/>
      <c r="K45"/>
      <c r="L45"/>
    </row>
    <row r="46" spans="1:12" ht="28.8" x14ac:dyDescent="0.3">
      <c r="A46" s="614" t="s">
        <v>676</v>
      </c>
      <c r="B46" s="614" t="s">
        <v>677</v>
      </c>
      <c r="C46" s="405">
        <f>Schedules!AD107</f>
        <v>2025.75</v>
      </c>
      <c r="D46" s="614" t="s">
        <v>678</v>
      </c>
      <c r="E46" s="614" t="s">
        <v>679</v>
      </c>
      <c r="F46"/>
      <c r="G46"/>
      <c r="H46"/>
      <c r="I46"/>
      <c r="J46"/>
      <c r="K46"/>
      <c r="L46"/>
    </row>
    <row r="47" spans="1:12" x14ac:dyDescent="0.25">
      <c r="A47" s="138"/>
    </row>
    <row r="48" spans="1:12" x14ac:dyDescent="0.25">
      <c r="A48" s="138"/>
    </row>
    <row r="49" spans="1:1" x14ac:dyDescent="0.25">
      <c r="A49" s="138"/>
    </row>
    <row r="50" spans="1:1" x14ac:dyDescent="0.25">
      <c r="A50" s="138"/>
    </row>
    <row r="51" spans="1:1" x14ac:dyDescent="0.25">
      <c r="A51" s="138"/>
    </row>
    <row r="52" spans="1:1" x14ac:dyDescent="0.25">
      <c r="A52" s="138"/>
    </row>
    <row r="53" spans="1:1" x14ac:dyDescent="0.25">
      <c r="A53" s="138"/>
    </row>
    <row r="54" spans="1:1" x14ac:dyDescent="0.25">
      <c r="A54" s="138"/>
    </row>
    <row r="55" spans="1:1" x14ac:dyDescent="0.25">
      <c r="A55" s="138"/>
    </row>
    <row r="56" spans="1:1" x14ac:dyDescent="0.25">
      <c r="A56" s="138"/>
    </row>
    <row r="57" spans="1:1" x14ac:dyDescent="0.25">
      <c r="A57" s="138"/>
    </row>
    <row r="58" spans="1:1" x14ac:dyDescent="0.25">
      <c r="A58" s="138"/>
    </row>
    <row r="59" spans="1:1" x14ac:dyDescent="0.25">
      <c r="A59" s="138"/>
    </row>
    <row r="60" spans="1:1" x14ac:dyDescent="0.25">
      <c r="A60" s="138"/>
    </row>
    <row r="61" spans="1:1" x14ac:dyDescent="0.25">
      <c r="A61" s="138"/>
    </row>
    <row r="62" spans="1:1" x14ac:dyDescent="0.25">
      <c r="A62" s="138"/>
    </row>
    <row r="63" spans="1:1" x14ac:dyDescent="0.25">
      <c r="A63" s="138"/>
    </row>
    <row r="64" spans="1:1" x14ac:dyDescent="0.25">
      <c r="A64" s="138"/>
    </row>
    <row r="65" spans="1:1" x14ac:dyDescent="0.25">
      <c r="A65" s="138"/>
    </row>
    <row r="66" spans="1:1" x14ac:dyDescent="0.25">
      <c r="A66" s="138"/>
    </row>
    <row r="67" spans="1:1" x14ac:dyDescent="0.25">
      <c r="A67" s="138"/>
    </row>
    <row r="68" spans="1:1" x14ac:dyDescent="0.25">
      <c r="A68" s="138"/>
    </row>
    <row r="69" spans="1:1" x14ac:dyDescent="0.25">
      <c r="A69" s="138"/>
    </row>
    <row r="70" spans="1:1" x14ac:dyDescent="0.25">
      <c r="A70" s="138"/>
    </row>
    <row r="71" spans="1:1" x14ac:dyDescent="0.25">
      <c r="A71" s="138"/>
    </row>
    <row r="72" spans="1:1" x14ac:dyDescent="0.25">
      <c r="A72" s="138"/>
    </row>
    <row r="73" spans="1:1" x14ac:dyDescent="0.25">
      <c r="A73" s="138"/>
    </row>
    <row r="74" spans="1:1" x14ac:dyDescent="0.25">
      <c r="A74" s="138"/>
    </row>
    <row r="75" spans="1:1" x14ac:dyDescent="0.25">
      <c r="A75" s="138"/>
    </row>
    <row r="76" spans="1:1" x14ac:dyDescent="0.25">
      <c r="A76" s="138"/>
    </row>
    <row r="77" spans="1:1" x14ac:dyDescent="0.25">
      <c r="A77" s="138"/>
    </row>
    <row r="78" spans="1:1" x14ac:dyDescent="0.25">
      <c r="A78" s="138"/>
    </row>
    <row r="79" spans="1:1" x14ac:dyDescent="0.25">
      <c r="A79" s="138"/>
    </row>
    <row r="80" spans="1:1" x14ac:dyDescent="0.25">
      <c r="A80" s="138"/>
    </row>
    <row r="81" spans="1:6" x14ac:dyDescent="0.25">
      <c r="A81" s="138"/>
    </row>
    <row r="83" spans="1:6" s="30" customFormat="1" hidden="1" x14ac:dyDescent="0.25">
      <c r="A83" s="30" t="s">
        <v>278</v>
      </c>
      <c r="D83" s="31"/>
      <c r="E83" s="32"/>
      <c r="F83" s="33"/>
    </row>
    <row r="84" spans="1:6" s="6" customFormat="1" ht="14.7" hidden="1" customHeight="1" x14ac:dyDescent="0.25">
      <c r="C84" s="767" t="s">
        <v>680</v>
      </c>
      <c r="D84" s="767"/>
      <c r="E84" s="767"/>
      <c r="F84" s="767"/>
    </row>
    <row r="85" spans="1:6" ht="27" hidden="1" customHeight="1" x14ac:dyDescent="0.25">
      <c r="C85" s="100" t="s">
        <v>341</v>
      </c>
      <c r="D85" s="100" t="s">
        <v>681</v>
      </c>
      <c r="E85" s="100" t="s">
        <v>682</v>
      </c>
      <c r="F85" s="103" t="s">
        <v>683</v>
      </c>
    </row>
    <row r="86" spans="1:6" hidden="1" x14ac:dyDescent="0.25">
      <c r="C86" s="23" t="s">
        <v>684</v>
      </c>
      <c r="D86" s="22">
        <v>913.68642025429153</v>
      </c>
      <c r="E86" s="593">
        <v>1.5</v>
      </c>
      <c r="F86" s="102">
        <f>E86*D86/SUM($D$86:$D$95)</f>
        <v>0.2491872055238977</v>
      </c>
    </row>
    <row r="87" spans="1:6" hidden="1" x14ac:dyDescent="0.25">
      <c r="C87" s="23" t="s">
        <v>685</v>
      </c>
      <c r="D87" s="22">
        <v>909.75658618868067</v>
      </c>
      <c r="E87" s="593">
        <v>1.5</v>
      </c>
      <c r="F87" s="102">
        <f t="shared" ref="F87:F95" si="0">E87*D87/SUM($D$86:$D$95)</f>
        <v>0.24811543259691293</v>
      </c>
    </row>
    <row r="88" spans="1:6" hidden="1" x14ac:dyDescent="0.25">
      <c r="C88" s="23" t="s">
        <v>686</v>
      </c>
      <c r="D88" s="22">
        <v>909.75658618868067</v>
      </c>
      <c r="E88" s="593">
        <v>1.5</v>
      </c>
      <c r="F88" s="102">
        <f t="shared" si="0"/>
        <v>0.24811543259691293</v>
      </c>
    </row>
    <row r="89" spans="1:6" hidden="1" x14ac:dyDescent="0.25">
      <c r="C89" s="101" t="s">
        <v>228</v>
      </c>
      <c r="D89" s="22">
        <v>456.84321012714531</v>
      </c>
      <c r="E89" s="593">
        <v>1</v>
      </c>
      <c r="F89" s="102">
        <f t="shared" si="0"/>
        <v>8.3062401841299149E-2</v>
      </c>
    </row>
    <row r="90" spans="1:6" hidden="1" x14ac:dyDescent="0.25">
      <c r="C90" s="101" t="s">
        <v>687</v>
      </c>
      <c r="D90" s="22">
        <v>456.84321012714531</v>
      </c>
      <c r="E90" s="593">
        <v>0.5</v>
      </c>
      <c r="F90" s="102">
        <f t="shared" si="0"/>
        <v>4.1531200920649575E-2</v>
      </c>
    </row>
    <row r="91" spans="1:6" hidden="1" x14ac:dyDescent="0.25">
      <c r="C91" s="101" t="s">
        <v>237</v>
      </c>
      <c r="D91" s="22">
        <v>763.37881036224758</v>
      </c>
      <c r="E91" s="593">
        <v>0.2</v>
      </c>
      <c r="F91" s="102">
        <f t="shared" si="0"/>
        <v>2.7759229467718093E-2</v>
      </c>
    </row>
    <row r="92" spans="1:6" ht="15" hidden="1" customHeight="1" x14ac:dyDescent="0.25">
      <c r="C92" s="23" t="s">
        <v>688</v>
      </c>
      <c r="D92" s="22">
        <v>118.61264384114607</v>
      </c>
      <c r="E92" s="593">
        <v>3</v>
      </c>
      <c r="F92" s="102">
        <f t="shared" si="0"/>
        <v>6.4697805731534219E-2</v>
      </c>
    </row>
    <row r="93" spans="1:6" hidden="1" x14ac:dyDescent="0.25">
      <c r="C93" s="23" t="s">
        <v>240</v>
      </c>
      <c r="D93" s="22">
        <v>237.22528768229213</v>
      </c>
      <c r="E93" s="593">
        <v>0</v>
      </c>
      <c r="F93" s="91">
        <f t="shared" si="0"/>
        <v>0</v>
      </c>
    </row>
    <row r="94" spans="1:6" hidden="1" x14ac:dyDescent="0.25">
      <c r="C94" s="23" t="s">
        <v>689</v>
      </c>
      <c r="D94" s="22">
        <v>118.61264384114607</v>
      </c>
      <c r="E94" s="593">
        <v>1</v>
      </c>
      <c r="F94" s="102">
        <f t="shared" si="0"/>
        <v>2.1565935243844741E-2</v>
      </c>
    </row>
    <row r="95" spans="1:6" hidden="1" x14ac:dyDescent="0.25">
      <c r="C95" s="23" t="s">
        <v>220</v>
      </c>
      <c r="D95" s="95">
        <v>615.28460138722585</v>
      </c>
      <c r="E95" s="593">
        <v>0</v>
      </c>
      <c r="F95" s="91">
        <f t="shared" si="0"/>
        <v>0</v>
      </c>
    </row>
    <row r="96" spans="1:6" hidden="1" x14ac:dyDescent="0.25">
      <c r="F96" s="9">
        <f>SUM(F86:F95)</f>
        <v>0.98403464392276929</v>
      </c>
    </row>
    <row r="97" spans="1:12" hidden="1" x14ac:dyDescent="0.25"/>
    <row r="98" spans="1:12" hidden="1" x14ac:dyDescent="0.25"/>
    <row r="99" spans="1:12" ht="21.6" hidden="1" customHeight="1" x14ac:dyDescent="0.25">
      <c r="B99" s="766" t="s">
        <v>690</v>
      </c>
      <c r="C99" s="766"/>
      <c r="D99" s="766"/>
      <c r="E99" s="766"/>
      <c r="F99" s="766"/>
      <c r="G99" s="766"/>
      <c r="H99" s="766"/>
      <c r="I99" s="766"/>
      <c r="J99" s="766"/>
    </row>
    <row r="100" spans="1:12" ht="21" hidden="1" customHeight="1" x14ac:dyDescent="0.25">
      <c r="B100" s="54" t="s">
        <v>548</v>
      </c>
      <c r="C100" s="57" t="s">
        <v>691</v>
      </c>
      <c r="D100" s="57" t="s">
        <v>692</v>
      </c>
      <c r="E100" s="57" t="s">
        <v>693</v>
      </c>
      <c r="F100" s="57" t="s">
        <v>694</v>
      </c>
      <c r="G100" s="760" t="s">
        <v>367</v>
      </c>
      <c r="H100" s="761"/>
      <c r="I100" s="761"/>
      <c r="J100" s="761"/>
    </row>
    <row r="101" spans="1:12" ht="27" hidden="1" customHeight="1" x14ac:dyDescent="0.25">
      <c r="B101" s="604" t="s">
        <v>695</v>
      </c>
      <c r="C101" s="58">
        <v>16.1458656</v>
      </c>
      <c r="D101" s="59">
        <v>16.1458656</v>
      </c>
      <c r="E101" s="60">
        <v>6.78</v>
      </c>
      <c r="F101" s="96"/>
      <c r="G101" s="762" t="s">
        <v>696</v>
      </c>
      <c r="H101" s="762"/>
      <c r="I101" s="762"/>
      <c r="J101" s="762"/>
    </row>
    <row r="102" spans="1:12" hidden="1" x14ac:dyDescent="0.25">
      <c r="B102" s="604" t="s">
        <v>697</v>
      </c>
      <c r="C102" s="61">
        <f>B145*249+C145*52+D145*(364-249-52)</f>
        <v>2835.7000000000003</v>
      </c>
      <c r="D102" s="61">
        <f>K145*249+L145*52+M145*(364-249-52)</f>
        <v>2835.7000000000003</v>
      </c>
      <c r="E102" s="61">
        <f>F145*249+G145*52+I145*(364-249-52)</f>
        <v>3837.8149797799215</v>
      </c>
      <c r="F102" s="97"/>
      <c r="G102" s="763"/>
      <c r="H102" s="763"/>
      <c r="I102" s="763"/>
      <c r="J102" s="763"/>
      <c r="K102" s="5">
        <f>D101*D102</f>
        <v>45784.831081920005</v>
      </c>
      <c r="L102" s="5">
        <f>E101*E102</f>
        <v>26020.385562907868</v>
      </c>
    </row>
    <row r="103" spans="1:12" hidden="1" x14ac:dyDescent="0.25">
      <c r="B103" s="602"/>
      <c r="C103" s="25"/>
      <c r="D103" s="25"/>
      <c r="E103" s="25"/>
    </row>
    <row r="104" spans="1:12" hidden="1" x14ac:dyDescent="0.25">
      <c r="B104" s="602"/>
      <c r="C104" s="7"/>
      <c r="D104" s="62"/>
      <c r="F104" s="63"/>
      <c r="G104" s="63"/>
      <c r="H104" s="63"/>
    </row>
    <row r="105" spans="1:12" hidden="1" x14ac:dyDescent="0.25">
      <c r="A105" s="7"/>
      <c r="C105" s="63"/>
      <c r="D105" s="63"/>
    </row>
    <row r="106" spans="1:12" hidden="1" x14ac:dyDescent="0.25">
      <c r="A106" s="7"/>
      <c r="C106" s="63"/>
      <c r="D106" s="63"/>
    </row>
    <row r="107" spans="1:12" hidden="1" x14ac:dyDescent="0.25"/>
    <row r="108" spans="1:12" hidden="1" x14ac:dyDescent="0.25"/>
    <row r="109" spans="1:12" hidden="1" x14ac:dyDescent="0.25"/>
    <row r="110" spans="1:12" hidden="1" x14ac:dyDescent="0.25"/>
    <row r="111" spans="1:12" hidden="1" x14ac:dyDescent="0.25"/>
    <row r="112" spans="1:12" hidden="1" x14ac:dyDescent="0.25"/>
    <row r="113" spans="1:13" hidden="1" x14ac:dyDescent="0.25"/>
    <row r="114" spans="1:13" hidden="1" x14ac:dyDescent="0.25"/>
    <row r="115" spans="1:13" hidden="1" x14ac:dyDescent="0.25"/>
    <row r="116" spans="1:13" hidden="1" x14ac:dyDescent="0.25"/>
    <row r="117" spans="1:13" hidden="1" x14ac:dyDescent="0.25"/>
    <row r="118" spans="1:13" hidden="1" x14ac:dyDescent="0.25"/>
    <row r="119" spans="1:13" hidden="1" x14ac:dyDescent="0.25">
      <c r="B119" s="759"/>
      <c r="C119" s="759"/>
      <c r="D119" s="613"/>
      <c r="F119" s="759" t="s">
        <v>698</v>
      </c>
      <c r="G119" s="759"/>
      <c r="H119" s="759"/>
      <c r="I119" s="759"/>
      <c r="K119" s="759" t="s">
        <v>699</v>
      </c>
      <c r="L119" s="759"/>
      <c r="M119" s="759"/>
    </row>
    <row r="120" spans="1:13" hidden="1" x14ac:dyDescent="0.25">
      <c r="B120" s="5" t="s">
        <v>700</v>
      </c>
      <c r="C120" s="5" t="s">
        <v>701</v>
      </c>
      <c r="D120" s="5" t="s">
        <v>702</v>
      </c>
      <c r="F120" s="94" t="s">
        <v>703</v>
      </c>
      <c r="G120" s="5" t="s">
        <v>704</v>
      </c>
      <c r="I120" s="5" t="s">
        <v>705</v>
      </c>
      <c r="K120" s="5" t="s">
        <v>706</v>
      </c>
      <c r="L120" s="5" t="s">
        <v>707</v>
      </c>
      <c r="M120" s="5" t="s">
        <v>708</v>
      </c>
    </row>
    <row r="121" spans="1:13" hidden="1" x14ac:dyDescent="0.25">
      <c r="A121" s="5">
        <v>1</v>
      </c>
      <c r="B121" s="5">
        <v>0.05</v>
      </c>
      <c r="C121" s="5">
        <v>0.05</v>
      </c>
      <c r="D121" s="5">
        <v>0.05</v>
      </c>
      <c r="F121" s="9">
        <v>0.40947755650000001</v>
      </c>
      <c r="G121" s="9">
        <v>0.1637910226</v>
      </c>
      <c r="H121" s="9"/>
      <c r="I121" s="9">
        <v>0.1637910226</v>
      </c>
      <c r="K121" s="5">
        <v>0.05</v>
      </c>
      <c r="L121" s="5">
        <v>0.05</v>
      </c>
      <c r="M121" s="5">
        <v>0.05</v>
      </c>
    </row>
    <row r="122" spans="1:13" hidden="1" x14ac:dyDescent="0.25">
      <c r="A122" s="5">
        <f>A121+1</f>
        <v>2</v>
      </c>
      <c r="B122" s="5">
        <v>0.05</v>
      </c>
      <c r="C122" s="5">
        <v>0.05</v>
      </c>
      <c r="D122" s="5">
        <v>0.05</v>
      </c>
      <c r="F122" s="9">
        <v>0.40947755650000001</v>
      </c>
      <c r="G122" s="9">
        <v>0.1637910226</v>
      </c>
      <c r="H122" s="9"/>
      <c r="I122" s="9">
        <v>0.1637910226</v>
      </c>
      <c r="K122" s="5">
        <v>0.05</v>
      </c>
      <c r="L122" s="5">
        <v>0.05</v>
      </c>
      <c r="M122" s="5">
        <v>0.05</v>
      </c>
    </row>
    <row r="123" spans="1:13" hidden="1" x14ac:dyDescent="0.25">
      <c r="A123" s="5">
        <f t="shared" ref="A123:A144" si="1">A122+1</f>
        <v>3</v>
      </c>
      <c r="B123" s="5">
        <v>0.05</v>
      </c>
      <c r="C123" s="5">
        <v>0.05</v>
      </c>
      <c r="D123" s="5">
        <v>0.05</v>
      </c>
      <c r="F123" s="9">
        <v>0.40947755650000001</v>
      </c>
      <c r="G123" s="9">
        <v>0.1637910226</v>
      </c>
      <c r="H123" s="9"/>
      <c r="I123" s="9">
        <v>0.1637910226</v>
      </c>
      <c r="K123" s="5">
        <v>0.05</v>
      </c>
      <c r="L123" s="5">
        <v>0.05</v>
      </c>
      <c r="M123" s="5">
        <v>0.05</v>
      </c>
    </row>
    <row r="124" spans="1:13" hidden="1" x14ac:dyDescent="0.25">
      <c r="A124" s="5">
        <f t="shared" si="1"/>
        <v>4</v>
      </c>
      <c r="B124" s="5">
        <v>0.05</v>
      </c>
      <c r="C124" s="5">
        <v>0.05</v>
      </c>
      <c r="D124" s="5">
        <v>0.05</v>
      </c>
      <c r="F124" s="9">
        <v>0.40947755650000001</v>
      </c>
      <c r="G124" s="9">
        <v>0.1637910226</v>
      </c>
      <c r="H124" s="9"/>
      <c r="I124" s="9">
        <v>0.1637910226</v>
      </c>
      <c r="K124" s="5">
        <v>0.05</v>
      </c>
      <c r="L124" s="5">
        <v>0.05</v>
      </c>
      <c r="M124" s="5">
        <v>0.05</v>
      </c>
    </row>
    <row r="125" spans="1:13" hidden="1" x14ac:dyDescent="0.25">
      <c r="A125" s="5">
        <f t="shared" si="1"/>
        <v>5</v>
      </c>
      <c r="B125" s="5">
        <v>0.05</v>
      </c>
      <c r="C125" s="5">
        <v>0.05</v>
      </c>
      <c r="D125" s="5">
        <v>0.05</v>
      </c>
      <c r="F125" s="9">
        <v>0.40947755650000001</v>
      </c>
      <c r="G125" s="9">
        <v>0.1637910226</v>
      </c>
      <c r="H125" s="9"/>
      <c r="I125" s="9">
        <v>0.1637910226</v>
      </c>
      <c r="K125" s="5">
        <v>0.05</v>
      </c>
      <c r="L125" s="5">
        <v>0.05</v>
      </c>
      <c r="M125" s="5">
        <v>0.05</v>
      </c>
    </row>
    <row r="126" spans="1:13" hidden="1" x14ac:dyDescent="0.25">
      <c r="A126" s="5">
        <f t="shared" si="1"/>
        <v>6</v>
      </c>
      <c r="B126" s="5">
        <v>0.1</v>
      </c>
      <c r="C126" s="5">
        <v>0.05</v>
      </c>
      <c r="D126" s="5">
        <v>0.05</v>
      </c>
      <c r="F126" s="9">
        <v>0.40947755650000001</v>
      </c>
      <c r="G126" s="9">
        <v>0.1637910226</v>
      </c>
      <c r="H126" s="9"/>
      <c r="I126" s="9">
        <v>0.1637910226</v>
      </c>
      <c r="K126" s="5">
        <v>0.1</v>
      </c>
      <c r="L126" s="5">
        <v>0.05</v>
      </c>
      <c r="M126" s="5">
        <v>0.05</v>
      </c>
    </row>
    <row r="127" spans="1:13" hidden="1" x14ac:dyDescent="0.25">
      <c r="A127" s="5">
        <f t="shared" si="1"/>
        <v>7</v>
      </c>
      <c r="B127" s="5">
        <v>0.1</v>
      </c>
      <c r="C127" s="5">
        <v>0.1</v>
      </c>
      <c r="D127" s="5">
        <v>0.05</v>
      </c>
      <c r="F127" s="9">
        <v>0.47975263350000003</v>
      </c>
      <c r="G127" s="9">
        <v>0.1637910226</v>
      </c>
      <c r="H127" s="9"/>
      <c r="I127" s="9">
        <v>0.1637910226</v>
      </c>
      <c r="K127" s="5">
        <v>0.1</v>
      </c>
      <c r="L127" s="5">
        <v>0.1</v>
      </c>
      <c r="M127" s="5">
        <v>0.05</v>
      </c>
    </row>
    <row r="128" spans="1:13" hidden="1" x14ac:dyDescent="0.25">
      <c r="A128" s="5">
        <f t="shared" si="1"/>
        <v>8</v>
      </c>
      <c r="B128" s="5">
        <v>0.3</v>
      </c>
      <c r="C128" s="5">
        <v>0.1</v>
      </c>
      <c r="D128" s="5">
        <v>0.05</v>
      </c>
      <c r="F128" s="9">
        <v>0.47975263350000003</v>
      </c>
      <c r="G128" s="9">
        <v>0.1637910226</v>
      </c>
      <c r="H128" s="9"/>
      <c r="I128" s="9">
        <v>0.1637910226</v>
      </c>
      <c r="K128" s="5">
        <v>0.3</v>
      </c>
      <c r="L128" s="5">
        <v>0.1</v>
      </c>
      <c r="M128" s="5">
        <v>0.05</v>
      </c>
    </row>
    <row r="129" spans="1:13" hidden="1" x14ac:dyDescent="0.25">
      <c r="A129" s="5">
        <f t="shared" si="1"/>
        <v>9</v>
      </c>
      <c r="B129" s="5">
        <v>0.9</v>
      </c>
      <c r="C129" s="5">
        <v>0.3</v>
      </c>
      <c r="D129" s="5">
        <v>0.05</v>
      </c>
      <c r="F129" s="9">
        <v>0.95950526700000005</v>
      </c>
      <c r="G129" s="9">
        <v>0.1637910226</v>
      </c>
      <c r="H129" s="9"/>
      <c r="I129" s="9">
        <v>0.1637910226</v>
      </c>
      <c r="K129" s="5">
        <v>0.9</v>
      </c>
      <c r="L129" s="5">
        <v>0.3</v>
      </c>
      <c r="M129" s="5">
        <v>0.05</v>
      </c>
    </row>
    <row r="130" spans="1:13" hidden="1" x14ac:dyDescent="0.25">
      <c r="A130" s="5">
        <f t="shared" si="1"/>
        <v>10</v>
      </c>
      <c r="B130" s="5">
        <v>0.9</v>
      </c>
      <c r="C130" s="5">
        <v>0.3</v>
      </c>
      <c r="D130" s="5">
        <v>0.05</v>
      </c>
      <c r="F130" s="9">
        <v>0.95950526700000005</v>
      </c>
      <c r="G130" s="9">
        <v>0.1637910226</v>
      </c>
      <c r="H130" s="9"/>
      <c r="I130" s="9">
        <v>0.1637910226</v>
      </c>
      <c r="K130" s="5">
        <v>0.9</v>
      </c>
      <c r="L130" s="5">
        <v>0.3</v>
      </c>
      <c r="M130" s="5">
        <v>0.05</v>
      </c>
    </row>
    <row r="131" spans="1:13" hidden="1" x14ac:dyDescent="0.25">
      <c r="A131" s="5">
        <f t="shared" si="1"/>
        <v>11</v>
      </c>
      <c r="B131" s="5">
        <v>0.9</v>
      </c>
      <c r="C131" s="5">
        <v>0.3</v>
      </c>
      <c r="D131" s="5">
        <v>0.05</v>
      </c>
      <c r="F131" s="9">
        <v>0.95950526700000005</v>
      </c>
      <c r="G131" s="9">
        <v>0.1637910226</v>
      </c>
      <c r="H131" s="9"/>
      <c r="I131" s="9">
        <v>0.1637910226</v>
      </c>
      <c r="K131" s="5">
        <v>0.9</v>
      </c>
      <c r="L131" s="5">
        <v>0.3</v>
      </c>
      <c r="M131" s="5">
        <v>0.05</v>
      </c>
    </row>
    <row r="132" spans="1:13" hidden="1" x14ac:dyDescent="0.25">
      <c r="A132" s="5">
        <f t="shared" si="1"/>
        <v>12</v>
      </c>
      <c r="B132" s="5">
        <v>0.9</v>
      </c>
      <c r="C132" s="5">
        <v>0.3</v>
      </c>
      <c r="D132" s="5">
        <v>0.05</v>
      </c>
      <c r="F132" s="9">
        <v>0.95950526700000005</v>
      </c>
      <c r="G132" s="9">
        <v>0.1637910226</v>
      </c>
      <c r="H132" s="9"/>
      <c r="I132" s="9">
        <v>0.1637910226</v>
      </c>
      <c r="K132" s="5">
        <v>0.9</v>
      </c>
      <c r="L132" s="5">
        <v>0.3</v>
      </c>
      <c r="M132" s="5">
        <v>0.05</v>
      </c>
    </row>
    <row r="133" spans="1:13" hidden="1" x14ac:dyDescent="0.25">
      <c r="A133" s="5">
        <f t="shared" si="1"/>
        <v>13</v>
      </c>
      <c r="B133" s="5">
        <v>0.9</v>
      </c>
      <c r="C133" s="5">
        <v>0.15</v>
      </c>
      <c r="D133" s="5">
        <v>0.05</v>
      </c>
      <c r="F133" s="9">
        <v>0.90193495097999998</v>
      </c>
      <c r="G133" s="9">
        <v>0.1637910226</v>
      </c>
      <c r="H133" s="9"/>
      <c r="I133" s="9">
        <v>0.1637910226</v>
      </c>
      <c r="K133" s="5">
        <v>0.9</v>
      </c>
      <c r="L133" s="5">
        <v>0.15</v>
      </c>
      <c r="M133" s="5">
        <v>0.05</v>
      </c>
    </row>
    <row r="134" spans="1:13" hidden="1" x14ac:dyDescent="0.25">
      <c r="A134" s="5">
        <f t="shared" si="1"/>
        <v>14</v>
      </c>
      <c r="B134" s="5">
        <v>0.9</v>
      </c>
      <c r="C134" s="5">
        <v>0.15</v>
      </c>
      <c r="D134" s="5">
        <v>0.05</v>
      </c>
      <c r="F134" s="9">
        <v>0.95950526700000005</v>
      </c>
      <c r="G134" s="9">
        <v>0.1637910226</v>
      </c>
      <c r="H134" s="9"/>
      <c r="I134" s="9">
        <v>0.1637910226</v>
      </c>
      <c r="K134" s="5">
        <v>0.9</v>
      </c>
      <c r="L134" s="5">
        <v>0.15</v>
      </c>
      <c r="M134" s="5">
        <v>0.05</v>
      </c>
    </row>
    <row r="135" spans="1:13" hidden="1" x14ac:dyDescent="0.25">
      <c r="A135" s="5">
        <f t="shared" si="1"/>
        <v>15</v>
      </c>
      <c r="B135" s="5">
        <v>0.9</v>
      </c>
      <c r="C135" s="5">
        <v>0.15</v>
      </c>
      <c r="D135" s="5">
        <v>0.05</v>
      </c>
      <c r="F135" s="9">
        <v>0.95950526700000005</v>
      </c>
      <c r="G135" s="9">
        <v>0.1637910226</v>
      </c>
      <c r="H135" s="9"/>
      <c r="I135" s="9">
        <v>0.1637910226</v>
      </c>
      <c r="K135" s="5">
        <v>0.9</v>
      </c>
      <c r="L135" s="5">
        <v>0.15</v>
      </c>
      <c r="M135" s="5">
        <v>0.05</v>
      </c>
    </row>
    <row r="136" spans="1:13" hidden="1" x14ac:dyDescent="0.25">
      <c r="A136" s="5">
        <f t="shared" si="1"/>
        <v>16</v>
      </c>
      <c r="B136" s="5">
        <v>0.9</v>
      </c>
      <c r="C136" s="5">
        <v>0.15</v>
      </c>
      <c r="D136" s="5">
        <v>0.05</v>
      </c>
      <c r="F136" s="9">
        <v>0.95950526700000005</v>
      </c>
      <c r="G136" s="9">
        <v>0.1637910226</v>
      </c>
      <c r="H136" s="9"/>
      <c r="I136" s="9">
        <v>0.1637910226</v>
      </c>
      <c r="K136" s="5">
        <v>0.9</v>
      </c>
      <c r="L136" s="5">
        <v>0.15</v>
      </c>
      <c r="M136" s="5">
        <v>0.05</v>
      </c>
    </row>
    <row r="137" spans="1:13" hidden="1" x14ac:dyDescent="0.25">
      <c r="A137" s="5">
        <f t="shared" si="1"/>
        <v>17</v>
      </c>
      <c r="B137" s="5">
        <v>0.9</v>
      </c>
      <c r="C137" s="5">
        <v>0.15</v>
      </c>
      <c r="D137" s="5">
        <v>0.05</v>
      </c>
      <c r="F137" s="9">
        <v>0.95950526700000005</v>
      </c>
      <c r="G137" s="9">
        <v>0.1637910226</v>
      </c>
      <c r="H137" s="9"/>
      <c r="I137" s="9">
        <v>0.1637910226</v>
      </c>
      <c r="K137" s="5">
        <v>0.9</v>
      </c>
      <c r="L137" s="5">
        <v>0.15</v>
      </c>
      <c r="M137" s="5">
        <v>0.05</v>
      </c>
    </row>
    <row r="138" spans="1:13" hidden="1" x14ac:dyDescent="0.25">
      <c r="A138" s="5">
        <f t="shared" si="1"/>
        <v>18</v>
      </c>
      <c r="B138" s="5">
        <v>0.5</v>
      </c>
      <c r="C138" s="5">
        <v>0.05</v>
      </c>
      <c r="D138" s="5">
        <v>0.05</v>
      </c>
      <c r="F138" s="9">
        <v>0.47975263350000003</v>
      </c>
      <c r="G138" s="9">
        <v>0.1637910226</v>
      </c>
      <c r="H138" s="9"/>
      <c r="I138" s="9">
        <v>0.1637910226</v>
      </c>
      <c r="K138" s="5">
        <v>0.5</v>
      </c>
      <c r="L138" s="5">
        <v>0.05</v>
      </c>
      <c r="M138" s="5">
        <v>0.05</v>
      </c>
    </row>
    <row r="139" spans="1:13" hidden="1" x14ac:dyDescent="0.25">
      <c r="A139" s="5">
        <f t="shared" si="1"/>
        <v>19</v>
      </c>
      <c r="B139" s="5">
        <v>0.3</v>
      </c>
      <c r="C139" s="5">
        <v>0.05</v>
      </c>
      <c r="D139" s="5">
        <v>0.05</v>
      </c>
      <c r="F139" s="9">
        <v>0.19190105339999999</v>
      </c>
      <c r="G139" s="9">
        <v>0.1637910226</v>
      </c>
      <c r="H139" s="9"/>
      <c r="I139" s="9">
        <v>0.1637910226</v>
      </c>
      <c r="K139" s="5">
        <v>0.3</v>
      </c>
      <c r="L139" s="5">
        <v>0.05</v>
      </c>
      <c r="M139" s="5">
        <v>0.05</v>
      </c>
    </row>
    <row r="140" spans="1:13" hidden="1" x14ac:dyDescent="0.25">
      <c r="A140" s="5">
        <f t="shared" si="1"/>
        <v>20</v>
      </c>
      <c r="B140" s="5">
        <v>0.3</v>
      </c>
      <c r="C140" s="5">
        <v>0.05</v>
      </c>
      <c r="D140" s="5">
        <v>0.05</v>
      </c>
      <c r="F140" s="9">
        <v>0.19190105339999999</v>
      </c>
      <c r="G140" s="9">
        <v>0.1637910226</v>
      </c>
      <c r="H140" s="9"/>
      <c r="I140" s="9">
        <v>0.1637910226</v>
      </c>
      <c r="K140" s="5">
        <v>0.3</v>
      </c>
      <c r="L140" s="5">
        <v>0.05</v>
      </c>
      <c r="M140" s="5">
        <v>0.05</v>
      </c>
    </row>
    <row r="141" spans="1:13" hidden="1" x14ac:dyDescent="0.25">
      <c r="A141" s="5">
        <f>A140+1</f>
        <v>21</v>
      </c>
      <c r="B141" s="5">
        <v>0.2</v>
      </c>
      <c r="C141" s="5">
        <v>0.05</v>
      </c>
      <c r="D141" s="5">
        <v>0.05</v>
      </c>
      <c r="F141" s="9">
        <v>0.19190105339999999</v>
      </c>
      <c r="G141" s="9">
        <v>0.1637910226</v>
      </c>
      <c r="H141" s="9"/>
      <c r="I141" s="9">
        <v>0.1637910226</v>
      </c>
      <c r="K141" s="5">
        <v>0.2</v>
      </c>
      <c r="L141" s="5">
        <v>0.05</v>
      </c>
      <c r="M141" s="5">
        <v>0.05</v>
      </c>
    </row>
    <row r="142" spans="1:13" hidden="1" x14ac:dyDescent="0.25">
      <c r="A142" s="5">
        <f t="shared" si="1"/>
        <v>22</v>
      </c>
      <c r="B142" s="5">
        <v>0.2</v>
      </c>
      <c r="C142" s="5">
        <v>0.05</v>
      </c>
      <c r="D142" s="5">
        <v>0.05</v>
      </c>
      <c r="F142" s="9">
        <v>0.19190105339999999</v>
      </c>
      <c r="G142" s="9">
        <v>0.1637910226</v>
      </c>
      <c r="H142" s="9"/>
      <c r="I142" s="9">
        <v>0.1637910226</v>
      </c>
      <c r="K142" s="5">
        <v>0.2</v>
      </c>
      <c r="L142" s="5">
        <v>0.05</v>
      </c>
      <c r="M142" s="5">
        <v>0.05</v>
      </c>
    </row>
    <row r="143" spans="1:13" hidden="1" x14ac:dyDescent="0.25">
      <c r="A143" s="5">
        <f t="shared" si="1"/>
        <v>23</v>
      </c>
      <c r="B143" s="5">
        <v>0.1</v>
      </c>
      <c r="C143" s="5">
        <v>0.05</v>
      </c>
      <c r="D143" s="5">
        <v>0.05</v>
      </c>
      <c r="F143" s="9">
        <v>0.19190105339999999</v>
      </c>
      <c r="G143" s="9">
        <v>0.1637910226</v>
      </c>
      <c r="H143" s="9"/>
      <c r="I143" s="9">
        <v>0.1637910226</v>
      </c>
      <c r="K143" s="5">
        <v>0.1</v>
      </c>
      <c r="L143" s="5">
        <v>0.05</v>
      </c>
      <c r="M143" s="5">
        <v>0.05</v>
      </c>
    </row>
    <row r="144" spans="1:13" hidden="1" x14ac:dyDescent="0.25">
      <c r="A144" s="5">
        <f t="shared" si="1"/>
        <v>24</v>
      </c>
      <c r="B144" s="5">
        <v>0.05</v>
      </c>
      <c r="C144" s="5">
        <v>0.05</v>
      </c>
      <c r="D144" s="5">
        <v>0.05</v>
      </c>
      <c r="F144" s="9">
        <v>0.1637910226</v>
      </c>
      <c r="G144" s="9">
        <v>0.1637910226</v>
      </c>
      <c r="H144" s="9"/>
      <c r="I144" s="9">
        <v>0.1637910226</v>
      </c>
      <c r="K144" s="5">
        <v>0.05</v>
      </c>
      <c r="L144" s="5">
        <v>0.05</v>
      </c>
      <c r="M144" s="5">
        <v>0.05</v>
      </c>
    </row>
    <row r="145" spans="1:13" hidden="1" x14ac:dyDescent="0.25">
      <c r="B145" s="5">
        <f>SUM(B121:B144)</f>
        <v>10.500000000000002</v>
      </c>
      <c r="C145" s="5">
        <f>SUM(C121:C144)</f>
        <v>2.7999999999999985</v>
      </c>
      <c r="D145" s="5">
        <f>SUM(D121:D144)</f>
        <v>1.2000000000000004</v>
      </c>
      <c r="F145" s="10">
        <f>SUM(F121:F144)</f>
        <v>13.597396616080006</v>
      </c>
      <c r="G145" s="10">
        <f>SUM(G121:G144)</f>
        <v>3.9309845423999983</v>
      </c>
      <c r="H145" s="10"/>
      <c r="I145" s="10">
        <f>SUM(I121:I144)</f>
        <v>3.9309845423999983</v>
      </c>
      <c r="K145" s="5">
        <f>SUM(K121:K144)</f>
        <v>10.500000000000002</v>
      </c>
      <c r="L145" s="5">
        <f>SUM(L121:L144)</f>
        <v>2.7999999999999985</v>
      </c>
      <c r="M145" s="5">
        <f>SUM(M121:M144)</f>
        <v>1.2000000000000004</v>
      </c>
    </row>
    <row r="146" spans="1:13" hidden="1" x14ac:dyDescent="0.25">
      <c r="M146" s="10">
        <f>SUM(K145:M145)</f>
        <v>14.500000000000002</v>
      </c>
    </row>
    <row r="147" spans="1:13" hidden="1" x14ac:dyDescent="0.25"/>
    <row r="148" spans="1:13" s="40" customFormat="1" hidden="1" x14ac:dyDescent="0.25">
      <c r="A148" s="39" t="s">
        <v>709</v>
      </c>
    </row>
    <row r="149" spans="1:13" hidden="1" x14ac:dyDescent="0.25"/>
    <row r="150" spans="1:13" hidden="1" x14ac:dyDescent="0.25">
      <c r="A150" s="5" t="s">
        <v>710</v>
      </c>
    </row>
    <row r="151" spans="1:13" hidden="1" x14ac:dyDescent="0.25">
      <c r="B151" s="5" t="s">
        <v>711</v>
      </c>
    </row>
    <row r="152" spans="1:13" hidden="1" x14ac:dyDescent="0.25">
      <c r="B152" s="5" t="s">
        <v>712</v>
      </c>
    </row>
    <row r="153" spans="1:13" hidden="1" x14ac:dyDescent="0.25">
      <c r="B153" s="5" t="s">
        <v>713</v>
      </c>
    </row>
    <row r="154" spans="1:13" hidden="1" x14ac:dyDescent="0.25">
      <c r="B154" s="5" t="s">
        <v>714</v>
      </c>
    </row>
    <row r="155" spans="1:13" hidden="1" x14ac:dyDescent="0.25">
      <c r="B155" s="5" t="s">
        <v>715</v>
      </c>
    </row>
    <row r="156" spans="1:13" hidden="1" x14ac:dyDescent="0.25">
      <c r="B156" s="5" t="s">
        <v>716</v>
      </c>
    </row>
    <row r="157" spans="1:13" hidden="1" x14ac:dyDescent="0.25">
      <c r="B157" s="5" t="s">
        <v>717</v>
      </c>
    </row>
    <row r="158" spans="1:13" hidden="1" x14ac:dyDescent="0.25">
      <c r="B158" s="5" t="s">
        <v>718</v>
      </c>
    </row>
    <row r="159" spans="1:13" hidden="1" x14ac:dyDescent="0.25">
      <c r="B159" s="5" t="s">
        <v>719</v>
      </c>
    </row>
    <row r="160" spans="1:13" hidden="1" x14ac:dyDescent="0.25">
      <c r="B160" s="5" t="s">
        <v>720</v>
      </c>
    </row>
    <row r="161" spans="2:2" hidden="1" x14ac:dyDescent="0.25">
      <c r="B161" s="5" t="s">
        <v>721</v>
      </c>
    </row>
    <row r="162" spans="2:2" hidden="1" x14ac:dyDescent="0.25">
      <c r="B162" s="5" t="s">
        <v>722</v>
      </c>
    </row>
    <row r="163" spans="2:2" hidden="1" x14ac:dyDescent="0.25">
      <c r="B163" s="5" t="s">
        <v>723</v>
      </c>
    </row>
    <row r="164" spans="2:2" hidden="1" x14ac:dyDescent="0.25">
      <c r="B164" s="5" t="s">
        <v>724</v>
      </c>
    </row>
    <row r="165" spans="2:2" hidden="1" x14ac:dyDescent="0.25">
      <c r="B165" s="5" t="s">
        <v>725</v>
      </c>
    </row>
    <row r="166" spans="2:2" hidden="1" x14ac:dyDescent="0.25">
      <c r="B166" s="5" t="s">
        <v>726</v>
      </c>
    </row>
    <row r="167" spans="2:2" hidden="1" x14ac:dyDescent="0.25">
      <c r="B167" s="5" t="s">
        <v>727</v>
      </c>
    </row>
    <row r="168" spans="2:2" hidden="1" x14ac:dyDescent="0.25">
      <c r="B168" s="5" t="s">
        <v>728</v>
      </c>
    </row>
    <row r="169" spans="2:2" hidden="1" x14ac:dyDescent="0.25">
      <c r="B169" s="5" t="s">
        <v>729</v>
      </c>
    </row>
    <row r="170" spans="2:2" hidden="1" x14ac:dyDescent="0.25">
      <c r="B170" s="5" t="s">
        <v>730</v>
      </c>
    </row>
    <row r="171" spans="2:2" hidden="1" x14ac:dyDescent="0.25">
      <c r="B171" s="5" t="s">
        <v>731</v>
      </c>
    </row>
    <row r="172" spans="2:2" hidden="1" x14ac:dyDescent="0.25">
      <c r="B172" s="5" t="s">
        <v>732</v>
      </c>
    </row>
    <row r="173" spans="2:2" hidden="1" x14ac:dyDescent="0.25">
      <c r="B173" s="5" t="s">
        <v>727</v>
      </c>
    </row>
    <row r="174" spans="2:2" hidden="1" x14ac:dyDescent="0.25">
      <c r="B174" s="5" t="s">
        <v>733</v>
      </c>
    </row>
    <row r="175" spans="2:2" hidden="1" x14ac:dyDescent="0.25">
      <c r="B175" s="5" t="s">
        <v>734</v>
      </c>
    </row>
    <row r="176" spans="2:2" hidden="1" x14ac:dyDescent="0.25"/>
    <row r="177" spans="1:1" hidden="1" x14ac:dyDescent="0.25"/>
    <row r="178" spans="1:1" hidden="1" x14ac:dyDescent="0.25"/>
    <row r="179" spans="1:1" hidden="1" x14ac:dyDescent="0.25"/>
    <row r="180" spans="1:1" s="40" customFormat="1" hidden="1" x14ac:dyDescent="0.25">
      <c r="A180" s="39" t="s">
        <v>698</v>
      </c>
    </row>
    <row r="181" spans="1:1" hidden="1" x14ac:dyDescent="0.25"/>
    <row r="182" spans="1:1" hidden="1" x14ac:dyDescent="0.25"/>
    <row r="183" spans="1:1" hidden="1" x14ac:dyDescent="0.25">
      <c r="A183" s="8"/>
    </row>
    <row r="184" spans="1:1" hidden="1" x14ac:dyDescent="0.25">
      <c r="A184" s="8"/>
    </row>
    <row r="185" spans="1:1" hidden="1" x14ac:dyDescent="0.25">
      <c r="A185" s="8" t="s">
        <v>710</v>
      </c>
    </row>
    <row r="186" spans="1:1" hidden="1" x14ac:dyDescent="0.25">
      <c r="A186" s="8" t="s">
        <v>735</v>
      </c>
    </row>
    <row r="187" spans="1:1" hidden="1" x14ac:dyDescent="0.25">
      <c r="A187" s="8" t="s">
        <v>736</v>
      </c>
    </row>
    <row r="188" spans="1:1" hidden="1" x14ac:dyDescent="0.25">
      <c r="A188" s="8" t="s">
        <v>737</v>
      </c>
    </row>
    <row r="189" spans="1:1" hidden="1" x14ac:dyDescent="0.25">
      <c r="A189" s="8" t="s">
        <v>738</v>
      </c>
    </row>
    <row r="190" spans="1:1" hidden="1" x14ac:dyDescent="0.25">
      <c r="A190" s="8" t="s">
        <v>739</v>
      </c>
    </row>
    <row r="191" spans="1:1" hidden="1" x14ac:dyDescent="0.25">
      <c r="A191" s="8" t="s">
        <v>740</v>
      </c>
    </row>
    <row r="192" spans="1:1" hidden="1" x14ac:dyDescent="0.25">
      <c r="A192" s="8" t="s">
        <v>741</v>
      </c>
    </row>
    <row r="193" spans="1:1" hidden="1" x14ac:dyDescent="0.25">
      <c r="A193" s="8" t="s">
        <v>742</v>
      </c>
    </row>
    <row r="194" spans="1:1" hidden="1" x14ac:dyDescent="0.25">
      <c r="A194" s="8" t="s">
        <v>743</v>
      </c>
    </row>
    <row r="195" spans="1:1" hidden="1" x14ac:dyDescent="0.25">
      <c r="A195" s="8" t="s">
        <v>744</v>
      </c>
    </row>
    <row r="196" spans="1:1" hidden="1" x14ac:dyDescent="0.25">
      <c r="A196" s="8" t="s">
        <v>745</v>
      </c>
    </row>
    <row r="197" spans="1:1" hidden="1" x14ac:dyDescent="0.25">
      <c r="A197" s="8" t="s">
        <v>746</v>
      </c>
    </row>
    <row r="198" spans="1:1" hidden="1" x14ac:dyDescent="0.25">
      <c r="A198" s="8" t="s">
        <v>747</v>
      </c>
    </row>
    <row r="199" spans="1:1" hidden="1" x14ac:dyDescent="0.25">
      <c r="A199" s="8" t="s">
        <v>748</v>
      </c>
    </row>
    <row r="200" spans="1:1" hidden="1" x14ac:dyDescent="0.25">
      <c r="A200" s="8" t="s">
        <v>749</v>
      </c>
    </row>
    <row r="201" spans="1:1" hidden="1" x14ac:dyDescent="0.25">
      <c r="A201" s="8" t="s">
        <v>750</v>
      </c>
    </row>
    <row r="202" spans="1:1" hidden="1" x14ac:dyDescent="0.25">
      <c r="A202" s="8" t="s">
        <v>751</v>
      </c>
    </row>
    <row r="203" spans="1:1" hidden="1" x14ac:dyDescent="0.25">
      <c r="A203" s="8" t="s">
        <v>752</v>
      </c>
    </row>
    <row r="204" spans="1:1" hidden="1" x14ac:dyDescent="0.25">
      <c r="A204" s="8" t="s">
        <v>753</v>
      </c>
    </row>
    <row r="205" spans="1:1" hidden="1" x14ac:dyDescent="0.25">
      <c r="A205" s="8" t="s">
        <v>754</v>
      </c>
    </row>
    <row r="206" spans="1:1" hidden="1" x14ac:dyDescent="0.25">
      <c r="A206" s="8" t="s">
        <v>755</v>
      </c>
    </row>
    <row r="207" spans="1:1" hidden="1" x14ac:dyDescent="0.25">
      <c r="A207" s="8" t="s">
        <v>756</v>
      </c>
    </row>
    <row r="208" spans="1:1" hidden="1" x14ac:dyDescent="0.25">
      <c r="A208" s="8" t="s">
        <v>757</v>
      </c>
    </row>
    <row r="209" spans="1:6" hidden="1" x14ac:dyDescent="0.25">
      <c r="A209" s="8" t="s">
        <v>758</v>
      </c>
    </row>
    <row r="210" spans="1:6" hidden="1" x14ac:dyDescent="0.25"/>
    <row r="211" spans="1:6" hidden="1" x14ac:dyDescent="0.25"/>
    <row r="212" spans="1:6" hidden="1" x14ac:dyDescent="0.25"/>
    <row r="213" spans="1:6" s="40" customFormat="1" hidden="1" x14ac:dyDescent="0.25">
      <c r="A213" s="39" t="s">
        <v>759</v>
      </c>
    </row>
    <row r="214" spans="1:6" hidden="1" x14ac:dyDescent="0.25"/>
    <row r="215" spans="1:6" hidden="1" x14ac:dyDescent="0.25">
      <c r="A215" s="5" t="s">
        <v>760</v>
      </c>
      <c r="C215" s="5" t="s">
        <v>760</v>
      </c>
      <c r="F215" s="5" t="s">
        <v>760</v>
      </c>
    </row>
    <row r="216" spans="1:6" hidden="1" x14ac:dyDescent="0.25">
      <c r="A216" s="5" t="s">
        <v>761</v>
      </c>
      <c r="C216" s="5" t="s">
        <v>762</v>
      </c>
      <c r="F216" s="5" t="s">
        <v>763</v>
      </c>
    </row>
    <row r="217" spans="1:6" hidden="1" x14ac:dyDescent="0.25">
      <c r="A217" s="5" t="s">
        <v>764</v>
      </c>
      <c r="C217" s="5" t="s">
        <v>764</v>
      </c>
      <c r="F217" s="5" t="s">
        <v>764</v>
      </c>
    </row>
    <row r="218" spans="1:6" hidden="1" x14ac:dyDescent="0.25">
      <c r="A218" s="5" t="s">
        <v>765</v>
      </c>
      <c r="C218" s="5" t="s">
        <v>765</v>
      </c>
      <c r="F218" s="5" t="s">
        <v>765</v>
      </c>
    </row>
    <row r="219" spans="1:6" hidden="1" x14ac:dyDescent="0.25">
      <c r="A219" s="5" t="s">
        <v>766</v>
      </c>
      <c r="C219" s="5" t="s">
        <v>766</v>
      </c>
      <c r="F219" s="5" t="s">
        <v>766</v>
      </c>
    </row>
    <row r="220" spans="1:6" hidden="1" x14ac:dyDescent="0.25">
      <c r="A220" s="5" t="s">
        <v>767</v>
      </c>
      <c r="C220" s="5" t="s">
        <v>767</v>
      </c>
      <c r="F220" s="5" t="s">
        <v>767</v>
      </c>
    </row>
    <row r="221" spans="1:6" hidden="1" x14ac:dyDescent="0.25">
      <c r="A221" s="5" t="s">
        <v>768</v>
      </c>
      <c r="C221" s="5" t="s">
        <v>768</v>
      </c>
      <c r="F221" s="5" t="s">
        <v>768</v>
      </c>
    </row>
    <row r="222" spans="1:6" hidden="1" x14ac:dyDescent="0.25">
      <c r="A222" s="5" t="s">
        <v>767</v>
      </c>
      <c r="C222" s="5" t="s">
        <v>767</v>
      </c>
      <c r="F222" s="5" t="s">
        <v>767</v>
      </c>
    </row>
    <row r="223" spans="1:6" hidden="1" x14ac:dyDescent="0.25">
      <c r="A223" s="5" t="s">
        <v>769</v>
      </c>
      <c r="C223" s="5" t="s">
        <v>769</v>
      </c>
      <c r="F223" s="5" t="s">
        <v>769</v>
      </c>
    </row>
    <row r="224" spans="1:6" hidden="1" x14ac:dyDescent="0.25">
      <c r="A224" s="5" t="s">
        <v>767</v>
      </c>
      <c r="C224" s="5" t="s">
        <v>767</v>
      </c>
      <c r="F224" s="5" t="s">
        <v>767</v>
      </c>
    </row>
    <row r="225" spans="1:6" hidden="1" x14ac:dyDescent="0.25">
      <c r="A225" s="5" t="s">
        <v>770</v>
      </c>
      <c r="C225" s="5" t="s">
        <v>770</v>
      </c>
      <c r="F225" s="5" t="s">
        <v>770</v>
      </c>
    </row>
    <row r="226" spans="1:6" hidden="1" x14ac:dyDescent="0.25">
      <c r="A226" s="5" t="s">
        <v>767</v>
      </c>
      <c r="C226" s="5" t="s">
        <v>767</v>
      </c>
      <c r="F226" s="5" t="s">
        <v>767</v>
      </c>
    </row>
    <row r="227" spans="1:6" hidden="1" x14ac:dyDescent="0.25">
      <c r="A227" s="5" t="s">
        <v>771</v>
      </c>
      <c r="C227" s="5" t="s">
        <v>771</v>
      </c>
      <c r="F227" s="5" t="s">
        <v>771</v>
      </c>
    </row>
    <row r="228" spans="1:6" hidden="1" x14ac:dyDescent="0.25">
      <c r="A228" s="5" t="s">
        <v>767</v>
      </c>
      <c r="C228" s="5" t="s">
        <v>767</v>
      </c>
      <c r="F228" s="5" t="s">
        <v>767</v>
      </c>
    </row>
    <row r="229" spans="1:6" hidden="1" x14ac:dyDescent="0.25">
      <c r="A229" s="5" t="s">
        <v>772</v>
      </c>
      <c r="C229" s="5" t="s">
        <v>772</v>
      </c>
      <c r="F229" s="5" t="s">
        <v>772</v>
      </c>
    </row>
    <row r="230" spans="1:6" hidden="1" x14ac:dyDescent="0.25">
      <c r="A230" s="5" t="s">
        <v>773</v>
      </c>
      <c r="C230" s="5" t="s">
        <v>767</v>
      </c>
      <c r="F230" s="5" t="s">
        <v>767</v>
      </c>
    </row>
    <row r="231" spans="1:6" hidden="1" x14ac:dyDescent="0.25">
      <c r="A231" s="5" t="s">
        <v>774</v>
      </c>
      <c r="C231" s="5" t="s">
        <v>774</v>
      </c>
      <c r="F231" s="5" t="s">
        <v>774</v>
      </c>
    </row>
    <row r="232" spans="1:6" hidden="1" x14ac:dyDescent="0.25">
      <c r="A232" s="5" t="s">
        <v>773</v>
      </c>
      <c r="C232" s="5" t="s">
        <v>773</v>
      </c>
      <c r="F232" s="5" t="s">
        <v>767</v>
      </c>
    </row>
    <row r="233" spans="1:6" hidden="1" x14ac:dyDescent="0.25">
      <c r="A233" s="5" t="s">
        <v>775</v>
      </c>
      <c r="C233" s="5" t="s">
        <v>775</v>
      </c>
      <c r="F233" s="5" t="s">
        <v>775</v>
      </c>
    </row>
    <row r="234" spans="1:6" hidden="1" x14ac:dyDescent="0.25">
      <c r="A234" s="5" t="s">
        <v>776</v>
      </c>
      <c r="C234" s="5" t="s">
        <v>773</v>
      </c>
      <c r="F234" s="5" t="s">
        <v>767</v>
      </c>
    </row>
    <row r="235" spans="1:6" hidden="1" x14ac:dyDescent="0.25">
      <c r="A235" s="5" t="s">
        <v>777</v>
      </c>
      <c r="C235" s="5" t="s">
        <v>777</v>
      </c>
      <c r="F235" s="5" t="s">
        <v>777</v>
      </c>
    </row>
    <row r="236" spans="1:6" hidden="1" x14ac:dyDescent="0.25">
      <c r="A236" s="5" t="s">
        <v>778</v>
      </c>
      <c r="C236" s="5" t="s">
        <v>776</v>
      </c>
      <c r="F236" s="5" t="s">
        <v>767</v>
      </c>
    </row>
    <row r="237" spans="1:6" hidden="1" x14ac:dyDescent="0.25">
      <c r="A237" s="5" t="s">
        <v>779</v>
      </c>
      <c r="C237" s="5" t="s">
        <v>779</v>
      </c>
      <c r="F237" s="5" t="s">
        <v>779</v>
      </c>
    </row>
    <row r="238" spans="1:6" hidden="1" x14ac:dyDescent="0.25">
      <c r="A238" s="5" t="s">
        <v>778</v>
      </c>
      <c r="C238" s="5" t="s">
        <v>776</v>
      </c>
      <c r="F238" s="5" t="s">
        <v>767</v>
      </c>
    </row>
    <row r="239" spans="1:6" hidden="1" x14ac:dyDescent="0.25">
      <c r="A239" s="5" t="s">
        <v>780</v>
      </c>
      <c r="C239" s="5" t="s">
        <v>780</v>
      </c>
      <c r="F239" s="5" t="s">
        <v>780</v>
      </c>
    </row>
    <row r="240" spans="1:6" hidden="1" x14ac:dyDescent="0.25">
      <c r="A240" s="5" t="s">
        <v>778</v>
      </c>
      <c r="C240" s="5" t="s">
        <v>776</v>
      </c>
      <c r="F240" s="5" t="s">
        <v>767</v>
      </c>
    </row>
    <row r="241" spans="1:6" hidden="1" x14ac:dyDescent="0.25">
      <c r="A241" s="5" t="s">
        <v>781</v>
      </c>
      <c r="C241" s="5" t="s">
        <v>781</v>
      </c>
      <c r="F241" s="5" t="s">
        <v>781</v>
      </c>
    </row>
    <row r="242" spans="1:6" hidden="1" x14ac:dyDescent="0.25">
      <c r="A242" s="5" t="s">
        <v>778</v>
      </c>
      <c r="C242" s="5" t="s">
        <v>776</v>
      </c>
      <c r="F242" s="5" t="s">
        <v>767</v>
      </c>
    </row>
    <row r="243" spans="1:6" hidden="1" x14ac:dyDescent="0.25">
      <c r="A243" s="5" t="s">
        <v>782</v>
      </c>
      <c r="C243" s="5" t="s">
        <v>782</v>
      </c>
      <c r="F243" s="5" t="s">
        <v>782</v>
      </c>
    </row>
    <row r="244" spans="1:6" hidden="1" x14ac:dyDescent="0.25">
      <c r="A244" s="5" t="s">
        <v>778</v>
      </c>
      <c r="C244" s="5" t="s">
        <v>783</v>
      </c>
      <c r="F244" s="5" t="s">
        <v>767</v>
      </c>
    </row>
    <row r="245" spans="1:6" hidden="1" x14ac:dyDescent="0.25">
      <c r="A245" s="5" t="s">
        <v>784</v>
      </c>
      <c r="C245" s="5" t="s">
        <v>784</v>
      </c>
      <c r="F245" s="5" t="s">
        <v>784</v>
      </c>
    </row>
    <row r="246" spans="1:6" hidden="1" x14ac:dyDescent="0.25">
      <c r="A246" s="5" t="s">
        <v>778</v>
      </c>
      <c r="C246" s="5" t="s">
        <v>783</v>
      </c>
      <c r="F246" s="5" t="s">
        <v>767</v>
      </c>
    </row>
    <row r="247" spans="1:6" hidden="1" x14ac:dyDescent="0.25">
      <c r="A247" s="5" t="s">
        <v>785</v>
      </c>
      <c r="C247" s="5" t="s">
        <v>785</v>
      </c>
      <c r="F247" s="5" t="s">
        <v>785</v>
      </c>
    </row>
    <row r="248" spans="1:6" hidden="1" x14ac:dyDescent="0.25">
      <c r="A248" s="5" t="s">
        <v>778</v>
      </c>
      <c r="C248" s="5" t="s">
        <v>783</v>
      </c>
      <c r="F248" s="5" t="s">
        <v>767</v>
      </c>
    </row>
    <row r="249" spans="1:6" hidden="1" x14ac:dyDescent="0.25">
      <c r="A249" s="5" t="s">
        <v>786</v>
      </c>
      <c r="C249" s="5" t="s">
        <v>786</v>
      </c>
      <c r="F249" s="5" t="s">
        <v>786</v>
      </c>
    </row>
    <row r="250" spans="1:6" hidden="1" x14ac:dyDescent="0.25">
      <c r="A250" s="5" t="s">
        <v>778</v>
      </c>
      <c r="C250" s="5" t="s">
        <v>783</v>
      </c>
      <c r="F250" s="5" t="s">
        <v>767</v>
      </c>
    </row>
    <row r="251" spans="1:6" hidden="1" x14ac:dyDescent="0.25">
      <c r="A251" s="5" t="s">
        <v>787</v>
      </c>
      <c r="C251" s="5" t="s">
        <v>787</v>
      </c>
      <c r="F251" s="5" t="s">
        <v>787</v>
      </c>
    </row>
    <row r="252" spans="1:6" hidden="1" x14ac:dyDescent="0.25">
      <c r="A252" s="5" t="s">
        <v>778</v>
      </c>
      <c r="C252" s="5" t="s">
        <v>783</v>
      </c>
      <c r="F252" s="5" t="s">
        <v>767</v>
      </c>
    </row>
    <row r="253" spans="1:6" hidden="1" x14ac:dyDescent="0.25">
      <c r="A253" s="5" t="s">
        <v>788</v>
      </c>
      <c r="C253" s="5" t="s">
        <v>788</v>
      </c>
      <c r="F253" s="5" t="s">
        <v>788</v>
      </c>
    </row>
    <row r="254" spans="1:6" hidden="1" x14ac:dyDescent="0.25">
      <c r="A254" s="5" t="s">
        <v>789</v>
      </c>
      <c r="C254" s="5" t="s">
        <v>767</v>
      </c>
      <c r="F254" s="5" t="s">
        <v>767</v>
      </c>
    </row>
    <row r="255" spans="1:6" hidden="1" x14ac:dyDescent="0.25">
      <c r="A255" s="5" t="s">
        <v>790</v>
      </c>
      <c r="C255" s="5" t="s">
        <v>790</v>
      </c>
      <c r="F255" s="5" t="s">
        <v>790</v>
      </c>
    </row>
    <row r="256" spans="1:6" hidden="1" x14ac:dyDescent="0.25">
      <c r="A256" s="5" t="s">
        <v>776</v>
      </c>
      <c r="C256" s="5" t="s">
        <v>767</v>
      </c>
      <c r="F256" s="5" t="s">
        <v>767</v>
      </c>
    </row>
    <row r="257" spans="1:6" hidden="1" x14ac:dyDescent="0.25">
      <c r="A257" s="5" t="s">
        <v>791</v>
      </c>
      <c r="C257" s="5" t="s">
        <v>791</v>
      </c>
      <c r="F257" s="5" t="s">
        <v>791</v>
      </c>
    </row>
    <row r="258" spans="1:6" hidden="1" x14ac:dyDescent="0.25">
      <c r="A258" s="5" t="s">
        <v>776</v>
      </c>
      <c r="C258" s="5" t="s">
        <v>767</v>
      </c>
      <c r="F258" s="5" t="s">
        <v>767</v>
      </c>
    </row>
    <row r="259" spans="1:6" hidden="1" x14ac:dyDescent="0.25">
      <c r="A259" s="5" t="s">
        <v>792</v>
      </c>
      <c r="C259" s="5" t="s">
        <v>792</v>
      </c>
      <c r="F259" s="5" t="s">
        <v>792</v>
      </c>
    </row>
    <row r="260" spans="1:6" hidden="1" x14ac:dyDescent="0.25">
      <c r="A260" s="5" t="s">
        <v>793</v>
      </c>
      <c r="C260" s="5" t="s">
        <v>767</v>
      </c>
      <c r="F260" s="5" t="s">
        <v>767</v>
      </c>
    </row>
    <row r="261" spans="1:6" hidden="1" x14ac:dyDescent="0.25">
      <c r="A261" s="5" t="s">
        <v>794</v>
      </c>
      <c r="C261" s="5" t="s">
        <v>794</v>
      </c>
      <c r="F261" s="5" t="s">
        <v>794</v>
      </c>
    </row>
    <row r="262" spans="1:6" hidden="1" x14ac:dyDescent="0.25">
      <c r="A262" s="5" t="s">
        <v>793</v>
      </c>
      <c r="C262" s="5" t="s">
        <v>767</v>
      </c>
      <c r="F262" s="5" t="s">
        <v>767</v>
      </c>
    </row>
    <row r="263" spans="1:6" hidden="1" x14ac:dyDescent="0.25">
      <c r="A263" s="5" t="s">
        <v>795</v>
      </c>
      <c r="C263" s="5" t="s">
        <v>795</v>
      </c>
      <c r="F263" s="5" t="s">
        <v>795</v>
      </c>
    </row>
    <row r="264" spans="1:6" hidden="1" x14ac:dyDescent="0.25">
      <c r="A264" s="5" t="s">
        <v>773</v>
      </c>
      <c r="C264" s="5" t="s">
        <v>767</v>
      </c>
      <c r="F264" s="5" t="s">
        <v>767</v>
      </c>
    </row>
    <row r="265" spans="1:6" hidden="1" x14ac:dyDescent="0.25">
      <c r="A265" s="5" t="s">
        <v>796</v>
      </c>
      <c r="C265" s="5" t="s">
        <v>796</v>
      </c>
      <c r="F265" s="5" t="s">
        <v>796</v>
      </c>
    </row>
    <row r="266" spans="1:6" hidden="1" x14ac:dyDescent="0.25">
      <c r="A266" s="5" t="s">
        <v>797</v>
      </c>
      <c r="C266" s="5" t="s">
        <v>797</v>
      </c>
      <c r="F266" s="5" t="s">
        <v>797</v>
      </c>
    </row>
    <row r="267" spans="1:6" hidden="1" x14ac:dyDescent="0.25">
      <c r="A267" s="758"/>
      <c r="B267" s="758"/>
      <c r="C267" s="758"/>
      <c r="D267" s="758"/>
      <c r="E267" s="758"/>
    </row>
    <row r="268" spans="1:6" x14ac:dyDescent="0.25">
      <c r="A268" s="668"/>
      <c r="B268" s="668"/>
      <c r="C268" s="668"/>
      <c r="D268" s="668"/>
      <c r="E268" s="668"/>
    </row>
    <row r="269" spans="1:6" x14ac:dyDescent="0.25">
      <c r="A269" s="668"/>
      <c r="B269" s="668"/>
      <c r="C269" s="668"/>
      <c r="D269" s="668"/>
      <c r="E269" s="668"/>
    </row>
    <row r="270" spans="1:6" x14ac:dyDescent="0.25">
      <c r="A270" s="675"/>
      <c r="B270" s="675"/>
      <c r="C270" s="675"/>
      <c r="D270" s="675"/>
      <c r="E270" s="675"/>
    </row>
    <row r="271" spans="1:6" x14ac:dyDescent="0.25">
      <c r="A271" s="675"/>
      <c r="B271" s="675"/>
      <c r="C271" s="7"/>
      <c r="D271" s="668"/>
      <c r="E271" s="668"/>
    </row>
    <row r="272" spans="1:6" x14ac:dyDescent="0.25">
      <c r="A272" s="675"/>
      <c r="B272" s="675"/>
      <c r="C272" s="7"/>
      <c r="D272" s="668"/>
      <c r="E272" s="668"/>
    </row>
    <row r="273" spans="1:5" x14ac:dyDescent="0.25">
      <c r="A273" s="675"/>
      <c r="B273" s="675"/>
      <c r="C273" s="7"/>
      <c r="D273" s="668"/>
      <c r="E273" s="668"/>
    </row>
    <row r="274" spans="1:5" x14ac:dyDescent="0.25">
      <c r="A274" s="757"/>
      <c r="B274" s="757"/>
      <c r="C274" s="757"/>
      <c r="D274" s="757"/>
      <c r="E274" s="757"/>
    </row>
  </sheetData>
  <mergeCells count="26">
    <mergeCell ref="A1:F1"/>
    <mergeCell ref="B99:J99"/>
    <mergeCell ref="C84:F84"/>
    <mergeCell ref="E3:E5"/>
    <mergeCell ref="E7:E8"/>
    <mergeCell ref="E10:E13"/>
    <mergeCell ref="A22:E22"/>
    <mergeCell ref="A24:A25"/>
    <mergeCell ref="A16:K16"/>
    <mergeCell ref="K119:M119"/>
    <mergeCell ref="B119:C119"/>
    <mergeCell ref="F119:I119"/>
    <mergeCell ref="G100:J100"/>
    <mergeCell ref="G101:J101"/>
    <mergeCell ref="G102:J102"/>
    <mergeCell ref="A267:E267"/>
    <mergeCell ref="A268:E268"/>
    <mergeCell ref="A269:E269"/>
    <mergeCell ref="A270:E270"/>
    <mergeCell ref="A271:B271"/>
    <mergeCell ref="D271:E271"/>
    <mergeCell ref="A272:B272"/>
    <mergeCell ref="D272:E272"/>
    <mergeCell ref="A273:B273"/>
    <mergeCell ref="D273:E273"/>
    <mergeCell ref="A274:E27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827D664-5953-45D6-9A6D-E478EB842E5D}">
          <x14:formula1>
            <xm:f>Data!$A$2:$A$200</xm:f>
          </x14:formula1>
          <xm:sqref>A4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M177"/>
  <sheetViews>
    <sheetView zoomScale="85" zoomScaleNormal="85" workbookViewId="0">
      <pane xSplit="5" ySplit="3" topLeftCell="F4" activePane="bottomRight" state="frozen"/>
      <selection pane="topRight" activeCell="F1" sqref="F1"/>
      <selection pane="bottomLeft" activeCell="A4" sqref="A4"/>
      <selection pane="bottomRight" sqref="A1:AC1"/>
    </sheetView>
  </sheetViews>
  <sheetFormatPr defaultColWidth="9.33203125" defaultRowHeight="11.4" x14ac:dyDescent="0.3"/>
  <cols>
    <col min="1" max="1" width="18" style="64" customWidth="1"/>
    <col min="2" max="3" width="18.33203125" style="64" customWidth="1"/>
    <col min="4" max="4" width="19.6640625" style="64" customWidth="1"/>
    <col min="5" max="5" width="12.44140625" style="64" customWidth="1"/>
    <col min="6" max="6" width="6" style="64" customWidth="1"/>
    <col min="7" max="29" width="5.6640625" style="64" customWidth="1"/>
    <col min="30" max="30" width="10.109375" style="64" customWidth="1"/>
    <col min="31" max="16384" width="9.33203125" style="64"/>
  </cols>
  <sheetData>
    <row r="1" spans="1:39" ht="24" customHeight="1" x14ac:dyDescent="0.3">
      <c r="A1" s="721" t="s">
        <v>798</v>
      </c>
      <c r="B1" s="721"/>
      <c r="C1" s="721"/>
      <c r="D1" s="721"/>
      <c r="E1" s="721"/>
      <c r="F1" s="721"/>
      <c r="G1" s="721"/>
      <c r="H1" s="721"/>
      <c r="I1" s="721"/>
      <c r="J1" s="721"/>
      <c r="K1" s="721"/>
      <c r="L1" s="721"/>
      <c r="M1" s="721"/>
      <c r="N1" s="721"/>
      <c r="O1" s="721"/>
      <c r="P1" s="721"/>
      <c r="Q1" s="721"/>
      <c r="R1" s="721"/>
      <c r="S1" s="721"/>
      <c r="T1" s="721"/>
      <c r="U1" s="721"/>
      <c r="V1" s="721"/>
      <c r="W1" s="721"/>
      <c r="X1" s="721"/>
      <c r="Y1" s="721"/>
      <c r="Z1" s="721"/>
      <c r="AA1" s="721"/>
      <c r="AB1" s="721"/>
      <c r="AC1" s="842"/>
      <c r="AD1" s="65"/>
      <c r="AE1" s="65"/>
      <c r="AF1" s="65"/>
      <c r="AG1" s="65"/>
      <c r="AH1" s="65"/>
      <c r="AI1" s="66"/>
      <c r="AJ1" s="66"/>
      <c r="AK1" s="66"/>
    </row>
    <row r="2" spans="1:39" ht="24" customHeight="1" x14ac:dyDescent="0.3">
      <c r="A2" s="831" t="s">
        <v>799</v>
      </c>
      <c r="B2" s="831" t="s">
        <v>143</v>
      </c>
      <c r="C2" s="831" t="s">
        <v>800</v>
      </c>
      <c r="D2" s="831" t="s">
        <v>271</v>
      </c>
      <c r="E2" s="831" t="s">
        <v>801</v>
      </c>
      <c r="F2" s="841" t="s">
        <v>802</v>
      </c>
      <c r="G2" s="841"/>
      <c r="H2" s="841"/>
      <c r="I2" s="841"/>
      <c r="J2" s="841"/>
      <c r="K2" s="841"/>
      <c r="L2" s="841"/>
      <c r="M2" s="841"/>
      <c r="N2" s="841"/>
      <c r="O2" s="841"/>
      <c r="P2" s="841"/>
      <c r="Q2" s="841"/>
      <c r="R2" s="841"/>
      <c r="S2" s="841"/>
      <c r="T2" s="841"/>
      <c r="U2" s="841"/>
      <c r="V2" s="841"/>
      <c r="W2" s="841"/>
      <c r="X2" s="841"/>
      <c r="Y2" s="841"/>
      <c r="Z2" s="841"/>
      <c r="AA2" s="841"/>
      <c r="AB2" s="841"/>
      <c r="AC2" s="841"/>
      <c r="AD2" s="65"/>
      <c r="AE2" s="65"/>
      <c r="AF2" s="65"/>
      <c r="AG2" s="65"/>
      <c r="AH2" s="65"/>
      <c r="AI2" s="66"/>
      <c r="AJ2" s="66"/>
      <c r="AK2" s="66"/>
    </row>
    <row r="3" spans="1:39" ht="25.2" customHeight="1" thickBot="1" x14ac:dyDescent="0.35">
      <c r="A3" s="832"/>
      <c r="B3" s="832"/>
      <c r="C3" s="832"/>
      <c r="D3" s="832"/>
      <c r="E3" s="832"/>
      <c r="F3" s="620">
        <v>1</v>
      </c>
      <c r="G3" s="620">
        <v>2</v>
      </c>
      <c r="H3" s="620">
        <v>3</v>
      </c>
      <c r="I3" s="620">
        <v>4</v>
      </c>
      <c r="J3" s="620">
        <v>5</v>
      </c>
      <c r="K3" s="620">
        <v>6</v>
      </c>
      <c r="L3" s="620">
        <v>7</v>
      </c>
      <c r="M3" s="620">
        <v>8</v>
      </c>
      <c r="N3" s="620">
        <v>9</v>
      </c>
      <c r="O3" s="620">
        <v>10</v>
      </c>
      <c r="P3" s="620">
        <v>11</v>
      </c>
      <c r="Q3" s="620">
        <v>12</v>
      </c>
      <c r="R3" s="620">
        <v>13</v>
      </c>
      <c r="S3" s="620">
        <v>14</v>
      </c>
      <c r="T3" s="620">
        <v>15</v>
      </c>
      <c r="U3" s="620">
        <v>16</v>
      </c>
      <c r="V3" s="620">
        <v>17</v>
      </c>
      <c r="W3" s="620">
        <v>18</v>
      </c>
      <c r="X3" s="620">
        <v>19</v>
      </c>
      <c r="Y3" s="620">
        <v>20</v>
      </c>
      <c r="Z3" s="620">
        <v>21</v>
      </c>
      <c r="AA3" s="620">
        <v>22</v>
      </c>
      <c r="AB3" s="620">
        <v>23</v>
      </c>
      <c r="AC3" s="620">
        <v>24</v>
      </c>
      <c r="AD3" s="66"/>
      <c r="AE3" s="66"/>
      <c r="AF3" s="66"/>
      <c r="AG3" s="66"/>
      <c r="AH3" s="66"/>
      <c r="AI3" s="66"/>
      <c r="AJ3" s="66"/>
      <c r="AK3" s="66"/>
    </row>
    <row r="4" spans="1:39" ht="25.2" customHeight="1" x14ac:dyDescent="0.3">
      <c r="A4" s="784" t="s">
        <v>803</v>
      </c>
      <c r="B4" s="775" t="s">
        <v>164</v>
      </c>
      <c r="C4" s="805" t="s">
        <v>804</v>
      </c>
      <c r="D4" s="789" t="s">
        <v>441</v>
      </c>
      <c r="E4" s="294" t="s">
        <v>465</v>
      </c>
      <c r="F4" s="295">
        <v>0</v>
      </c>
      <c r="G4" s="295">
        <v>0</v>
      </c>
      <c r="H4" s="295">
        <v>0</v>
      </c>
      <c r="I4" s="295">
        <v>0</v>
      </c>
      <c r="J4" s="295">
        <v>0</v>
      </c>
      <c r="K4" s="295">
        <v>0</v>
      </c>
      <c r="L4" s="295">
        <v>0</v>
      </c>
      <c r="M4" s="295">
        <v>0</v>
      </c>
      <c r="N4" s="295">
        <v>0.2</v>
      </c>
      <c r="O4" s="295">
        <v>0.2</v>
      </c>
      <c r="P4" s="295">
        <v>0.2</v>
      </c>
      <c r="Q4" s="295">
        <v>0.8</v>
      </c>
      <c r="R4" s="295">
        <v>0.8</v>
      </c>
      <c r="S4" s="295">
        <v>0.8</v>
      </c>
      <c r="T4" s="295">
        <v>0.8</v>
      </c>
      <c r="U4" s="295">
        <v>0.8</v>
      </c>
      <c r="V4" s="295">
        <v>0.8</v>
      </c>
      <c r="W4" s="295">
        <v>0.8</v>
      </c>
      <c r="X4" s="295">
        <v>0.2</v>
      </c>
      <c r="Y4" s="295">
        <v>0.2</v>
      </c>
      <c r="Z4" s="295">
        <v>0.2</v>
      </c>
      <c r="AA4" s="295">
        <v>0.2</v>
      </c>
      <c r="AB4" s="295">
        <v>0.1</v>
      </c>
      <c r="AC4" s="296">
        <v>0</v>
      </c>
      <c r="AD4" s="66"/>
      <c r="AE4" s="66"/>
      <c r="AF4" s="66"/>
      <c r="AG4" s="66"/>
      <c r="AH4" s="66"/>
      <c r="AI4" s="66"/>
      <c r="AJ4" s="66"/>
      <c r="AK4" s="66"/>
    </row>
    <row r="5" spans="1:39" ht="33" customHeight="1" x14ac:dyDescent="0.3">
      <c r="A5" s="773"/>
      <c r="B5" s="776"/>
      <c r="C5" s="806"/>
      <c r="D5" s="790"/>
      <c r="E5" s="224" t="s">
        <v>466</v>
      </c>
      <c r="F5" s="223">
        <v>0</v>
      </c>
      <c r="G5" s="223">
        <v>0</v>
      </c>
      <c r="H5" s="223">
        <v>0</v>
      </c>
      <c r="I5" s="223">
        <v>0</v>
      </c>
      <c r="J5" s="223">
        <v>0</v>
      </c>
      <c r="K5" s="223">
        <v>0</v>
      </c>
      <c r="L5" s="223">
        <v>0</v>
      </c>
      <c r="M5" s="223">
        <v>0</v>
      </c>
      <c r="N5" s="223">
        <v>0.2</v>
      </c>
      <c r="O5" s="223">
        <v>0.2</v>
      </c>
      <c r="P5" s="223">
        <v>0.2</v>
      </c>
      <c r="Q5" s="223">
        <v>0.6</v>
      </c>
      <c r="R5" s="223">
        <v>0.6</v>
      </c>
      <c r="S5" s="223">
        <v>0.6</v>
      </c>
      <c r="T5" s="223">
        <v>0.6</v>
      </c>
      <c r="U5" s="223">
        <v>0.6</v>
      </c>
      <c r="V5" s="223">
        <v>0.6</v>
      </c>
      <c r="W5" s="223">
        <v>0.6</v>
      </c>
      <c r="X5" s="223">
        <v>0.6</v>
      </c>
      <c r="Y5" s="223">
        <v>0.6</v>
      </c>
      <c r="Z5" s="223">
        <v>0.6</v>
      </c>
      <c r="AA5" s="223">
        <v>0.8</v>
      </c>
      <c r="AB5" s="223">
        <v>0.1</v>
      </c>
      <c r="AC5" s="297">
        <v>0</v>
      </c>
      <c r="AD5" s="66"/>
      <c r="AE5" s="66"/>
      <c r="AF5" s="66"/>
      <c r="AG5" s="66"/>
      <c r="AH5" s="66"/>
      <c r="AI5" s="66"/>
      <c r="AJ5" s="66"/>
      <c r="AK5" s="66"/>
    </row>
    <row r="6" spans="1:39" ht="33" customHeight="1" thickBot="1" x14ac:dyDescent="0.35">
      <c r="A6" s="774"/>
      <c r="B6" s="835"/>
      <c r="C6" s="809"/>
      <c r="D6" s="840"/>
      <c r="E6" s="298" t="s">
        <v>467</v>
      </c>
      <c r="F6" s="299">
        <v>0</v>
      </c>
      <c r="G6" s="299">
        <v>0</v>
      </c>
      <c r="H6" s="299">
        <v>0</v>
      </c>
      <c r="I6" s="299">
        <v>0</v>
      </c>
      <c r="J6" s="299">
        <v>0</v>
      </c>
      <c r="K6" s="299">
        <v>0</v>
      </c>
      <c r="L6" s="299">
        <v>0</v>
      </c>
      <c r="M6" s="299">
        <v>0</v>
      </c>
      <c r="N6" s="299">
        <v>0.1</v>
      </c>
      <c r="O6" s="299">
        <v>0.1</v>
      </c>
      <c r="P6" s="299">
        <v>0.1</v>
      </c>
      <c r="Q6" s="299">
        <v>0.1</v>
      </c>
      <c r="R6" s="299">
        <v>0.1</v>
      </c>
      <c r="S6" s="299">
        <v>0.7</v>
      </c>
      <c r="T6" s="299">
        <v>0.7</v>
      </c>
      <c r="U6" s="299">
        <v>0.7</v>
      </c>
      <c r="V6" s="299">
        <v>0.7</v>
      </c>
      <c r="W6" s="299">
        <v>0.7</v>
      </c>
      <c r="X6" s="299">
        <v>0.7</v>
      </c>
      <c r="Y6" s="299">
        <v>0.7</v>
      </c>
      <c r="Z6" s="299">
        <v>0.7</v>
      </c>
      <c r="AA6" s="299">
        <v>0.7</v>
      </c>
      <c r="AB6" s="299">
        <v>0.2</v>
      </c>
      <c r="AC6" s="300">
        <v>0</v>
      </c>
      <c r="AD6" s="66"/>
      <c r="AE6" s="66"/>
      <c r="AF6" s="66"/>
      <c r="AG6" s="66"/>
      <c r="AH6" s="66"/>
      <c r="AI6" s="66"/>
      <c r="AJ6" s="66"/>
      <c r="AK6" s="66"/>
    </row>
    <row r="7" spans="1:39" ht="38.700000000000003" customHeight="1" x14ac:dyDescent="0.3">
      <c r="A7" s="772" t="str">
        <f>A4</f>
        <v>Gym,Storage,Laundry,Conferences</v>
      </c>
      <c r="B7" s="836" t="s">
        <v>164</v>
      </c>
      <c r="C7" s="836" t="s">
        <v>805</v>
      </c>
      <c r="D7" s="837" t="s">
        <v>441</v>
      </c>
      <c r="E7" s="237" t="s">
        <v>465</v>
      </c>
      <c r="F7" s="225">
        <v>0.05</v>
      </c>
      <c r="G7" s="225">
        <v>0.05</v>
      </c>
      <c r="H7" s="225">
        <v>0.05</v>
      </c>
      <c r="I7" s="225">
        <v>0.05</v>
      </c>
      <c r="J7" s="225">
        <v>0.05</v>
      </c>
      <c r="K7" s="225">
        <v>0.05</v>
      </c>
      <c r="L7" s="225">
        <v>0.35</v>
      </c>
      <c r="M7" s="225">
        <v>0.35</v>
      </c>
      <c r="N7" s="225">
        <v>0.35</v>
      </c>
      <c r="O7" s="225">
        <v>0.65</v>
      </c>
      <c r="P7" s="225">
        <v>0.65</v>
      </c>
      <c r="Q7" s="225">
        <v>0.65</v>
      </c>
      <c r="R7" s="225">
        <v>0.65</v>
      </c>
      <c r="S7" s="225">
        <v>0.65</v>
      </c>
      <c r="T7" s="225">
        <v>0.65</v>
      </c>
      <c r="U7" s="225">
        <v>0.65</v>
      </c>
      <c r="V7" s="225">
        <v>0.65</v>
      </c>
      <c r="W7" s="225">
        <v>0.65</v>
      </c>
      <c r="X7" s="225">
        <v>0.65</v>
      </c>
      <c r="Y7" s="225">
        <v>0.65</v>
      </c>
      <c r="Z7" s="225">
        <v>0.65</v>
      </c>
      <c r="AA7" s="225">
        <v>0.65</v>
      </c>
      <c r="AB7" s="225">
        <v>0.25</v>
      </c>
      <c r="AC7" s="233">
        <v>0.05</v>
      </c>
      <c r="AD7" s="66"/>
      <c r="AE7" s="66"/>
      <c r="AF7" s="66"/>
      <c r="AG7" s="66"/>
      <c r="AH7" s="66"/>
      <c r="AI7" s="66"/>
      <c r="AJ7" s="66"/>
      <c r="AK7" s="66"/>
      <c r="AM7" s="98"/>
    </row>
    <row r="8" spans="1:39" ht="38.700000000000003" customHeight="1" x14ac:dyDescent="0.3">
      <c r="A8" s="773"/>
      <c r="B8" s="806"/>
      <c r="C8" s="806"/>
      <c r="D8" s="790"/>
      <c r="E8" s="224" t="s">
        <v>466</v>
      </c>
      <c r="F8" s="223">
        <v>0.05</v>
      </c>
      <c r="G8" s="223">
        <v>0.05</v>
      </c>
      <c r="H8" s="223">
        <v>0.05</v>
      </c>
      <c r="I8" s="223">
        <v>0.05</v>
      </c>
      <c r="J8" s="223">
        <v>0.05</v>
      </c>
      <c r="K8" s="223">
        <v>0.05</v>
      </c>
      <c r="L8" s="223">
        <v>0.05</v>
      </c>
      <c r="M8" s="223">
        <v>0.3</v>
      </c>
      <c r="N8" s="223">
        <v>0.3</v>
      </c>
      <c r="O8" s="223">
        <v>0.4</v>
      </c>
      <c r="P8" s="223">
        <v>0.4</v>
      </c>
      <c r="Q8" s="223">
        <v>0.4</v>
      </c>
      <c r="R8" s="223">
        <v>0.4</v>
      </c>
      <c r="S8" s="223">
        <v>0.4</v>
      </c>
      <c r="T8" s="223">
        <v>0.4</v>
      </c>
      <c r="U8" s="223">
        <v>0.4</v>
      </c>
      <c r="V8" s="223">
        <v>0.4</v>
      </c>
      <c r="W8" s="223">
        <v>0.4</v>
      </c>
      <c r="X8" s="223">
        <v>0.4</v>
      </c>
      <c r="Y8" s="223">
        <v>0.4</v>
      </c>
      <c r="Z8" s="223">
        <v>0.4</v>
      </c>
      <c r="AA8" s="223">
        <v>0.4</v>
      </c>
      <c r="AB8" s="223">
        <v>0.4</v>
      </c>
      <c r="AC8" s="228">
        <v>0.05</v>
      </c>
      <c r="AD8" s="66"/>
      <c r="AE8" s="66"/>
      <c r="AF8" s="66"/>
      <c r="AG8" s="66"/>
      <c r="AH8" s="66"/>
      <c r="AI8" s="66"/>
      <c r="AJ8" s="66"/>
      <c r="AK8" s="66"/>
      <c r="AM8" s="98"/>
    </row>
    <row r="9" spans="1:39" ht="38.700000000000003" customHeight="1" thickBot="1" x14ac:dyDescent="0.35">
      <c r="A9" s="816"/>
      <c r="B9" s="807"/>
      <c r="C9" s="807"/>
      <c r="D9" s="838"/>
      <c r="E9" s="236" t="s">
        <v>467</v>
      </c>
      <c r="F9" s="229">
        <v>0.05</v>
      </c>
      <c r="G9" s="229">
        <v>0.05</v>
      </c>
      <c r="H9" s="229">
        <v>0.05</v>
      </c>
      <c r="I9" s="229">
        <v>0.05</v>
      </c>
      <c r="J9" s="229">
        <v>0.05</v>
      </c>
      <c r="K9" s="229">
        <v>0.05</v>
      </c>
      <c r="L9" s="229">
        <v>0.05</v>
      </c>
      <c r="M9" s="229">
        <v>0.3</v>
      </c>
      <c r="N9" s="229">
        <v>0.3</v>
      </c>
      <c r="O9" s="229">
        <v>0.3</v>
      </c>
      <c r="P9" s="229">
        <v>0.3</v>
      </c>
      <c r="Q9" s="229">
        <v>0.3</v>
      </c>
      <c r="R9" s="229">
        <v>0.55000000000000004</v>
      </c>
      <c r="S9" s="229">
        <v>0.55000000000000004</v>
      </c>
      <c r="T9" s="229">
        <v>0.55000000000000004</v>
      </c>
      <c r="U9" s="229">
        <v>0.55000000000000004</v>
      </c>
      <c r="V9" s="229">
        <v>0.55000000000000004</v>
      </c>
      <c r="W9" s="229">
        <v>0.55000000000000004</v>
      </c>
      <c r="X9" s="229">
        <v>0.55000000000000004</v>
      </c>
      <c r="Y9" s="229">
        <v>0.55000000000000004</v>
      </c>
      <c r="Z9" s="229">
        <v>0.55000000000000004</v>
      </c>
      <c r="AA9" s="229">
        <v>0.55000000000000004</v>
      </c>
      <c r="AB9" s="229">
        <v>0.05</v>
      </c>
      <c r="AC9" s="230">
        <v>0.05</v>
      </c>
      <c r="AD9" s="66"/>
      <c r="AE9" s="66"/>
      <c r="AF9" s="66"/>
      <c r="AG9" s="66"/>
      <c r="AH9" s="66"/>
      <c r="AI9" s="66"/>
      <c r="AJ9" s="66"/>
      <c r="AK9" s="66"/>
      <c r="AM9" s="98"/>
    </row>
    <row r="10" spans="1:39" ht="36" customHeight="1" x14ac:dyDescent="0.3">
      <c r="A10" s="815" t="str">
        <f>A4</f>
        <v>Gym,Storage,Laundry,Conferences</v>
      </c>
      <c r="B10" s="808" t="s">
        <v>164</v>
      </c>
      <c r="C10" s="792" t="s">
        <v>806</v>
      </c>
      <c r="D10" s="837" t="s">
        <v>441</v>
      </c>
      <c r="E10" s="234" t="s">
        <v>465</v>
      </c>
      <c r="F10" s="226">
        <v>0.05</v>
      </c>
      <c r="G10" s="226">
        <v>0.05</v>
      </c>
      <c r="H10" s="226">
        <v>0.05</v>
      </c>
      <c r="I10" s="226">
        <v>0.05</v>
      </c>
      <c r="J10" s="226">
        <v>0.05</v>
      </c>
      <c r="K10" s="226">
        <v>0.05</v>
      </c>
      <c r="L10" s="226">
        <v>0.4</v>
      </c>
      <c r="M10" s="226">
        <v>0.4</v>
      </c>
      <c r="N10" s="226">
        <v>0.4</v>
      </c>
      <c r="O10" s="226">
        <v>0.75</v>
      </c>
      <c r="P10" s="226">
        <v>0.75</v>
      </c>
      <c r="Q10" s="226">
        <v>0.75</v>
      </c>
      <c r="R10" s="226">
        <v>0.75</v>
      </c>
      <c r="S10" s="226">
        <v>0.75</v>
      </c>
      <c r="T10" s="226">
        <v>0.75</v>
      </c>
      <c r="U10" s="226">
        <v>0.75</v>
      </c>
      <c r="V10" s="226">
        <v>0.75</v>
      </c>
      <c r="W10" s="226">
        <v>0.75</v>
      </c>
      <c r="X10" s="226">
        <v>0.75</v>
      </c>
      <c r="Y10" s="226">
        <v>0.75</v>
      </c>
      <c r="Z10" s="226">
        <v>0.75</v>
      </c>
      <c r="AA10" s="226">
        <v>0.75</v>
      </c>
      <c r="AB10" s="226">
        <v>0.25</v>
      </c>
      <c r="AC10" s="227">
        <v>0.05</v>
      </c>
      <c r="AD10" s="67"/>
      <c r="AE10" s="66"/>
      <c r="AF10" s="66"/>
      <c r="AG10" s="66"/>
      <c r="AH10" s="66"/>
      <c r="AI10" s="66"/>
      <c r="AJ10" s="66"/>
      <c r="AK10" s="66"/>
      <c r="AM10" s="98"/>
    </row>
    <row r="11" spans="1:39" ht="36" customHeight="1" x14ac:dyDescent="0.3">
      <c r="A11" s="773"/>
      <c r="B11" s="806"/>
      <c r="C11" s="787"/>
      <c r="D11" s="790"/>
      <c r="E11" s="224" t="s">
        <v>466</v>
      </c>
      <c r="F11" s="223">
        <v>0.05</v>
      </c>
      <c r="G11" s="223">
        <v>0.05</v>
      </c>
      <c r="H11" s="223">
        <v>0.05</v>
      </c>
      <c r="I11" s="223">
        <v>0.05</v>
      </c>
      <c r="J11" s="223">
        <v>0.05</v>
      </c>
      <c r="K11" s="223">
        <v>0.05</v>
      </c>
      <c r="L11" s="223">
        <v>0.05</v>
      </c>
      <c r="M11" s="223">
        <v>0.3</v>
      </c>
      <c r="N11" s="223">
        <v>0.3</v>
      </c>
      <c r="O11" s="223">
        <v>0.5</v>
      </c>
      <c r="P11" s="223">
        <v>0.5</v>
      </c>
      <c r="Q11" s="223">
        <v>0.5</v>
      </c>
      <c r="R11" s="223">
        <v>0.5</v>
      </c>
      <c r="S11" s="223">
        <v>0.5</v>
      </c>
      <c r="T11" s="223">
        <v>0.5</v>
      </c>
      <c r="U11" s="223">
        <v>0.5</v>
      </c>
      <c r="V11" s="223">
        <v>0.5</v>
      </c>
      <c r="W11" s="223">
        <v>0.5</v>
      </c>
      <c r="X11" s="223">
        <v>0.5</v>
      </c>
      <c r="Y11" s="223">
        <v>0.5</v>
      </c>
      <c r="Z11" s="223">
        <v>0.5</v>
      </c>
      <c r="AA11" s="223">
        <v>0.5</v>
      </c>
      <c r="AB11" s="223">
        <v>0.5</v>
      </c>
      <c r="AC11" s="228">
        <v>0.05</v>
      </c>
      <c r="AD11" s="67"/>
      <c r="AE11" s="66"/>
      <c r="AF11" s="66"/>
      <c r="AG11" s="66"/>
      <c r="AH11" s="66"/>
      <c r="AI11" s="66"/>
      <c r="AJ11" s="66"/>
      <c r="AK11" s="66"/>
      <c r="AM11" s="98"/>
    </row>
    <row r="12" spans="1:39" ht="36" customHeight="1" thickBot="1" x14ac:dyDescent="0.35">
      <c r="A12" s="816"/>
      <c r="B12" s="807"/>
      <c r="C12" s="788"/>
      <c r="D12" s="838"/>
      <c r="E12" s="236" t="s">
        <v>467</v>
      </c>
      <c r="F12" s="229">
        <v>0.05</v>
      </c>
      <c r="G12" s="229">
        <v>0.05</v>
      </c>
      <c r="H12" s="229">
        <v>0.05</v>
      </c>
      <c r="I12" s="229">
        <v>0.05</v>
      </c>
      <c r="J12" s="229">
        <v>0.05</v>
      </c>
      <c r="K12" s="229">
        <v>0.05</v>
      </c>
      <c r="L12" s="229">
        <v>0.05</v>
      </c>
      <c r="M12" s="229">
        <v>0.3</v>
      </c>
      <c r="N12" s="229">
        <v>0.3</v>
      </c>
      <c r="O12" s="229">
        <v>0.3</v>
      </c>
      <c r="P12" s="229">
        <v>0.3</v>
      </c>
      <c r="Q12" s="229">
        <v>0.3</v>
      </c>
      <c r="R12" s="229">
        <v>0.65</v>
      </c>
      <c r="S12" s="229">
        <v>0.65</v>
      </c>
      <c r="T12" s="229">
        <v>0.65</v>
      </c>
      <c r="U12" s="229">
        <v>0.65</v>
      </c>
      <c r="V12" s="229">
        <v>0.65</v>
      </c>
      <c r="W12" s="229">
        <v>0.65</v>
      </c>
      <c r="X12" s="229">
        <v>0.65</v>
      </c>
      <c r="Y12" s="229">
        <v>0.65</v>
      </c>
      <c r="Z12" s="229">
        <v>0.65</v>
      </c>
      <c r="AA12" s="229">
        <v>0.65</v>
      </c>
      <c r="AB12" s="229">
        <v>0.05</v>
      </c>
      <c r="AC12" s="230">
        <v>0.05</v>
      </c>
      <c r="AD12" s="67"/>
      <c r="AE12" s="66"/>
      <c r="AF12" s="66"/>
      <c r="AG12" s="66"/>
      <c r="AH12" s="66"/>
      <c r="AI12" s="66"/>
      <c r="AJ12" s="66"/>
      <c r="AK12" s="66"/>
      <c r="AM12" s="98"/>
    </row>
    <row r="13" spans="1:39" ht="36" customHeight="1" x14ac:dyDescent="0.3">
      <c r="A13" s="815" t="str">
        <f>A4</f>
        <v>Gym,Storage,Laundry,Conferences</v>
      </c>
      <c r="B13" s="808" t="s">
        <v>164</v>
      </c>
      <c r="C13" s="786" t="s">
        <v>807</v>
      </c>
      <c r="D13" s="837" t="s">
        <v>441</v>
      </c>
      <c r="E13" s="237" t="s">
        <v>465</v>
      </c>
      <c r="F13" s="225">
        <v>0</v>
      </c>
      <c r="G13" s="225">
        <v>0</v>
      </c>
      <c r="H13" s="225">
        <v>0</v>
      </c>
      <c r="I13" s="225">
        <v>0</v>
      </c>
      <c r="J13" s="225">
        <v>0</v>
      </c>
      <c r="K13" s="225">
        <v>0</v>
      </c>
      <c r="L13" s="225">
        <v>0</v>
      </c>
      <c r="M13" s="225">
        <v>1</v>
      </c>
      <c r="N13" s="225">
        <v>1</v>
      </c>
      <c r="O13" s="225">
        <v>1</v>
      </c>
      <c r="P13" s="225">
        <v>1</v>
      </c>
      <c r="Q13" s="225">
        <v>1</v>
      </c>
      <c r="R13" s="225">
        <v>1</v>
      </c>
      <c r="S13" s="225">
        <v>1</v>
      </c>
      <c r="T13" s="225">
        <v>1</v>
      </c>
      <c r="U13" s="225">
        <v>1</v>
      </c>
      <c r="V13" s="225">
        <v>1</v>
      </c>
      <c r="W13" s="225">
        <v>1</v>
      </c>
      <c r="X13" s="225">
        <v>1</v>
      </c>
      <c r="Y13" s="225">
        <v>1</v>
      </c>
      <c r="Z13" s="225">
        <v>1</v>
      </c>
      <c r="AA13" s="225">
        <v>1</v>
      </c>
      <c r="AB13" s="225">
        <v>1</v>
      </c>
      <c r="AC13" s="233">
        <v>0</v>
      </c>
      <c r="AD13" s="67"/>
      <c r="AE13" s="66"/>
      <c r="AF13" s="66"/>
      <c r="AG13" s="66"/>
      <c r="AH13" s="66"/>
      <c r="AI13" s="66"/>
      <c r="AJ13" s="66"/>
      <c r="AK13" s="66"/>
    </row>
    <row r="14" spans="1:39" ht="33" customHeight="1" x14ac:dyDescent="0.3">
      <c r="A14" s="773"/>
      <c r="B14" s="806"/>
      <c r="C14" s="787"/>
      <c r="D14" s="790"/>
      <c r="E14" s="224" t="s">
        <v>466</v>
      </c>
      <c r="F14" s="223">
        <v>0</v>
      </c>
      <c r="G14" s="223">
        <v>0</v>
      </c>
      <c r="H14" s="223">
        <v>0</v>
      </c>
      <c r="I14" s="223">
        <v>0</v>
      </c>
      <c r="J14" s="223">
        <v>0</v>
      </c>
      <c r="K14" s="223">
        <v>0</v>
      </c>
      <c r="L14" s="223">
        <v>0</v>
      </c>
      <c r="M14" s="223">
        <v>1</v>
      </c>
      <c r="N14" s="223">
        <v>1</v>
      </c>
      <c r="O14" s="223">
        <v>1</v>
      </c>
      <c r="P14" s="223">
        <v>1</v>
      </c>
      <c r="Q14" s="223">
        <v>1</v>
      </c>
      <c r="R14" s="223">
        <v>1</v>
      </c>
      <c r="S14" s="223">
        <v>1</v>
      </c>
      <c r="T14" s="223">
        <v>1</v>
      </c>
      <c r="U14" s="223">
        <v>1</v>
      </c>
      <c r="V14" s="223">
        <v>1</v>
      </c>
      <c r="W14" s="223">
        <v>1</v>
      </c>
      <c r="X14" s="223">
        <v>1</v>
      </c>
      <c r="Y14" s="223">
        <v>1</v>
      </c>
      <c r="Z14" s="223">
        <v>1</v>
      </c>
      <c r="AA14" s="223">
        <v>1</v>
      </c>
      <c r="AB14" s="223">
        <v>1</v>
      </c>
      <c r="AC14" s="228">
        <v>0</v>
      </c>
      <c r="AD14" s="66"/>
      <c r="AE14" s="66"/>
      <c r="AF14" s="66"/>
      <c r="AG14" s="66"/>
      <c r="AH14" s="66"/>
      <c r="AI14" s="66"/>
      <c r="AJ14" s="66"/>
      <c r="AK14" s="66"/>
    </row>
    <row r="15" spans="1:39" ht="33" customHeight="1" thickBot="1" x14ac:dyDescent="0.35">
      <c r="A15" s="816"/>
      <c r="B15" s="807"/>
      <c r="C15" s="793"/>
      <c r="D15" s="838"/>
      <c r="E15" s="235" t="s">
        <v>467</v>
      </c>
      <c r="F15" s="231">
        <v>0</v>
      </c>
      <c r="G15" s="231">
        <v>0</v>
      </c>
      <c r="H15" s="231">
        <v>0</v>
      </c>
      <c r="I15" s="231">
        <v>0</v>
      </c>
      <c r="J15" s="231">
        <v>0</v>
      </c>
      <c r="K15" s="231">
        <v>0</v>
      </c>
      <c r="L15" s="231">
        <v>0</v>
      </c>
      <c r="M15" s="231">
        <v>1</v>
      </c>
      <c r="N15" s="231">
        <v>1</v>
      </c>
      <c r="O15" s="231">
        <v>1</v>
      </c>
      <c r="P15" s="231">
        <v>1</v>
      </c>
      <c r="Q15" s="231">
        <v>1</v>
      </c>
      <c r="R15" s="231">
        <v>1</v>
      </c>
      <c r="S15" s="231">
        <v>1</v>
      </c>
      <c r="T15" s="231">
        <v>1</v>
      </c>
      <c r="U15" s="231">
        <v>1</v>
      </c>
      <c r="V15" s="231">
        <v>1</v>
      </c>
      <c r="W15" s="231">
        <v>1</v>
      </c>
      <c r="X15" s="231">
        <v>1</v>
      </c>
      <c r="Y15" s="231">
        <v>1</v>
      </c>
      <c r="Z15" s="231">
        <v>1</v>
      </c>
      <c r="AA15" s="231">
        <v>1</v>
      </c>
      <c r="AB15" s="231">
        <v>1</v>
      </c>
      <c r="AC15" s="232">
        <v>0</v>
      </c>
      <c r="AD15" s="66"/>
      <c r="AE15" s="66"/>
      <c r="AF15" s="66"/>
      <c r="AG15" s="66"/>
      <c r="AH15" s="66"/>
      <c r="AI15" s="66"/>
      <c r="AJ15" s="66"/>
      <c r="AK15" s="66"/>
    </row>
    <row r="16" spans="1:39" ht="38.700000000000003" customHeight="1" x14ac:dyDescent="0.3">
      <c r="A16" s="815" t="str">
        <f>A4</f>
        <v>Gym,Storage,Laundry,Conferences</v>
      </c>
      <c r="B16" s="808" t="s">
        <v>164</v>
      </c>
      <c r="C16" s="792" t="s">
        <v>808</v>
      </c>
      <c r="D16" s="837" t="s">
        <v>441</v>
      </c>
      <c r="E16" s="234" t="s">
        <v>465</v>
      </c>
      <c r="F16" s="226">
        <v>0</v>
      </c>
      <c r="G16" s="226">
        <v>0</v>
      </c>
      <c r="H16" s="226">
        <v>0</v>
      </c>
      <c r="I16" s="226">
        <v>0</v>
      </c>
      <c r="J16" s="226">
        <v>0</v>
      </c>
      <c r="K16" s="226">
        <v>0</v>
      </c>
      <c r="L16" s="226">
        <v>0</v>
      </c>
      <c r="M16" s="226">
        <v>0</v>
      </c>
      <c r="N16" s="226">
        <v>0</v>
      </c>
      <c r="O16" s="226">
        <v>0.05</v>
      </c>
      <c r="P16" s="226">
        <v>0.05</v>
      </c>
      <c r="Q16" s="226">
        <v>0.35</v>
      </c>
      <c r="R16" s="226">
        <v>0.05</v>
      </c>
      <c r="S16" s="226">
        <v>0.05</v>
      </c>
      <c r="T16" s="226">
        <v>0.05</v>
      </c>
      <c r="U16" s="226">
        <v>0.05</v>
      </c>
      <c r="V16" s="226">
        <v>0.05</v>
      </c>
      <c r="W16" s="226">
        <v>0</v>
      </c>
      <c r="X16" s="226">
        <v>0</v>
      </c>
      <c r="Y16" s="226">
        <v>0</v>
      </c>
      <c r="Z16" s="226">
        <v>0</v>
      </c>
      <c r="AA16" s="226">
        <v>0</v>
      </c>
      <c r="AB16" s="226">
        <v>0</v>
      </c>
      <c r="AC16" s="227">
        <v>0</v>
      </c>
      <c r="AD16" s="66"/>
      <c r="AE16" s="66"/>
      <c r="AF16" s="66"/>
      <c r="AG16" s="66"/>
      <c r="AH16" s="66"/>
      <c r="AI16" s="66"/>
      <c r="AJ16" s="66"/>
      <c r="AK16" s="66"/>
    </row>
    <row r="17" spans="1:37" ht="33" customHeight="1" x14ac:dyDescent="0.3">
      <c r="A17" s="773"/>
      <c r="B17" s="806"/>
      <c r="C17" s="787"/>
      <c r="D17" s="790"/>
      <c r="E17" s="224" t="s">
        <v>466</v>
      </c>
      <c r="F17" s="223">
        <v>0</v>
      </c>
      <c r="G17" s="223">
        <v>0</v>
      </c>
      <c r="H17" s="223">
        <v>0</v>
      </c>
      <c r="I17" s="223">
        <v>0</v>
      </c>
      <c r="J17" s="223">
        <v>0</v>
      </c>
      <c r="K17" s="223">
        <v>0</v>
      </c>
      <c r="L17" s="223">
        <v>0</v>
      </c>
      <c r="M17" s="223">
        <v>0</v>
      </c>
      <c r="N17" s="223">
        <v>0</v>
      </c>
      <c r="O17" s="223">
        <v>0.05</v>
      </c>
      <c r="P17" s="223">
        <v>0.05</v>
      </c>
      <c r="Q17" s="223">
        <v>0.2</v>
      </c>
      <c r="R17" s="223">
        <v>0</v>
      </c>
      <c r="S17" s="223">
        <v>0</v>
      </c>
      <c r="T17" s="223">
        <v>0</v>
      </c>
      <c r="U17" s="223">
        <v>0</v>
      </c>
      <c r="V17" s="223">
        <v>0</v>
      </c>
      <c r="W17" s="223">
        <v>0</v>
      </c>
      <c r="X17" s="223">
        <v>0</v>
      </c>
      <c r="Y17" s="223">
        <v>0.65</v>
      </c>
      <c r="Z17" s="223">
        <v>0.3</v>
      </c>
      <c r="AA17" s="223">
        <v>0</v>
      </c>
      <c r="AB17" s="223">
        <v>0</v>
      </c>
      <c r="AC17" s="228">
        <v>0</v>
      </c>
      <c r="AD17" s="66"/>
      <c r="AE17" s="66"/>
      <c r="AF17" s="66"/>
      <c r="AG17" s="66"/>
      <c r="AH17" s="66"/>
      <c r="AI17" s="66"/>
      <c r="AJ17" s="66"/>
      <c r="AK17" s="66"/>
    </row>
    <row r="18" spans="1:37" ht="33" customHeight="1" thickBot="1" x14ac:dyDescent="0.35">
      <c r="A18" s="816"/>
      <c r="B18" s="807"/>
      <c r="C18" s="788"/>
      <c r="D18" s="838"/>
      <c r="E18" s="236" t="s">
        <v>467</v>
      </c>
      <c r="F18" s="229">
        <v>0</v>
      </c>
      <c r="G18" s="229">
        <v>0</v>
      </c>
      <c r="H18" s="229">
        <v>0</v>
      </c>
      <c r="I18" s="229">
        <v>0</v>
      </c>
      <c r="J18" s="229">
        <v>0</v>
      </c>
      <c r="K18" s="229">
        <v>0</v>
      </c>
      <c r="L18" s="229">
        <v>0</v>
      </c>
      <c r="M18" s="229">
        <v>0</v>
      </c>
      <c r="N18" s="229">
        <v>0</v>
      </c>
      <c r="O18" s="229">
        <v>0.05</v>
      </c>
      <c r="P18" s="229">
        <v>0.05</v>
      </c>
      <c r="Q18" s="229">
        <v>0.1</v>
      </c>
      <c r="R18" s="229">
        <v>0</v>
      </c>
      <c r="S18" s="229">
        <v>0</v>
      </c>
      <c r="T18" s="229">
        <v>0</v>
      </c>
      <c r="U18" s="229">
        <v>0</v>
      </c>
      <c r="V18" s="229">
        <v>0</v>
      </c>
      <c r="W18" s="229">
        <v>0</v>
      </c>
      <c r="X18" s="229">
        <v>0</v>
      </c>
      <c r="Y18" s="229">
        <v>0.65</v>
      </c>
      <c r="Z18" s="229">
        <v>0.3</v>
      </c>
      <c r="AA18" s="229">
        <v>0</v>
      </c>
      <c r="AB18" s="229">
        <v>0</v>
      </c>
      <c r="AC18" s="230">
        <v>0</v>
      </c>
      <c r="AD18" s="66"/>
      <c r="AE18" s="66"/>
      <c r="AF18" s="66"/>
      <c r="AG18" s="66"/>
      <c r="AH18" s="66"/>
      <c r="AI18" s="66"/>
      <c r="AJ18" s="66"/>
      <c r="AK18" s="66"/>
    </row>
    <row r="19" spans="1:37" ht="33" customHeight="1" x14ac:dyDescent="0.3">
      <c r="A19" s="815" t="str">
        <f>A4</f>
        <v>Gym,Storage,Laundry,Conferences</v>
      </c>
      <c r="B19" s="808" t="s">
        <v>164</v>
      </c>
      <c r="C19" s="792" t="s">
        <v>340</v>
      </c>
      <c r="D19" s="837" t="s">
        <v>441</v>
      </c>
      <c r="E19" s="234" t="s">
        <v>465</v>
      </c>
      <c r="F19" s="226">
        <v>1</v>
      </c>
      <c r="G19" s="226">
        <v>1</v>
      </c>
      <c r="H19" s="226">
        <v>1</v>
      </c>
      <c r="I19" s="226">
        <v>1</v>
      </c>
      <c r="J19" s="226">
        <v>1</v>
      </c>
      <c r="K19" s="226">
        <v>1</v>
      </c>
      <c r="L19" s="226">
        <v>1</v>
      </c>
      <c r="M19" s="226">
        <v>0.25</v>
      </c>
      <c r="N19" s="226">
        <v>0.25</v>
      </c>
      <c r="O19" s="226">
        <v>0.25</v>
      </c>
      <c r="P19" s="226">
        <v>0.25</v>
      </c>
      <c r="Q19" s="226">
        <v>0.25</v>
      </c>
      <c r="R19" s="226">
        <v>0.25</v>
      </c>
      <c r="S19" s="226">
        <v>0.25</v>
      </c>
      <c r="T19" s="226">
        <v>0.25</v>
      </c>
      <c r="U19" s="226">
        <v>0.25</v>
      </c>
      <c r="V19" s="226">
        <v>0.25</v>
      </c>
      <c r="W19" s="226">
        <v>0.25</v>
      </c>
      <c r="X19" s="226">
        <v>0.25</v>
      </c>
      <c r="Y19" s="226">
        <v>0.25</v>
      </c>
      <c r="Z19" s="226">
        <v>0.25</v>
      </c>
      <c r="AA19" s="226">
        <v>0.25</v>
      </c>
      <c r="AB19" s="226">
        <v>0.25</v>
      </c>
      <c r="AC19" s="227">
        <v>1</v>
      </c>
      <c r="AD19" s="66"/>
      <c r="AE19" s="66"/>
      <c r="AF19" s="66"/>
      <c r="AG19" s="66"/>
      <c r="AH19" s="66"/>
      <c r="AI19" s="66"/>
      <c r="AJ19" s="66"/>
      <c r="AK19" s="66"/>
    </row>
    <row r="20" spans="1:37" ht="28.95" customHeight="1" x14ac:dyDescent="0.3">
      <c r="A20" s="773"/>
      <c r="B20" s="806"/>
      <c r="C20" s="787"/>
      <c r="D20" s="790"/>
      <c r="E20" s="224" t="s">
        <v>466</v>
      </c>
      <c r="F20" s="223">
        <v>1</v>
      </c>
      <c r="G20" s="223">
        <v>1</v>
      </c>
      <c r="H20" s="223">
        <v>1</v>
      </c>
      <c r="I20" s="223">
        <v>1</v>
      </c>
      <c r="J20" s="223">
        <v>1</v>
      </c>
      <c r="K20" s="223">
        <v>1</v>
      </c>
      <c r="L20" s="223">
        <v>1</v>
      </c>
      <c r="M20" s="223">
        <v>0.25</v>
      </c>
      <c r="N20" s="223">
        <v>0.25</v>
      </c>
      <c r="O20" s="223">
        <v>0.25</v>
      </c>
      <c r="P20" s="223">
        <v>0.25</v>
      </c>
      <c r="Q20" s="223">
        <v>0.25</v>
      </c>
      <c r="R20" s="223">
        <v>0.25</v>
      </c>
      <c r="S20" s="223">
        <v>0.25</v>
      </c>
      <c r="T20" s="223">
        <v>0.25</v>
      </c>
      <c r="U20" s="223">
        <v>0.25</v>
      </c>
      <c r="V20" s="223">
        <v>0.25</v>
      </c>
      <c r="W20" s="223">
        <v>0.25</v>
      </c>
      <c r="X20" s="223">
        <v>0.25</v>
      </c>
      <c r="Y20" s="223">
        <v>0.25</v>
      </c>
      <c r="Z20" s="223">
        <v>0.25</v>
      </c>
      <c r="AA20" s="223">
        <v>0.25</v>
      </c>
      <c r="AB20" s="223">
        <v>0.25</v>
      </c>
      <c r="AC20" s="228">
        <v>1</v>
      </c>
    </row>
    <row r="21" spans="1:37" ht="35.4" customHeight="1" thickBot="1" x14ac:dyDescent="0.35">
      <c r="A21" s="816"/>
      <c r="B21" s="807"/>
      <c r="C21" s="788"/>
      <c r="D21" s="838"/>
      <c r="E21" s="236" t="s">
        <v>467</v>
      </c>
      <c r="F21" s="229">
        <v>1</v>
      </c>
      <c r="G21" s="229">
        <v>1</v>
      </c>
      <c r="H21" s="229">
        <v>1</v>
      </c>
      <c r="I21" s="229">
        <v>1</v>
      </c>
      <c r="J21" s="229">
        <v>1</v>
      </c>
      <c r="K21" s="229">
        <v>1</v>
      </c>
      <c r="L21" s="229">
        <v>1</v>
      </c>
      <c r="M21" s="229">
        <v>0.25</v>
      </c>
      <c r="N21" s="229">
        <v>0.25</v>
      </c>
      <c r="O21" s="229">
        <v>0.25</v>
      </c>
      <c r="P21" s="229">
        <v>0.25</v>
      </c>
      <c r="Q21" s="229">
        <v>0.25</v>
      </c>
      <c r="R21" s="229">
        <v>0.25</v>
      </c>
      <c r="S21" s="229">
        <v>0.25</v>
      </c>
      <c r="T21" s="229">
        <v>0.25</v>
      </c>
      <c r="U21" s="229">
        <v>0.25</v>
      </c>
      <c r="V21" s="229">
        <v>0.25</v>
      </c>
      <c r="W21" s="229">
        <v>0.25</v>
      </c>
      <c r="X21" s="229">
        <v>0.25</v>
      </c>
      <c r="Y21" s="229">
        <v>0.25</v>
      </c>
      <c r="Z21" s="229">
        <v>0.25</v>
      </c>
      <c r="AA21" s="229">
        <v>0.25</v>
      </c>
      <c r="AB21" s="229">
        <v>0.25</v>
      </c>
      <c r="AC21" s="230">
        <v>1</v>
      </c>
    </row>
    <row r="22" spans="1:37" ht="25.95" customHeight="1" x14ac:dyDescent="0.3">
      <c r="A22" s="815" t="s">
        <v>234</v>
      </c>
      <c r="B22" s="808" t="s">
        <v>164</v>
      </c>
      <c r="C22" s="786" t="s">
        <v>809</v>
      </c>
      <c r="D22" s="837" t="s">
        <v>441</v>
      </c>
      <c r="E22" s="237" t="s">
        <v>465</v>
      </c>
      <c r="F22" s="225">
        <v>0</v>
      </c>
      <c r="G22" s="225">
        <v>0</v>
      </c>
      <c r="H22" s="225">
        <v>0</v>
      </c>
      <c r="I22" s="225">
        <v>0</v>
      </c>
      <c r="J22" s="225">
        <v>0</v>
      </c>
      <c r="K22" s="225">
        <v>0</v>
      </c>
      <c r="L22" s="225">
        <v>0</v>
      </c>
      <c r="M22" s="225">
        <v>0</v>
      </c>
      <c r="N22" s="225">
        <v>0.3</v>
      </c>
      <c r="O22" s="225">
        <v>0.3</v>
      </c>
      <c r="P22" s="225">
        <v>0.2</v>
      </c>
      <c r="Q22" s="225">
        <v>0.9</v>
      </c>
      <c r="R22" s="225">
        <v>0.9</v>
      </c>
      <c r="S22" s="225">
        <v>0.9</v>
      </c>
      <c r="T22" s="225">
        <v>0.2</v>
      </c>
      <c r="U22" s="225">
        <v>0.2</v>
      </c>
      <c r="V22" s="225">
        <v>0.2</v>
      </c>
      <c r="W22" s="225">
        <v>0.5</v>
      </c>
      <c r="X22" s="225">
        <v>0.5</v>
      </c>
      <c r="Y22" s="225">
        <v>0.1</v>
      </c>
      <c r="Z22" s="225">
        <v>0.1</v>
      </c>
      <c r="AA22" s="225">
        <v>0.1</v>
      </c>
      <c r="AB22" s="225">
        <v>0</v>
      </c>
      <c r="AC22" s="233">
        <v>0</v>
      </c>
    </row>
    <row r="23" spans="1:37" ht="29.4" customHeight="1" x14ac:dyDescent="0.3">
      <c r="A23" s="773"/>
      <c r="B23" s="806"/>
      <c r="C23" s="787"/>
      <c r="D23" s="790"/>
      <c r="E23" s="224" t="s">
        <v>466</v>
      </c>
      <c r="F23" s="223">
        <v>0</v>
      </c>
      <c r="G23" s="223">
        <v>0</v>
      </c>
      <c r="H23" s="223">
        <v>0</v>
      </c>
      <c r="I23" s="223">
        <v>0</v>
      </c>
      <c r="J23" s="223">
        <v>0</v>
      </c>
      <c r="K23" s="223">
        <v>0</v>
      </c>
      <c r="L23" s="223">
        <v>0</v>
      </c>
      <c r="M23" s="223">
        <v>0</v>
      </c>
      <c r="N23" s="223">
        <v>0.3</v>
      </c>
      <c r="O23" s="223">
        <v>0.3</v>
      </c>
      <c r="P23" s="223">
        <v>0.2</v>
      </c>
      <c r="Q23" s="223">
        <v>0.7</v>
      </c>
      <c r="R23" s="223">
        <v>0.7</v>
      </c>
      <c r="S23" s="223">
        <v>0.7</v>
      </c>
      <c r="T23" s="223">
        <v>0.2</v>
      </c>
      <c r="U23" s="223">
        <v>0.2</v>
      </c>
      <c r="V23" s="223">
        <v>0.2</v>
      </c>
      <c r="W23" s="223">
        <v>0.4</v>
      </c>
      <c r="X23" s="223">
        <v>0.4</v>
      </c>
      <c r="Y23" s="223">
        <v>0.1</v>
      </c>
      <c r="Z23" s="223">
        <v>0.1</v>
      </c>
      <c r="AA23" s="223">
        <v>0.1</v>
      </c>
      <c r="AB23" s="223">
        <v>0</v>
      </c>
      <c r="AC23" s="228">
        <v>0</v>
      </c>
    </row>
    <row r="24" spans="1:37" ht="33.6" customHeight="1" thickBot="1" x14ac:dyDescent="0.35">
      <c r="A24" s="816"/>
      <c r="B24" s="807"/>
      <c r="C24" s="788"/>
      <c r="D24" s="838"/>
      <c r="E24" s="235" t="s">
        <v>467</v>
      </c>
      <c r="F24" s="231">
        <v>0</v>
      </c>
      <c r="G24" s="231">
        <v>0</v>
      </c>
      <c r="H24" s="231">
        <v>0</v>
      </c>
      <c r="I24" s="231">
        <v>0</v>
      </c>
      <c r="J24" s="231">
        <v>0</v>
      </c>
      <c r="K24" s="231">
        <v>0</v>
      </c>
      <c r="L24" s="231">
        <v>0</v>
      </c>
      <c r="M24" s="231">
        <v>0</v>
      </c>
      <c r="N24" s="231">
        <v>0.2</v>
      </c>
      <c r="O24" s="231">
        <v>0.2</v>
      </c>
      <c r="P24" s="231">
        <v>0.1</v>
      </c>
      <c r="Q24" s="231">
        <v>0.1</v>
      </c>
      <c r="R24" s="231">
        <v>0.3</v>
      </c>
      <c r="S24" s="231">
        <v>0.8</v>
      </c>
      <c r="T24" s="231">
        <v>0.2</v>
      </c>
      <c r="U24" s="231">
        <v>0.2</v>
      </c>
      <c r="V24" s="231">
        <v>0.2</v>
      </c>
      <c r="W24" s="231">
        <v>0.5</v>
      </c>
      <c r="X24" s="231">
        <v>0.5</v>
      </c>
      <c r="Y24" s="231">
        <v>0.1</v>
      </c>
      <c r="Z24" s="231">
        <v>0.1</v>
      </c>
      <c r="AA24" s="231">
        <v>0.1</v>
      </c>
      <c r="AB24" s="231">
        <v>0</v>
      </c>
      <c r="AC24" s="232">
        <v>0</v>
      </c>
    </row>
    <row r="25" spans="1:37" ht="33.6" customHeight="1" x14ac:dyDescent="0.3">
      <c r="A25" s="815" t="str">
        <f>A4</f>
        <v>Gym,Storage,Laundry,Conferences</v>
      </c>
      <c r="B25" s="808" t="s">
        <v>164</v>
      </c>
      <c r="C25" s="808" t="s">
        <v>810</v>
      </c>
      <c r="D25" s="839" t="s">
        <v>811</v>
      </c>
      <c r="E25" s="287" t="s">
        <v>465</v>
      </c>
      <c r="F25" s="267">
        <f>IF((F13=1),Thermostat!$B$3,Thermostat!$B$4)</f>
        <v>60</v>
      </c>
      <c r="G25" s="267">
        <f>IF((G13=1),Thermostat!$B$3,Thermostat!$B$4)</f>
        <v>60</v>
      </c>
      <c r="H25" s="267">
        <f>IF((H13=1),Thermostat!$B$3,Thermostat!$B$4)</f>
        <v>60</v>
      </c>
      <c r="I25" s="267">
        <f>IF((I13=1),Thermostat!$B$3,Thermostat!$B$4)</f>
        <v>60</v>
      </c>
      <c r="J25" s="267">
        <f>IF((J13=1),Thermostat!$B$3,Thermostat!$B$4)</f>
        <v>60</v>
      </c>
      <c r="K25" s="267">
        <f>IF((K13=1),Thermostat!$B$3,Thermostat!$B$4)</f>
        <v>60</v>
      </c>
      <c r="L25" s="267">
        <f>IF((L13=1),Thermostat!$B$3,Thermostat!$B$4)</f>
        <v>60</v>
      </c>
      <c r="M25" s="267">
        <f>IF((M13=1),Thermostat!$B$3,Thermostat!$B$4)</f>
        <v>70</v>
      </c>
      <c r="N25" s="267">
        <f>IF((N13=1),Thermostat!$B$3,Thermostat!$B$4)</f>
        <v>70</v>
      </c>
      <c r="O25" s="267">
        <f>IF((O13=1),Thermostat!$B$3,Thermostat!$B$4)</f>
        <v>70</v>
      </c>
      <c r="P25" s="267">
        <f>IF((P13=1),Thermostat!$B$3,Thermostat!$B$4)</f>
        <v>70</v>
      </c>
      <c r="Q25" s="267">
        <f>IF((Q13=1),Thermostat!$B$3,Thermostat!$B$4)</f>
        <v>70</v>
      </c>
      <c r="R25" s="267">
        <f>IF((R13=1),Thermostat!$B$3,Thermostat!$B$4)</f>
        <v>70</v>
      </c>
      <c r="S25" s="267">
        <f>IF((S13=1),Thermostat!$B$3,Thermostat!$B$4)</f>
        <v>70</v>
      </c>
      <c r="T25" s="267">
        <f>IF((T13=1),Thermostat!$B$3,Thermostat!$B$4)</f>
        <v>70</v>
      </c>
      <c r="U25" s="267">
        <f>IF((U13=1),Thermostat!$B$3,Thermostat!$B$4)</f>
        <v>70</v>
      </c>
      <c r="V25" s="267">
        <f>IF((V13=1),Thermostat!$B$3,Thermostat!$B$4)</f>
        <v>70</v>
      </c>
      <c r="W25" s="267">
        <f>IF((W13=1),Thermostat!$B$3,Thermostat!$B$4)</f>
        <v>70</v>
      </c>
      <c r="X25" s="267">
        <f>IF((X13=1),Thermostat!$B$3,Thermostat!$B$4)</f>
        <v>70</v>
      </c>
      <c r="Y25" s="267">
        <f>IF((Y13=1),Thermostat!$B$3,Thermostat!$B$4)</f>
        <v>70</v>
      </c>
      <c r="Z25" s="267">
        <f>IF((Z13=1),Thermostat!$B$3,Thermostat!$B$4)</f>
        <v>70</v>
      </c>
      <c r="AA25" s="267">
        <f>IF((AA13=1),Thermostat!$B$3,Thermostat!$B$4)</f>
        <v>70</v>
      </c>
      <c r="AB25" s="267">
        <f>IF((AB13=1),Thermostat!$B$3,Thermostat!$B$4)</f>
        <v>70</v>
      </c>
      <c r="AC25" s="268">
        <f>IF((AC13=1),Thermostat!$B$3,Thermostat!$B$4)</f>
        <v>60</v>
      </c>
    </row>
    <row r="26" spans="1:37" ht="33.6" customHeight="1" x14ac:dyDescent="0.3">
      <c r="A26" s="773"/>
      <c r="B26" s="806"/>
      <c r="C26" s="806"/>
      <c r="D26" s="790"/>
      <c r="E26" s="288" t="s">
        <v>466</v>
      </c>
      <c r="F26" s="266">
        <f>IF((F14=1),Thermostat!$B$3,Thermostat!$B$4)</f>
        <v>60</v>
      </c>
      <c r="G26" s="266">
        <f>IF((G14=1),Thermostat!$B$3,Thermostat!$B$4)</f>
        <v>60</v>
      </c>
      <c r="H26" s="266">
        <f>IF((H14=1),Thermostat!$B$3,Thermostat!$B$4)</f>
        <v>60</v>
      </c>
      <c r="I26" s="266">
        <f>IF((I14=1),Thermostat!$B$3,Thermostat!$B$4)</f>
        <v>60</v>
      </c>
      <c r="J26" s="266">
        <f>IF((J14=1),Thermostat!$B$3,Thermostat!$B$4)</f>
        <v>60</v>
      </c>
      <c r="K26" s="266">
        <f>IF((K14=1),Thermostat!$B$3,Thermostat!$B$4)</f>
        <v>60</v>
      </c>
      <c r="L26" s="266">
        <f>IF((L14=1),Thermostat!$B$3,Thermostat!$B$4)</f>
        <v>60</v>
      </c>
      <c r="M26" s="266">
        <f>IF((M14=1),Thermostat!$B$3,Thermostat!$B$4)</f>
        <v>70</v>
      </c>
      <c r="N26" s="266">
        <f>IF((N14=1),Thermostat!$B$3,Thermostat!$B$4)</f>
        <v>70</v>
      </c>
      <c r="O26" s="266">
        <f>IF((O14=1),Thermostat!$B$3,Thermostat!$B$4)</f>
        <v>70</v>
      </c>
      <c r="P26" s="266">
        <f>IF((P14=1),Thermostat!$B$3,Thermostat!$B$4)</f>
        <v>70</v>
      </c>
      <c r="Q26" s="266">
        <f>IF((Q14=1),Thermostat!$B$3,Thermostat!$B$4)</f>
        <v>70</v>
      </c>
      <c r="R26" s="266">
        <f>IF((R14=1),Thermostat!$B$3,Thermostat!$B$4)</f>
        <v>70</v>
      </c>
      <c r="S26" s="266">
        <f>IF((S14=1),Thermostat!$B$3,Thermostat!$B$4)</f>
        <v>70</v>
      </c>
      <c r="T26" s="266">
        <f>IF((T14=1),Thermostat!$B$3,Thermostat!$B$4)</f>
        <v>70</v>
      </c>
      <c r="U26" s="266">
        <f>IF((U14=1),Thermostat!$B$3,Thermostat!$B$4)</f>
        <v>70</v>
      </c>
      <c r="V26" s="266">
        <f>IF((V14=1),Thermostat!$B$3,Thermostat!$B$4)</f>
        <v>70</v>
      </c>
      <c r="W26" s="266">
        <f>IF((W14=1),Thermostat!$B$3,Thermostat!$B$4)</f>
        <v>70</v>
      </c>
      <c r="X26" s="266">
        <f>IF((X14=1),Thermostat!$B$3,Thermostat!$B$4)</f>
        <v>70</v>
      </c>
      <c r="Y26" s="266">
        <f>IF((Y14=1),Thermostat!$B$3,Thermostat!$B$4)</f>
        <v>70</v>
      </c>
      <c r="Z26" s="266">
        <f>IF((Z14=1),Thermostat!$B$3,Thermostat!$B$4)</f>
        <v>70</v>
      </c>
      <c r="AA26" s="266">
        <f>IF((AA14=1),Thermostat!$B$3,Thermostat!$B$4)</f>
        <v>70</v>
      </c>
      <c r="AB26" s="266">
        <f>IF((AB14=1),Thermostat!$B$3,Thermostat!$B$4)</f>
        <v>70</v>
      </c>
      <c r="AC26" s="269">
        <f>IF((AC14=1),Thermostat!$B$3,Thermostat!$B$4)</f>
        <v>60</v>
      </c>
    </row>
    <row r="27" spans="1:37" ht="33.6" customHeight="1" thickBot="1" x14ac:dyDescent="0.35">
      <c r="A27" s="816"/>
      <c r="B27" s="807"/>
      <c r="C27" s="810"/>
      <c r="D27" s="791"/>
      <c r="E27" s="289" t="s">
        <v>467</v>
      </c>
      <c r="F27" s="270">
        <f>IF((F15=1),Thermostat!$B$3,Thermostat!$B$4)</f>
        <v>60</v>
      </c>
      <c r="G27" s="270">
        <f>IF((G15=1),Thermostat!$B$3,Thermostat!$B$4)</f>
        <v>60</v>
      </c>
      <c r="H27" s="270">
        <f>IF((H15=1),Thermostat!$B$3,Thermostat!$B$4)</f>
        <v>60</v>
      </c>
      <c r="I27" s="270">
        <f>IF((I15=1),Thermostat!$B$3,Thermostat!$B$4)</f>
        <v>60</v>
      </c>
      <c r="J27" s="270">
        <f>IF((J15=1),Thermostat!$B$3,Thermostat!$B$4)</f>
        <v>60</v>
      </c>
      <c r="K27" s="270">
        <f>IF((K15=1),Thermostat!$B$3,Thermostat!$B$4)</f>
        <v>60</v>
      </c>
      <c r="L27" s="270">
        <f>IF((L15=1),Thermostat!$B$3,Thermostat!$B$4)</f>
        <v>60</v>
      </c>
      <c r="M27" s="270">
        <f>IF((M15=1),Thermostat!$B$3,Thermostat!$B$4)</f>
        <v>70</v>
      </c>
      <c r="N27" s="270">
        <f>IF((N15=1),Thermostat!$B$3,Thermostat!$B$4)</f>
        <v>70</v>
      </c>
      <c r="O27" s="270">
        <f>IF((O15=1),Thermostat!$B$3,Thermostat!$B$4)</f>
        <v>70</v>
      </c>
      <c r="P27" s="270">
        <f>IF((P15=1),Thermostat!$B$3,Thermostat!$B$4)</f>
        <v>70</v>
      </c>
      <c r="Q27" s="270">
        <f>IF((Q15=1),Thermostat!$B$3,Thermostat!$B$4)</f>
        <v>70</v>
      </c>
      <c r="R27" s="270">
        <f>IF((R15=1),Thermostat!$B$3,Thermostat!$B$4)</f>
        <v>70</v>
      </c>
      <c r="S27" s="270">
        <f>IF((S15=1),Thermostat!$B$3,Thermostat!$B$4)</f>
        <v>70</v>
      </c>
      <c r="T27" s="270">
        <f>IF((T15=1),Thermostat!$B$3,Thermostat!$B$4)</f>
        <v>70</v>
      </c>
      <c r="U27" s="270">
        <f>IF((U15=1),Thermostat!$B$3,Thermostat!$B$4)</f>
        <v>70</v>
      </c>
      <c r="V27" s="270">
        <f>IF((V15=1),Thermostat!$B$3,Thermostat!$B$4)</f>
        <v>70</v>
      </c>
      <c r="W27" s="270">
        <f>IF((W15=1),Thermostat!$B$3,Thermostat!$B$4)</f>
        <v>70</v>
      </c>
      <c r="X27" s="270">
        <f>IF((X15=1),Thermostat!$B$3,Thermostat!$B$4)</f>
        <v>70</v>
      </c>
      <c r="Y27" s="270">
        <f>IF((Y15=1),Thermostat!$B$3,Thermostat!$B$4)</f>
        <v>70</v>
      </c>
      <c r="Z27" s="270">
        <f>IF((Z15=1),Thermostat!$B$3,Thermostat!$B$4)</f>
        <v>70</v>
      </c>
      <c r="AA27" s="270">
        <f>IF((AA15=1),Thermostat!$B$3,Thermostat!$B$4)</f>
        <v>70</v>
      </c>
      <c r="AB27" s="270">
        <f>IF((AB15=1),Thermostat!$B$3,Thermostat!$B$4)</f>
        <v>70</v>
      </c>
      <c r="AC27" s="271">
        <f>IF((AC15=1),Thermostat!$B$3,Thermostat!$B$4)</f>
        <v>60</v>
      </c>
    </row>
    <row r="28" spans="1:37" ht="33.6" customHeight="1" x14ac:dyDescent="0.3">
      <c r="A28" s="784" t="str">
        <f>A4</f>
        <v>Gym,Storage,Laundry,Conferences</v>
      </c>
      <c r="B28" s="808" t="s">
        <v>164</v>
      </c>
      <c r="C28" s="805" t="s">
        <v>812</v>
      </c>
      <c r="D28" s="789" t="s">
        <v>811</v>
      </c>
      <c r="E28" s="290" t="s">
        <v>465</v>
      </c>
      <c r="F28" s="272">
        <f>IF((F13=1),Thermostat!$B$5,Thermostat!$B$6)</f>
        <v>85</v>
      </c>
      <c r="G28" s="272">
        <f>IF((G13=1),Thermostat!$B$5,Thermostat!$B$6)</f>
        <v>85</v>
      </c>
      <c r="H28" s="272">
        <f>IF((H13=1),Thermostat!$B$5,Thermostat!$B$6)</f>
        <v>85</v>
      </c>
      <c r="I28" s="272">
        <f>IF((I13=1),Thermostat!$B$5,Thermostat!$B$6)</f>
        <v>85</v>
      </c>
      <c r="J28" s="272">
        <f>IF((J13=1),Thermostat!$B$5,Thermostat!$B$6)</f>
        <v>85</v>
      </c>
      <c r="K28" s="272">
        <f>IF((K13=1),Thermostat!$B$5,Thermostat!$B$6)</f>
        <v>85</v>
      </c>
      <c r="L28" s="272">
        <f>IF((L13=1),Thermostat!$B$5,Thermostat!$B$6)</f>
        <v>85</v>
      </c>
      <c r="M28" s="272">
        <f>IF((M13=1),Thermostat!$B$5,Thermostat!$B$6)</f>
        <v>75</v>
      </c>
      <c r="N28" s="272">
        <f>IF((N13=1),Thermostat!$B$5,Thermostat!$B$6)</f>
        <v>75</v>
      </c>
      <c r="O28" s="272">
        <f>IF((O13=1),Thermostat!$B$5,Thermostat!$B$6)</f>
        <v>75</v>
      </c>
      <c r="P28" s="272">
        <f>IF((P13=1),Thermostat!$B$5,Thermostat!$B$6)</f>
        <v>75</v>
      </c>
      <c r="Q28" s="272">
        <f>IF((Q13=1),Thermostat!$B$5,Thermostat!$B$6)</f>
        <v>75</v>
      </c>
      <c r="R28" s="272">
        <f>IF((R13=1),Thermostat!$B$5,Thermostat!$B$6)</f>
        <v>75</v>
      </c>
      <c r="S28" s="272">
        <f>IF((S13=1),Thermostat!$B$5,Thermostat!$B$6)</f>
        <v>75</v>
      </c>
      <c r="T28" s="272">
        <f>IF((T13=1),Thermostat!$B$5,Thermostat!$B$6)</f>
        <v>75</v>
      </c>
      <c r="U28" s="272">
        <f>IF((U13=1),Thermostat!$B$5,Thermostat!$B$6)</f>
        <v>75</v>
      </c>
      <c r="V28" s="272">
        <f>IF((V13=1),Thermostat!$B$5,Thermostat!$B$6)</f>
        <v>75</v>
      </c>
      <c r="W28" s="272">
        <f>IF((W13=1),Thermostat!$B$5,Thermostat!$B$6)</f>
        <v>75</v>
      </c>
      <c r="X28" s="272">
        <f>IF((X13=1),Thermostat!$B$5,Thermostat!$B$6)</f>
        <v>75</v>
      </c>
      <c r="Y28" s="272">
        <f>IF((Y13=1),Thermostat!$B$5,Thermostat!$B$6)</f>
        <v>75</v>
      </c>
      <c r="Z28" s="272">
        <f>IF((Z13=1),Thermostat!$B$5,Thermostat!$B$6)</f>
        <v>75</v>
      </c>
      <c r="AA28" s="272">
        <f>IF((AA13=1),Thermostat!$B$5,Thermostat!$B$6)</f>
        <v>75</v>
      </c>
      <c r="AB28" s="272">
        <f>IF((AB13=1),Thermostat!$B$5,Thermostat!$B$6)</f>
        <v>75</v>
      </c>
      <c r="AC28" s="273">
        <f>IF((AC13=1),Thermostat!$B$5,Thermostat!$B$6)</f>
        <v>85</v>
      </c>
    </row>
    <row r="29" spans="1:37" ht="33.6" customHeight="1" x14ac:dyDescent="0.3">
      <c r="A29" s="773"/>
      <c r="B29" s="806"/>
      <c r="C29" s="806"/>
      <c r="D29" s="790"/>
      <c r="E29" s="285" t="s">
        <v>466</v>
      </c>
      <c r="F29" s="266">
        <f>IF((F14=1),Thermostat!$B$5,Thermostat!$B$6)</f>
        <v>85</v>
      </c>
      <c r="G29" s="266">
        <f>IF((G14=1),Thermostat!$B$5,Thermostat!$B$6)</f>
        <v>85</v>
      </c>
      <c r="H29" s="266">
        <f>IF((H14=1),Thermostat!$B$5,Thermostat!$B$6)</f>
        <v>85</v>
      </c>
      <c r="I29" s="266">
        <f>IF((I14=1),Thermostat!$B$5,Thermostat!$B$6)</f>
        <v>85</v>
      </c>
      <c r="J29" s="266">
        <f>IF((J14=1),Thermostat!$B$5,Thermostat!$B$6)</f>
        <v>85</v>
      </c>
      <c r="K29" s="266">
        <f>IF((K14=1),Thermostat!$B$5,Thermostat!$B$6)</f>
        <v>85</v>
      </c>
      <c r="L29" s="266">
        <f>IF((L14=1),Thermostat!$B$5,Thermostat!$B$6)</f>
        <v>85</v>
      </c>
      <c r="M29" s="266">
        <f>IF((M14=1),Thermostat!$B$5,Thermostat!$B$6)</f>
        <v>75</v>
      </c>
      <c r="N29" s="266">
        <f>IF((N14=1),Thermostat!$B$5,Thermostat!$B$6)</f>
        <v>75</v>
      </c>
      <c r="O29" s="266">
        <f>IF((O14=1),Thermostat!$B$5,Thermostat!$B$6)</f>
        <v>75</v>
      </c>
      <c r="P29" s="266">
        <f>IF((P14=1),Thermostat!$B$5,Thermostat!$B$6)</f>
        <v>75</v>
      </c>
      <c r="Q29" s="266">
        <f>IF((Q14=1),Thermostat!$B$5,Thermostat!$B$6)</f>
        <v>75</v>
      </c>
      <c r="R29" s="266">
        <f>IF((R14=1),Thermostat!$B$5,Thermostat!$B$6)</f>
        <v>75</v>
      </c>
      <c r="S29" s="266">
        <f>IF((S14=1),Thermostat!$B$5,Thermostat!$B$6)</f>
        <v>75</v>
      </c>
      <c r="T29" s="266">
        <f>IF((T14=1),Thermostat!$B$5,Thermostat!$B$6)</f>
        <v>75</v>
      </c>
      <c r="U29" s="266">
        <f>IF((U14=1),Thermostat!$B$5,Thermostat!$B$6)</f>
        <v>75</v>
      </c>
      <c r="V29" s="266">
        <f>IF((V14=1),Thermostat!$B$5,Thermostat!$B$6)</f>
        <v>75</v>
      </c>
      <c r="W29" s="266">
        <f>IF((W14=1),Thermostat!$B$5,Thermostat!$B$6)</f>
        <v>75</v>
      </c>
      <c r="X29" s="266">
        <f>IF((X14=1),Thermostat!$B$5,Thermostat!$B$6)</f>
        <v>75</v>
      </c>
      <c r="Y29" s="266">
        <f>IF((Y14=1),Thermostat!$B$5,Thermostat!$B$6)</f>
        <v>75</v>
      </c>
      <c r="Z29" s="266">
        <f>IF((Z14=1),Thermostat!$B$5,Thermostat!$B$6)</f>
        <v>75</v>
      </c>
      <c r="AA29" s="266">
        <f>IF((AA14=1),Thermostat!$B$5,Thermostat!$B$6)</f>
        <v>75</v>
      </c>
      <c r="AB29" s="266">
        <f>IF((AB14=1),Thermostat!$B$5,Thermostat!$B$6)</f>
        <v>75</v>
      </c>
      <c r="AC29" s="269">
        <f>IF((AC14=1),Thermostat!$B$5,Thermostat!$B$6)</f>
        <v>85</v>
      </c>
    </row>
    <row r="30" spans="1:37" ht="33.6" customHeight="1" thickBot="1" x14ac:dyDescent="0.35">
      <c r="A30" s="774"/>
      <c r="B30" s="809"/>
      <c r="C30" s="809"/>
      <c r="D30" s="840"/>
      <c r="E30" s="291" t="s">
        <v>467</v>
      </c>
      <c r="F30" s="270">
        <f>IF((F15=1),Thermostat!$B$5,Thermostat!$B$6)</f>
        <v>85</v>
      </c>
      <c r="G30" s="270">
        <f>IF((G15=1),Thermostat!$B$5,Thermostat!$B$6)</f>
        <v>85</v>
      </c>
      <c r="H30" s="270">
        <f>IF((H15=1),Thermostat!$B$5,Thermostat!$B$6)</f>
        <v>85</v>
      </c>
      <c r="I30" s="270">
        <f>IF((I15=1),Thermostat!$B$5,Thermostat!$B$6)</f>
        <v>85</v>
      </c>
      <c r="J30" s="270">
        <f>IF((J15=1),Thermostat!$B$5,Thermostat!$B$6)</f>
        <v>85</v>
      </c>
      <c r="K30" s="270">
        <f>IF((K15=1),Thermostat!$B$5,Thermostat!$B$6)</f>
        <v>85</v>
      </c>
      <c r="L30" s="270">
        <f>IF((L15=1),Thermostat!$B$5,Thermostat!$B$6)</f>
        <v>85</v>
      </c>
      <c r="M30" s="270">
        <f>IF((M15=1),Thermostat!$B$5,Thermostat!$B$6)</f>
        <v>75</v>
      </c>
      <c r="N30" s="270">
        <f>IF((N15=1),Thermostat!$B$5,Thermostat!$B$6)</f>
        <v>75</v>
      </c>
      <c r="O30" s="270">
        <f>IF((O15=1),Thermostat!$B$5,Thermostat!$B$6)</f>
        <v>75</v>
      </c>
      <c r="P30" s="270">
        <f>IF((P15=1),Thermostat!$B$5,Thermostat!$B$6)</f>
        <v>75</v>
      </c>
      <c r="Q30" s="270">
        <f>IF((Q15=1),Thermostat!$B$5,Thermostat!$B$6)</f>
        <v>75</v>
      </c>
      <c r="R30" s="270">
        <f>IF((R15=1),Thermostat!$B$5,Thermostat!$B$6)</f>
        <v>75</v>
      </c>
      <c r="S30" s="270">
        <f>IF((S15=1),Thermostat!$B$5,Thermostat!$B$6)</f>
        <v>75</v>
      </c>
      <c r="T30" s="270">
        <f>IF((T15=1),Thermostat!$B$5,Thermostat!$B$6)</f>
        <v>75</v>
      </c>
      <c r="U30" s="270">
        <f>IF((U15=1),Thermostat!$B$5,Thermostat!$B$6)</f>
        <v>75</v>
      </c>
      <c r="V30" s="270">
        <f>IF((V15=1),Thermostat!$B$5,Thermostat!$B$6)</f>
        <v>75</v>
      </c>
      <c r="W30" s="270">
        <f>IF((W15=1),Thermostat!$B$5,Thermostat!$B$6)</f>
        <v>75</v>
      </c>
      <c r="X30" s="270">
        <f>IF((X15=1),Thermostat!$B$5,Thermostat!$B$6)</f>
        <v>75</v>
      </c>
      <c r="Y30" s="270">
        <f>IF((Y15=1),Thermostat!$B$5,Thermostat!$B$6)</f>
        <v>75</v>
      </c>
      <c r="Z30" s="270">
        <f>IF((Z15=1),Thermostat!$B$5,Thermostat!$B$6)</f>
        <v>75</v>
      </c>
      <c r="AA30" s="270">
        <f>IF((AA15=1),Thermostat!$B$5,Thermostat!$B$6)</f>
        <v>75</v>
      </c>
      <c r="AB30" s="270">
        <f>IF((AB15=1),Thermostat!$B$5,Thermostat!$B$6)</f>
        <v>75</v>
      </c>
      <c r="AC30" s="271">
        <f>IF((AC15=1),Thermostat!$B$5,Thermostat!$B$6)</f>
        <v>85</v>
      </c>
    </row>
    <row r="31" spans="1:37" ht="24.6" customHeight="1" thickBot="1" x14ac:dyDescent="0.35">
      <c r="A31" s="811" t="s">
        <v>154</v>
      </c>
      <c r="B31" s="811"/>
      <c r="C31" s="811"/>
      <c r="D31" s="811"/>
      <c r="E31" s="812"/>
      <c r="F31" s="812"/>
      <c r="G31" s="812"/>
      <c r="H31" s="812"/>
      <c r="I31" s="812"/>
      <c r="J31" s="812"/>
      <c r="K31" s="812"/>
      <c r="L31" s="812"/>
      <c r="M31" s="812"/>
      <c r="N31" s="812"/>
      <c r="O31" s="812"/>
      <c r="P31" s="812"/>
      <c r="Q31" s="812"/>
      <c r="R31" s="812"/>
      <c r="S31" s="812"/>
      <c r="T31" s="812"/>
      <c r="U31" s="812"/>
      <c r="V31" s="812"/>
      <c r="W31" s="812"/>
      <c r="X31" s="812"/>
      <c r="Y31" s="812"/>
      <c r="Z31" s="812"/>
      <c r="AA31" s="812"/>
      <c r="AB31" s="812"/>
      <c r="AC31" s="813"/>
    </row>
    <row r="32" spans="1:37" ht="34.200000000000003" customHeight="1" x14ac:dyDescent="0.3">
      <c r="A32" s="824" t="s">
        <v>813</v>
      </c>
      <c r="B32" s="799" t="s">
        <v>154</v>
      </c>
      <c r="C32" s="852" t="s">
        <v>804</v>
      </c>
      <c r="D32" s="846" t="s">
        <v>446</v>
      </c>
      <c r="E32" s="234" t="s">
        <v>465</v>
      </c>
      <c r="F32" s="226">
        <v>0.1</v>
      </c>
      <c r="G32" s="226">
        <v>0.1</v>
      </c>
      <c r="H32" s="226">
        <v>0.1</v>
      </c>
      <c r="I32" s="226">
        <v>0.1</v>
      </c>
      <c r="J32" s="226">
        <v>0.1</v>
      </c>
      <c r="K32" s="226">
        <v>0.3</v>
      </c>
      <c r="L32" s="226">
        <v>0.45</v>
      </c>
      <c r="M32" s="226">
        <v>0.45</v>
      </c>
      <c r="N32" s="226">
        <v>0.45</v>
      </c>
      <c r="O32" s="226">
        <v>0.45</v>
      </c>
      <c r="P32" s="226">
        <v>0.3</v>
      </c>
      <c r="Q32" s="226">
        <v>0.3</v>
      </c>
      <c r="R32" s="226">
        <v>0.3</v>
      </c>
      <c r="S32" s="226">
        <v>0.3</v>
      </c>
      <c r="T32" s="226">
        <v>0.3</v>
      </c>
      <c r="U32" s="226">
        <v>0.3</v>
      </c>
      <c r="V32" s="226">
        <v>0.3</v>
      </c>
      <c r="W32" s="226">
        <v>0.3</v>
      </c>
      <c r="X32" s="226">
        <v>0.6</v>
      </c>
      <c r="Y32" s="226">
        <v>0.8</v>
      </c>
      <c r="Z32" s="226">
        <v>0.9</v>
      </c>
      <c r="AA32" s="226">
        <v>0.8</v>
      </c>
      <c r="AB32" s="226">
        <v>0.6</v>
      </c>
      <c r="AC32" s="227">
        <v>0.3</v>
      </c>
    </row>
    <row r="33" spans="1:29" ht="34.200000000000003" customHeight="1" x14ac:dyDescent="0.3">
      <c r="A33" s="825"/>
      <c r="B33" s="800"/>
      <c r="C33" s="844"/>
      <c r="D33" s="847"/>
      <c r="E33" s="224" t="s">
        <v>466</v>
      </c>
      <c r="F33" s="223">
        <v>0.1</v>
      </c>
      <c r="G33" s="223">
        <v>0.1</v>
      </c>
      <c r="H33" s="223">
        <v>0.1</v>
      </c>
      <c r="I33" s="223">
        <v>0.1</v>
      </c>
      <c r="J33" s="223">
        <v>0.1</v>
      </c>
      <c r="K33" s="223">
        <v>0.3</v>
      </c>
      <c r="L33" s="223">
        <v>0.45</v>
      </c>
      <c r="M33" s="223">
        <v>0.45</v>
      </c>
      <c r="N33" s="223">
        <v>0.45</v>
      </c>
      <c r="O33" s="223">
        <v>0.45</v>
      </c>
      <c r="P33" s="223">
        <v>0.3</v>
      </c>
      <c r="Q33" s="223">
        <v>0.3</v>
      </c>
      <c r="R33" s="223">
        <v>0.3</v>
      </c>
      <c r="S33" s="223">
        <v>0.3</v>
      </c>
      <c r="T33" s="223">
        <v>0.3</v>
      </c>
      <c r="U33" s="223">
        <v>0.3</v>
      </c>
      <c r="V33" s="223">
        <v>0.3</v>
      </c>
      <c r="W33" s="223">
        <v>0.3</v>
      </c>
      <c r="X33" s="223">
        <v>0.6</v>
      </c>
      <c r="Y33" s="223">
        <v>0.8</v>
      </c>
      <c r="Z33" s="223">
        <v>0.9</v>
      </c>
      <c r="AA33" s="223">
        <v>0.8</v>
      </c>
      <c r="AB33" s="223">
        <v>0.6</v>
      </c>
      <c r="AC33" s="228">
        <v>0.3</v>
      </c>
    </row>
    <row r="34" spans="1:29" ht="34.200000000000003" customHeight="1" thickBot="1" x14ac:dyDescent="0.35">
      <c r="A34" s="833"/>
      <c r="B34" s="804"/>
      <c r="C34" s="850"/>
      <c r="D34" s="848"/>
      <c r="E34" s="235" t="s">
        <v>467</v>
      </c>
      <c r="F34" s="231">
        <v>0.1</v>
      </c>
      <c r="G34" s="231">
        <v>0.1</v>
      </c>
      <c r="H34" s="231">
        <v>0.1</v>
      </c>
      <c r="I34" s="231">
        <v>0.1</v>
      </c>
      <c r="J34" s="231">
        <v>0.1</v>
      </c>
      <c r="K34" s="231">
        <v>0.3</v>
      </c>
      <c r="L34" s="231">
        <v>0.45</v>
      </c>
      <c r="M34" s="231">
        <v>0.45</v>
      </c>
      <c r="N34" s="231">
        <v>0.45</v>
      </c>
      <c r="O34" s="231">
        <v>0.45</v>
      </c>
      <c r="P34" s="231">
        <v>0.3</v>
      </c>
      <c r="Q34" s="231">
        <v>0.3</v>
      </c>
      <c r="R34" s="231">
        <v>0.3</v>
      </c>
      <c r="S34" s="231">
        <v>0.3</v>
      </c>
      <c r="T34" s="231">
        <v>0.3</v>
      </c>
      <c r="U34" s="231">
        <v>0.3</v>
      </c>
      <c r="V34" s="231">
        <v>0.3</v>
      </c>
      <c r="W34" s="231">
        <v>0.3</v>
      </c>
      <c r="X34" s="231">
        <v>0.6</v>
      </c>
      <c r="Y34" s="231">
        <v>0.8</v>
      </c>
      <c r="Z34" s="231">
        <v>0.9</v>
      </c>
      <c r="AA34" s="231">
        <v>0.8</v>
      </c>
      <c r="AB34" s="231">
        <v>0.6</v>
      </c>
      <c r="AC34" s="232">
        <v>0.3</v>
      </c>
    </row>
    <row r="35" spans="1:29" ht="34.200000000000003" customHeight="1" x14ac:dyDescent="0.3">
      <c r="A35" s="834" t="s">
        <v>813</v>
      </c>
      <c r="B35" s="802" t="s">
        <v>154</v>
      </c>
      <c r="C35" s="849" t="s">
        <v>805</v>
      </c>
      <c r="D35" s="846" t="s">
        <v>446</v>
      </c>
      <c r="E35" s="234" t="s">
        <v>465</v>
      </c>
      <c r="F35" s="226">
        <v>1</v>
      </c>
      <c r="G35" s="226">
        <v>1</v>
      </c>
      <c r="H35" s="226">
        <v>1</v>
      </c>
      <c r="I35" s="226">
        <v>1</v>
      </c>
      <c r="J35" s="226">
        <v>1</v>
      </c>
      <c r="K35" s="226">
        <v>1</v>
      </c>
      <c r="L35" s="226">
        <v>1</v>
      </c>
      <c r="M35" s="226">
        <v>1</v>
      </c>
      <c r="N35" s="226">
        <v>1</v>
      </c>
      <c r="O35" s="226">
        <v>1</v>
      </c>
      <c r="P35" s="226">
        <v>1</v>
      </c>
      <c r="Q35" s="226">
        <v>1</v>
      </c>
      <c r="R35" s="226">
        <v>1</v>
      </c>
      <c r="S35" s="226">
        <v>1</v>
      </c>
      <c r="T35" s="226">
        <v>1</v>
      </c>
      <c r="U35" s="226">
        <v>1</v>
      </c>
      <c r="V35" s="226">
        <v>1</v>
      </c>
      <c r="W35" s="226">
        <v>1</v>
      </c>
      <c r="X35" s="226">
        <v>1</v>
      </c>
      <c r="Y35" s="226">
        <v>1</v>
      </c>
      <c r="Z35" s="226">
        <v>1</v>
      </c>
      <c r="AA35" s="226">
        <v>1</v>
      </c>
      <c r="AB35" s="226">
        <v>1</v>
      </c>
      <c r="AC35" s="227">
        <v>1</v>
      </c>
    </row>
    <row r="36" spans="1:29" ht="34.200000000000003" customHeight="1" x14ac:dyDescent="0.3">
      <c r="A36" s="825"/>
      <c r="B36" s="800"/>
      <c r="C36" s="844"/>
      <c r="D36" s="847"/>
      <c r="E36" s="224" t="s">
        <v>466</v>
      </c>
      <c r="F36" s="223">
        <v>1</v>
      </c>
      <c r="G36" s="223">
        <v>1</v>
      </c>
      <c r="H36" s="223">
        <v>1</v>
      </c>
      <c r="I36" s="223">
        <v>1</v>
      </c>
      <c r="J36" s="223">
        <v>1</v>
      </c>
      <c r="K36" s="223">
        <v>1</v>
      </c>
      <c r="L36" s="223">
        <v>1</v>
      </c>
      <c r="M36" s="223">
        <v>1</v>
      </c>
      <c r="N36" s="223">
        <v>1</v>
      </c>
      <c r="O36" s="223">
        <v>1</v>
      </c>
      <c r="P36" s="223">
        <v>1</v>
      </c>
      <c r="Q36" s="223">
        <v>1</v>
      </c>
      <c r="R36" s="223">
        <v>1</v>
      </c>
      <c r="S36" s="223">
        <v>1</v>
      </c>
      <c r="T36" s="223">
        <v>1</v>
      </c>
      <c r="U36" s="223">
        <v>1</v>
      </c>
      <c r="V36" s="223">
        <v>1</v>
      </c>
      <c r="W36" s="223">
        <v>1</v>
      </c>
      <c r="X36" s="223">
        <v>1</v>
      </c>
      <c r="Y36" s="223">
        <v>1</v>
      </c>
      <c r="Z36" s="223">
        <v>1</v>
      </c>
      <c r="AA36" s="223">
        <v>1</v>
      </c>
      <c r="AB36" s="223">
        <v>1</v>
      </c>
      <c r="AC36" s="228">
        <v>1</v>
      </c>
    </row>
    <row r="37" spans="1:29" ht="34.200000000000003" customHeight="1" thickBot="1" x14ac:dyDescent="0.35">
      <c r="A37" s="833"/>
      <c r="B37" s="804"/>
      <c r="C37" s="850"/>
      <c r="D37" s="848"/>
      <c r="E37" s="235" t="s">
        <v>467</v>
      </c>
      <c r="F37" s="231">
        <v>1</v>
      </c>
      <c r="G37" s="231">
        <v>1</v>
      </c>
      <c r="H37" s="231">
        <v>1</v>
      </c>
      <c r="I37" s="231">
        <v>1</v>
      </c>
      <c r="J37" s="231">
        <v>1</v>
      </c>
      <c r="K37" s="231">
        <v>1</v>
      </c>
      <c r="L37" s="231">
        <v>1</v>
      </c>
      <c r="M37" s="231">
        <v>1</v>
      </c>
      <c r="N37" s="231">
        <v>1</v>
      </c>
      <c r="O37" s="231">
        <v>1</v>
      </c>
      <c r="P37" s="231">
        <v>1</v>
      </c>
      <c r="Q37" s="231">
        <v>1</v>
      </c>
      <c r="R37" s="231">
        <v>1</v>
      </c>
      <c r="S37" s="231">
        <v>1</v>
      </c>
      <c r="T37" s="231">
        <v>1</v>
      </c>
      <c r="U37" s="231">
        <v>1</v>
      </c>
      <c r="V37" s="231">
        <v>1</v>
      </c>
      <c r="W37" s="231">
        <v>1</v>
      </c>
      <c r="X37" s="231">
        <v>1</v>
      </c>
      <c r="Y37" s="231">
        <v>1</v>
      </c>
      <c r="Z37" s="231">
        <v>1</v>
      </c>
      <c r="AA37" s="231">
        <v>1</v>
      </c>
      <c r="AB37" s="231">
        <v>1</v>
      </c>
      <c r="AC37" s="232">
        <v>1</v>
      </c>
    </row>
    <row r="38" spans="1:29" ht="34.200000000000003" customHeight="1" x14ac:dyDescent="0.3">
      <c r="A38" s="834" t="s">
        <v>814</v>
      </c>
      <c r="B38" s="802" t="s">
        <v>154</v>
      </c>
      <c r="C38" s="849" t="s">
        <v>806</v>
      </c>
      <c r="D38" s="846" t="s">
        <v>446</v>
      </c>
      <c r="E38" s="234" t="s">
        <v>465</v>
      </c>
      <c r="F38" s="226">
        <v>0.1</v>
      </c>
      <c r="G38" s="226">
        <v>0.1</v>
      </c>
      <c r="H38" s="226">
        <v>0.1</v>
      </c>
      <c r="I38" s="226">
        <v>0.1</v>
      </c>
      <c r="J38" s="226">
        <v>0.1</v>
      </c>
      <c r="K38" s="226">
        <v>0.3</v>
      </c>
      <c r="L38" s="226">
        <v>0.45</v>
      </c>
      <c r="M38" s="226">
        <v>0.45</v>
      </c>
      <c r="N38" s="226">
        <v>0.45</v>
      </c>
      <c r="O38" s="226">
        <v>0.45</v>
      </c>
      <c r="P38" s="226">
        <v>0.3</v>
      </c>
      <c r="Q38" s="226">
        <v>0.3</v>
      </c>
      <c r="R38" s="226">
        <v>0.3</v>
      </c>
      <c r="S38" s="226">
        <v>0.3</v>
      </c>
      <c r="T38" s="226">
        <v>0.3</v>
      </c>
      <c r="U38" s="226">
        <v>0.3</v>
      </c>
      <c r="V38" s="226">
        <v>0.3</v>
      </c>
      <c r="W38" s="226">
        <v>0.3</v>
      </c>
      <c r="X38" s="226">
        <v>0.6</v>
      </c>
      <c r="Y38" s="226">
        <v>0.8</v>
      </c>
      <c r="Z38" s="226">
        <v>0.9</v>
      </c>
      <c r="AA38" s="226">
        <v>0.8</v>
      </c>
      <c r="AB38" s="226">
        <v>0.6</v>
      </c>
      <c r="AC38" s="227">
        <v>0.3</v>
      </c>
    </row>
    <row r="39" spans="1:29" ht="34.200000000000003" customHeight="1" x14ac:dyDescent="0.3">
      <c r="A39" s="825"/>
      <c r="B39" s="800"/>
      <c r="C39" s="844"/>
      <c r="D39" s="847"/>
      <c r="E39" s="224" t="s">
        <v>466</v>
      </c>
      <c r="F39" s="223">
        <v>0.1</v>
      </c>
      <c r="G39" s="223">
        <v>0.1</v>
      </c>
      <c r="H39" s="223">
        <v>0.1</v>
      </c>
      <c r="I39" s="223">
        <v>0.1</v>
      </c>
      <c r="J39" s="223">
        <v>0.1</v>
      </c>
      <c r="K39" s="223">
        <v>0.3</v>
      </c>
      <c r="L39" s="223">
        <v>0.45</v>
      </c>
      <c r="M39" s="223">
        <v>0.45</v>
      </c>
      <c r="N39" s="223">
        <v>0.45</v>
      </c>
      <c r="O39" s="223">
        <v>0.45</v>
      </c>
      <c r="P39" s="223">
        <v>0.3</v>
      </c>
      <c r="Q39" s="223">
        <v>0.3</v>
      </c>
      <c r="R39" s="223">
        <v>0.3</v>
      </c>
      <c r="S39" s="223">
        <v>0.3</v>
      </c>
      <c r="T39" s="223">
        <v>0.3</v>
      </c>
      <c r="U39" s="223">
        <v>0.3</v>
      </c>
      <c r="V39" s="223">
        <v>0.3</v>
      </c>
      <c r="W39" s="223">
        <v>0.3</v>
      </c>
      <c r="X39" s="223">
        <v>0.6</v>
      </c>
      <c r="Y39" s="223">
        <v>0.8</v>
      </c>
      <c r="Z39" s="223">
        <v>0.9</v>
      </c>
      <c r="AA39" s="223">
        <v>0.8</v>
      </c>
      <c r="AB39" s="223">
        <v>0.6</v>
      </c>
      <c r="AC39" s="228">
        <v>0.3</v>
      </c>
    </row>
    <row r="40" spans="1:29" ht="34.200000000000003" customHeight="1" thickBot="1" x14ac:dyDescent="0.35">
      <c r="A40" s="833"/>
      <c r="B40" s="804"/>
      <c r="C40" s="845"/>
      <c r="D40" s="848"/>
      <c r="E40" s="236" t="s">
        <v>467</v>
      </c>
      <c r="F40" s="229">
        <v>0.1</v>
      </c>
      <c r="G40" s="229">
        <v>0.1</v>
      </c>
      <c r="H40" s="229">
        <v>0.1</v>
      </c>
      <c r="I40" s="229">
        <v>0.1</v>
      </c>
      <c r="J40" s="229">
        <v>0.1</v>
      </c>
      <c r="K40" s="229">
        <v>0.3</v>
      </c>
      <c r="L40" s="229">
        <v>0.45</v>
      </c>
      <c r="M40" s="229">
        <v>0.45</v>
      </c>
      <c r="N40" s="229">
        <v>0.45</v>
      </c>
      <c r="O40" s="229">
        <v>0.45</v>
      </c>
      <c r="P40" s="229">
        <v>0.3</v>
      </c>
      <c r="Q40" s="229">
        <v>0.3</v>
      </c>
      <c r="R40" s="229">
        <v>0.3</v>
      </c>
      <c r="S40" s="229">
        <v>0.3</v>
      </c>
      <c r="T40" s="229">
        <v>0.3</v>
      </c>
      <c r="U40" s="229">
        <v>0.3</v>
      </c>
      <c r="V40" s="229">
        <v>0.3</v>
      </c>
      <c r="W40" s="229">
        <v>0.3</v>
      </c>
      <c r="X40" s="229">
        <v>0.6</v>
      </c>
      <c r="Y40" s="229">
        <v>0.8</v>
      </c>
      <c r="Z40" s="229">
        <v>0.9</v>
      </c>
      <c r="AA40" s="229">
        <v>0.8</v>
      </c>
      <c r="AB40" s="229">
        <v>0.6</v>
      </c>
      <c r="AC40" s="230">
        <v>0.3</v>
      </c>
    </row>
    <row r="41" spans="1:29" ht="34.200000000000003" customHeight="1" x14ac:dyDescent="0.3">
      <c r="A41" s="834" t="s">
        <v>814</v>
      </c>
      <c r="B41" s="802" t="s">
        <v>154</v>
      </c>
      <c r="C41" s="843" t="s">
        <v>807</v>
      </c>
      <c r="D41" s="846" t="s">
        <v>446</v>
      </c>
      <c r="E41" s="237" t="s">
        <v>465</v>
      </c>
      <c r="F41" s="225">
        <v>1</v>
      </c>
      <c r="G41" s="225">
        <v>1</v>
      </c>
      <c r="H41" s="225">
        <v>1</v>
      </c>
      <c r="I41" s="225">
        <v>1</v>
      </c>
      <c r="J41" s="225">
        <v>1</v>
      </c>
      <c r="K41" s="225">
        <v>1</v>
      </c>
      <c r="L41" s="225">
        <v>1</v>
      </c>
      <c r="M41" s="225">
        <v>1</v>
      </c>
      <c r="N41" s="225">
        <v>1</v>
      </c>
      <c r="O41" s="225">
        <v>1</v>
      </c>
      <c r="P41" s="225">
        <v>1</v>
      </c>
      <c r="Q41" s="225">
        <v>1</v>
      </c>
      <c r="R41" s="225">
        <v>1</v>
      </c>
      <c r="S41" s="225">
        <v>1</v>
      </c>
      <c r="T41" s="225">
        <v>1</v>
      </c>
      <c r="U41" s="225">
        <v>1</v>
      </c>
      <c r="V41" s="225">
        <v>1</v>
      </c>
      <c r="W41" s="225">
        <v>1</v>
      </c>
      <c r="X41" s="225">
        <v>1</v>
      </c>
      <c r="Y41" s="225">
        <v>1</v>
      </c>
      <c r="Z41" s="225">
        <v>1</v>
      </c>
      <c r="AA41" s="225">
        <v>1</v>
      </c>
      <c r="AB41" s="225">
        <v>1</v>
      </c>
      <c r="AC41" s="233">
        <v>1</v>
      </c>
    </row>
    <row r="42" spans="1:29" ht="34.200000000000003" customHeight="1" x14ac:dyDescent="0.3">
      <c r="A42" s="825"/>
      <c r="B42" s="800"/>
      <c r="C42" s="844"/>
      <c r="D42" s="847"/>
      <c r="E42" s="224" t="s">
        <v>466</v>
      </c>
      <c r="F42" s="223">
        <v>1</v>
      </c>
      <c r="G42" s="223">
        <v>1</v>
      </c>
      <c r="H42" s="223">
        <v>1</v>
      </c>
      <c r="I42" s="223">
        <v>1</v>
      </c>
      <c r="J42" s="223">
        <v>1</v>
      </c>
      <c r="K42" s="223">
        <v>1</v>
      </c>
      <c r="L42" s="223">
        <v>1</v>
      </c>
      <c r="M42" s="223">
        <v>1</v>
      </c>
      <c r="N42" s="223">
        <v>1</v>
      </c>
      <c r="O42" s="223">
        <v>1</v>
      </c>
      <c r="P42" s="223">
        <v>1</v>
      </c>
      <c r="Q42" s="223">
        <v>1</v>
      </c>
      <c r="R42" s="223">
        <v>1</v>
      </c>
      <c r="S42" s="223">
        <v>1</v>
      </c>
      <c r="T42" s="223">
        <v>1</v>
      </c>
      <c r="U42" s="223">
        <v>1</v>
      </c>
      <c r="V42" s="223">
        <v>1</v>
      </c>
      <c r="W42" s="223">
        <v>1</v>
      </c>
      <c r="X42" s="223">
        <v>1</v>
      </c>
      <c r="Y42" s="223">
        <v>1</v>
      </c>
      <c r="Z42" s="223">
        <v>1</v>
      </c>
      <c r="AA42" s="223">
        <v>1</v>
      </c>
      <c r="AB42" s="223">
        <v>1</v>
      </c>
      <c r="AC42" s="228">
        <v>1</v>
      </c>
    </row>
    <row r="43" spans="1:29" ht="34.200000000000003" customHeight="1" thickBot="1" x14ac:dyDescent="0.35">
      <c r="A43" s="833"/>
      <c r="B43" s="804"/>
      <c r="C43" s="845"/>
      <c r="D43" s="848"/>
      <c r="E43" s="236" t="s">
        <v>467</v>
      </c>
      <c r="F43" s="229">
        <v>1</v>
      </c>
      <c r="G43" s="229">
        <v>1</v>
      </c>
      <c r="H43" s="229">
        <v>1</v>
      </c>
      <c r="I43" s="229">
        <v>1</v>
      </c>
      <c r="J43" s="229">
        <v>1</v>
      </c>
      <c r="K43" s="229">
        <v>1</v>
      </c>
      <c r="L43" s="229">
        <v>1</v>
      </c>
      <c r="M43" s="229">
        <v>1</v>
      </c>
      <c r="N43" s="229">
        <v>1</v>
      </c>
      <c r="O43" s="229">
        <v>1</v>
      </c>
      <c r="P43" s="229">
        <v>1</v>
      </c>
      <c r="Q43" s="229">
        <v>1</v>
      </c>
      <c r="R43" s="229">
        <v>1</v>
      </c>
      <c r="S43" s="229">
        <v>1</v>
      </c>
      <c r="T43" s="229">
        <v>1</v>
      </c>
      <c r="U43" s="229">
        <v>1</v>
      </c>
      <c r="V43" s="229">
        <v>1</v>
      </c>
      <c r="W43" s="229">
        <v>1</v>
      </c>
      <c r="X43" s="229">
        <v>1</v>
      </c>
      <c r="Y43" s="229">
        <v>1</v>
      </c>
      <c r="Z43" s="229">
        <v>1</v>
      </c>
      <c r="AA43" s="229">
        <v>1</v>
      </c>
      <c r="AB43" s="229">
        <v>1</v>
      </c>
      <c r="AC43" s="230">
        <v>1</v>
      </c>
    </row>
    <row r="44" spans="1:29" ht="34.200000000000003" customHeight="1" x14ac:dyDescent="0.3">
      <c r="A44" s="834" t="s">
        <v>814</v>
      </c>
      <c r="B44" s="802" t="s">
        <v>154</v>
      </c>
      <c r="C44" s="843" t="s">
        <v>808</v>
      </c>
      <c r="D44" s="846" t="s">
        <v>446</v>
      </c>
      <c r="E44" s="237" t="s">
        <v>465</v>
      </c>
      <c r="F44" s="225">
        <v>0</v>
      </c>
      <c r="G44" s="225">
        <v>0</v>
      </c>
      <c r="H44" s="225">
        <v>0</v>
      </c>
      <c r="I44" s="225">
        <v>0.05</v>
      </c>
      <c r="J44" s="225">
        <v>0.05</v>
      </c>
      <c r="K44" s="225">
        <v>0.05</v>
      </c>
      <c r="L44" s="225">
        <v>0.8</v>
      </c>
      <c r="M44" s="225">
        <v>0.7</v>
      </c>
      <c r="N44" s="225">
        <v>0.5</v>
      </c>
      <c r="O44" s="225">
        <v>0.4</v>
      </c>
      <c r="P44" s="225">
        <v>0.25</v>
      </c>
      <c r="Q44" s="225">
        <v>0.25</v>
      </c>
      <c r="R44" s="225">
        <v>0.25</v>
      </c>
      <c r="S44" s="225">
        <v>0.25</v>
      </c>
      <c r="T44" s="225">
        <v>0.5</v>
      </c>
      <c r="U44" s="225">
        <v>0.6</v>
      </c>
      <c r="V44" s="225">
        <v>0.7</v>
      </c>
      <c r="W44" s="225">
        <v>0.7</v>
      </c>
      <c r="X44" s="225">
        <v>0.4</v>
      </c>
      <c r="Y44" s="225">
        <v>0.25</v>
      </c>
      <c r="Z44" s="225">
        <v>0.2</v>
      </c>
      <c r="AA44" s="225">
        <v>0.2</v>
      </c>
      <c r="AB44" s="225">
        <v>0.05</v>
      </c>
      <c r="AC44" s="233">
        <v>0.05</v>
      </c>
    </row>
    <row r="45" spans="1:29" ht="34.200000000000003" customHeight="1" x14ac:dyDescent="0.3">
      <c r="A45" s="825"/>
      <c r="B45" s="800"/>
      <c r="C45" s="844"/>
      <c r="D45" s="847"/>
      <c r="E45" s="224" t="s">
        <v>466</v>
      </c>
      <c r="F45" s="223">
        <v>0</v>
      </c>
      <c r="G45" s="223">
        <v>0</v>
      </c>
      <c r="H45" s="223">
        <v>0</v>
      </c>
      <c r="I45" s="223">
        <v>0.05</v>
      </c>
      <c r="J45" s="223">
        <v>0.05</v>
      </c>
      <c r="K45" s="223">
        <v>0.05</v>
      </c>
      <c r="L45" s="223">
        <v>0.8</v>
      </c>
      <c r="M45" s="223">
        <v>0.7</v>
      </c>
      <c r="N45" s="223">
        <v>0.5</v>
      </c>
      <c r="O45" s="223">
        <v>0.4</v>
      </c>
      <c r="P45" s="223">
        <v>0.25</v>
      </c>
      <c r="Q45" s="223">
        <v>0.25</v>
      </c>
      <c r="R45" s="223">
        <v>0.25</v>
      </c>
      <c r="S45" s="223">
        <v>0.25</v>
      </c>
      <c r="T45" s="223">
        <v>0.5</v>
      </c>
      <c r="U45" s="223">
        <v>0.6</v>
      </c>
      <c r="V45" s="223">
        <v>0.7</v>
      </c>
      <c r="W45" s="223">
        <v>0.7</v>
      </c>
      <c r="X45" s="223">
        <v>0.4</v>
      </c>
      <c r="Y45" s="223">
        <v>0.25</v>
      </c>
      <c r="Z45" s="223">
        <v>0.2</v>
      </c>
      <c r="AA45" s="223">
        <v>0.2</v>
      </c>
      <c r="AB45" s="223">
        <v>0.05</v>
      </c>
      <c r="AC45" s="228">
        <v>0.05</v>
      </c>
    </row>
    <row r="46" spans="1:29" ht="34.200000000000003" customHeight="1" thickBot="1" x14ac:dyDescent="0.35">
      <c r="A46" s="833"/>
      <c r="B46" s="804"/>
      <c r="C46" s="845"/>
      <c r="D46" s="848"/>
      <c r="E46" s="236" t="s">
        <v>467</v>
      </c>
      <c r="F46" s="229">
        <v>0</v>
      </c>
      <c r="G46" s="229">
        <v>0</v>
      </c>
      <c r="H46" s="229">
        <v>0</v>
      </c>
      <c r="I46" s="229">
        <v>0.05</v>
      </c>
      <c r="J46" s="229">
        <v>0.05</v>
      </c>
      <c r="K46" s="229">
        <v>0.05</v>
      </c>
      <c r="L46" s="229">
        <v>0.8</v>
      </c>
      <c r="M46" s="229">
        <v>0.7</v>
      </c>
      <c r="N46" s="229">
        <v>0.5</v>
      </c>
      <c r="O46" s="229">
        <v>0.4</v>
      </c>
      <c r="P46" s="229">
        <v>0.25</v>
      </c>
      <c r="Q46" s="229">
        <v>0.25</v>
      </c>
      <c r="R46" s="229">
        <v>0.25</v>
      </c>
      <c r="S46" s="229">
        <v>0.25</v>
      </c>
      <c r="T46" s="229">
        <v>0.5</v>
      </c>
      <c r="U46" s="229">
        <v>0.6</v>
      </c>
      <c r="V46" s="229">
        <v>0.7</v>
      </c>
      <c r="W46" s="229">
        <v>0.7</v>
      </c>
      <c r="X46" s="229">
        <v>0.4</v>
      </c>
      <c r="Y46" s="229">
        <v>0.25</v>
      </c>
      <c r="Z46" s="229">
        <v>0.2</v>
      </c>
      <c r="AA46" s="229">
        <v>0.2</v>
      </c>
      <c r="AB46" s="229">
        <v>0.05</v>
      </c>
      <c r="AC46" s="230">
        <v>0.05</v>
      </c>
    </row>
    <row r="47" spans="1:29" ht="34.200000000000003" customHeight="1" x14ac:dyDescent="0.3">
      <c r="A47" s="834" t="s">
        <v>814</v>
      </c>
      <c r="B47" s="802" t="s">
        <v>154</v>
      </c>
      <c r="C47" s="849" t="s">
        <v>340</v>
      </c>
      <c r="D47" s="846" t="s">
        <v>446</v>
      </c>
      <c r="E47" s="234" t="s">
        <v>465</v>
      </c>
      <c r="F47" s="226">
        <v>0.25</v>
      </c>
      <c r="G47" s="226">
        <v>0.25</v>
      </c>
      <c r="H47" s="226">
        <v>0.25</v>
      </c>
      <c r="I47" s="226">
        <v>0.25</v>
      </c>
      <c r="J47" s="226">
        <v>0.25</v>
      </c>
      <c r="K47" s="226">
        <v>0.25</v>
      </c>
      <c r="L47" s="226">
        <v>0.25</v>
      </c>
      <c r="M47" s="226">
        <v>0.25</v>
      </c>
      <c r="N47" s="226">
        <v>0.25</v>
      </c>
      <c r="O47" s="226">
        <v>0.25</v>
      </c>
      <c r="P47" s="226">
        <v>0.25</v>
      </c>
      <c r="Q47" s="226">
        <v>0.25</v>
      </c>
      <c r="R47" s="226">
        <v>0.25</v>
      </c>
      <c r="S47" s="226">
        <v>0.25</v>
      </c>
      <c r="T47" s="226">
        <v>0.25</v>
      </c>
      <c r="U47" s="226">
        <v>0.25</v>
      </c>
      <c r="V47" s="226">
        <v>0.25</v>
      </c>
      <c r="W47" s="226">
        <v>0.25</v>
      </c>
      <c r="X47" s="226">
        <v>0.25</v>
      </c>
      <c r="Y47" s="226">
        <v>0.25</v>
      </c>
      <c r="Z47" s="226">
        <v>0.25</v>
      </c>
      <c r="AA47" s="226">
        <v>0.25</v>
      </c>
      <c r="AB47" s="226">
        <v>0.25</v>
      </c>
      <c r="AC47" s="227">
        <v>0.25</v>
      </c>
    </row>
    <row r="48" spans="1:29" ht="34.200000000000003" customHeight="1" x14ac:dyDescent="0.3">
      <c r="A48" s="825"/>
      <c r="B48" s="800"/>
      <c r="C48" s="844"/>
      <c r="D48" s="847"/>
      <c r="E48" s="224" t="s">
        <v>466</v>
      </c>
      <c r="F48" s="223">
        <v>0.25</v>
      </c>
      <c r="G48" s="223">
        <v>0.25</v>
      </c>
      <c r="H48" s="223">
        <v>0.25</v>
      </c>
      <c r="I48" s="223">
        <v>0.25</v>
      </c>
      <c r="J48" s="223">
        <v>0.25</v>
      </c>
      <c r="K48" s="223">
        <v>0.25</v>
      </c>
      <c r="L48" s="223">
        <v>0.25</v>
      </c>
      <c r="M48" s="223">
        <v>0.25</v>
      </c>
      <c r="N48" s="223">
        <v>0.25</v>
      </c>
      <c r="O48" s="223">
        <v>0.25</v>
      </c>
      <c r="P48" s="223">
        <v>0.25</v>
      </c>
      <c r="Q48" s="223">
        <v>0.25</v>
      </c>
      <c r="R48" s="223">
        <v>0.25</v>
      </c>
      <c r="S48" s="223">
        <v>0.25</v>
      </c>
      <c r="T48" s="223">
        <v>0.25</v>
      </c>
      <c r="U48" s="223">
        <v>0.25</v>
      </c>
      <c r="V48" s="223">
        <v>0.25</v>
      </c>
      <c r="W48" s="223">
        <v>0.25</v>
      </c>
      <c r="X48" s="223">
        <v>0.25</v>
      </c>
      <c r="Y48" s="223">
        <v>0.25</v>
      </c>
      <c r="Z48" s="223">
        <v>0.25</v>
      </c>
      <c r="AA48" s="223">
        <v>0.25</v>
      </c>
      <c r="AB48" s="223">
        <v>0.25</v>
      </c>
      <c r="AC48" s="228">
        <v>0.25</v>
      </c>
    </row>
    <row r="49" spans="1:29" ht="34.200000000000003" customHeight="1" thickBot="1" x14ac:dyDescent="0.35">
      <c r="A49" s="833"/>
      <c r="B49" s="803"/>
      <c r="C49" s="850"/>
      <c r="D49" s="851"/>
      <c r="E49" s="235" t="s">
        <v>467</v>
      </c>
      <c r="F49" s="231">
        <v>0.25</v>
      </c>
      <c r="G49" s="231">
        <v>0.25</v>
      </c>
      <c r="H49" s="231">
        <v>0.25</v>
      </c>
      <c r="I49" s="231">
        <v>0.25</v>
      </c>
      <c r="J49" s="231">
        <v>0.25</v>
      </c>
      <c r="K49" s="231">
        <v>0.25</v>
      </c>
      <c r="L49" s="231">
        <v>0.25</v>
      </c>
      <c r="M49" s="231">
        <v>0.25</v>
      </c>
      <c r="N49" s="231">
        <v>0.25</v>
      </c>
      <c r="O49" s="231">
        <v>0.25</v>
      </c>
      <c r="P49" s="231">
        <v>0.25</v>
      </c>
      <c r="Q49" s="231">
        <v>0.25</v>
      </c>
      <c r="R49" s="231">
        <v>0.25</v>
      </c>
      <c r="S49" s="231">
        <v>0.25</v>
      </c>
      <c r="T49" s="231">
        <v>0.25</v>
      </c>
      <c r="U49" s="231">
        <v>0.25</v>
      </c>
      <c r="V49" s="231">
        <v>0.25</v>
      </c>
      <c r="W49" s="231">
        <v>0.25</v>
      </c>
      <c r="X49" s="231">
        <v>0.25</v>
      </c>
      <c r="Y49" s="231">
        <v>0.25</v>
      </c>
      <c r="Z49" s="231">
        <v>0.25</v>
      </c>
      <c r="AA49" s="231">
        <v>0.25</v>
      </c>
      <c r="AB49" s="231">
        <v>0.25</v>
      </c>
      <c r="AC49" s="232">
        <v>0.25</v>
      </c>
    </row>
    <row r="50" spans="1:29" ht="34.200000000000003" customHeight="1" x14ac:dyDescent="0.3">
      <c r="A50" s="824" t="s">
        <v>814</v>
      </c>
      <c r="B50" s="799" t="s">
        <v>154</v>
      </c>
      <c r="C50" s="799" t="s">
        <v>810</v>
      </c>
      <c r="D50" s="853" t="s">
        <v>811</v>
      </c>
      <c r="E50" s="329" t="s">
        <v>465</v>
      </c>
      <c r="F50" s="615">
        <f>IF((F41=1),Thermostat!$B$7,Thermostat!$B$8)</f>
        <v>68</v>
      </c>
      <c r="G50" s="615">
        <f>IF((G41=1),Thermostat!$B$7,Thermostat!$B$8)</f>
        <v>68</v>
      </c>
      <c r="H50" s="615">
        <f>IF((H41=1),Thermostat!$B$7,Thermostat!$B$8)</f>
        <v>68</v>
      </c>
      <c r="I50" s="615">
        <f>IF((I41=1),Thermostat!$B$7,Thermostat!$B$8)</f>
        <v>68</v>
      </c>
      <c r="J50" s="615">
        <f>IF((J41=1),Thermostat!$B$7,Thermostat!$B$8)</f>
        <v>68</v>
      </c>
      <c r="K50" s="615">
        <f>IF((K41=1),Thermostat!$B$7,Thermostat!$B$8)</f>
        <v>68</v>
      </c>
      <c r="L50" s="615">
        <f>IF((L41=1),Thermostat!$B$7,Thermostat!$B$8)</f>
        <v>68</v>
      </c>
      <c r="M50" s="615">
        <f>IF((M41=1),Thermostat!$B$7,Thermostat!$B$8)</f>
        <v>68</v>
      </c>
      <c r="N50" s="615">
        <f>IF((N41=1),Thermostat!$B$7,Thermostat!$B$8)</f>
        <v>68</v>
      </c>
      <c r="O50" s="615">
        <f>IF((O41=1),Thermostat!$B$7,Thermostat!$B$8)</f>
        <v>68</v>
      </c>
      <c r="P50" s="615">
        <f>IF((P41=1),Thermostat!$B$7,Thermostat!$B$8)</f>
        <v>68</v>
      </c>
      <c r="Q50" s="615">
        <f>IF((Q41=1),Thermostat!$B$7,Thermostat!$B$8)</f>
        <v>68</v>
      </c>
      <c r="R50" s="615">
        <f>IF((R41=1),Thermostat!$B$7,Thermostat!$B$8)</f>
        <v>68</v>
      </c>
      <c r="S50" s="615">
        <f>IF((S41=1),Thermostat!$B$7,Thermostat!$B$8)</f>
        <v>68</v>
      </c>
      <c r="T50" s="615">
        <f>IF((T41=1),Thermostat!$B$7,Thermostat!$B$8)</f>
        <v>68</v>
      </c>
      <c r="U50" s="615">
        <f>IF((U41=1),Thermostat!$B$7,Thermostat!$B$8)</f>
        <v>68</v>
      </c>
      <c r="V50" s="615">
        <f>IF((V41=1),Thermostat!$B$7,Thermostat!$B$8)</f>
        <v>68</v>
      </c>
      <c r="W50" s="615">
        <f>IF((W41=1),Thermostat!$B$7,Thermostat!$B$8)</f>
        <v>68</v>
      </c>
      <c r="X50" s="615">
        <f>IF((X41=1),Thermostat!$B$7,Thermostat!$B$8)</f>
        <v>68</v>
      </c>
      <c r="Y50" s="615">
        <f>IF((Y41=1),Thermostat!$B$7,Thermostat!$B$8)</f>
        <v>68</v>
      </c>
      <c r="Z50" s="615">
        <f>IF((Z41=1),Thermostat!$B$7,Thermostat!$B$8)</f>
        <v>68</v>
      </c>
      <c r="AA50" s="615">
        <f>IF((AA41=1),Thermostat!$B$7,Thermostat!$B$8)</f>
        <v>68</v>
      </c>
      <c r="AB50" s="615">
        <f>IF((AB41=1),Thermostat!$B$7,Thermostat!$B$8)</f>
        <v>68</v>
      </c>
      <c r="AC50" s="330">
        <f>IF((AC41=1),Thermostat!$B$7,Thermostat!$B$8)</f>
        <v>68</v>
      </c>
    </row>
    <row r="51" spans="1:29" ht="34.200000000000003" customHeight="1" x14ac:dyDescent="0.3">
      <c r="A51" s="825"/>
      <c r="B51" s="800"/>
      <c r="C51" s="800"/>
      <c r="D51" s="847"/>
      <c r="E51" s="285" t="s">
        <v>466</v>
      </c>
      <c r="F51" s="616">
        <f>IF((F42=1),Thermostat!$B$7,Thermostat!$B$8)</f>
        <v>68</v>
      </c>
      <c r="G51" s="616">
        <f>IF((G42=1),Thermostat!$B$7,Thermostat!$B$8)</f>
        <v>68</v>
      </c>
      <c r="H51" s="616">
        <f>IF((H42=1),Thermostat!$B$7,Thermostat!$B$8)</f>
        <v>68</v>
      </c>
      <c r="I51" s="616">
        <f>IF((I42=1),Thermostat!$B$7,Thermostat!$B$8)</f>
        <v>68</v>
      </c>
      <c r="J51" s="616">
        <f>IF((J42=1),Thermostat!$B$7,Thermostat!$B$8)</f>
        <v>68</v>
      </c>
      <c r="K51" s="616">
        <f>IF((K42=1),Thermostat!$B$7,Thermostat!$B$8)</f>
        <v>68</v>
      </c>
      <c r="L51" s="616">
        <f>IF((L42=1),Thermostat!$B$7,Thermostat!$B$8)</f>
        <v>68</v>
      </c>
      <c r="M51" s="616">
        <f>IF((M42=1),Thermostat!$B$7,Thermostat!$B$8)</f>
        <v>68</v>
      </c>
      <c r="N51" s="616">
        <f>IF((N42=1),Thermostat!$B$7,Thermostat!$B$8)</f>
        <v>68</v>
      </c>
      <c r="O51" s="616">
        <f>IF((O42=1),Thermostat!$B$7,Thermostat!$B$8)</f>
        <v>68</v>
      </c>
      <c r="P51" s="616">
        <f>IF((P42=1),Thermostat!$B$7,Thermostat!$B$8)</f>
        <v>68</v>
      </c>
      <c r="Q51" s="616">
        <f>IF((Q42=1),Thermostat!$B$7,Thermostat!$B$8)</f>
        <v>68</v>
      </c>
      <c r="R51" s="616">
        <f>IF((R42=1),Thermostat!$B$7,Thermostat!$B$8)</f>
        <v>68</v>
      </c>
      <c r="S51" s="616">
        <f>IF((S42=1),Thermostat!$B$7,Thermostat!$B$8)</f>
        <v>68</v>
      </c>
      <c r="T51" s="616">
        <f>IF((T42=1),Thermostat!$B$7,Thermostat!$B$8)</f>
        <v>68</v>
      </c>
      <c r="U51" s="616">
        <f>IF((U42=1),Thermostat!$B$7,Thermostat!$B$8)</f>
        <v>68</v>
      </c>
      <c r="V51" s="616">
        <f>IF((V42=1),Thermostat!$B$7,Thermostat!$B$8)</f>
        <v>68</v>
      </c>
      <c r="W51" s="616">
        <f>IF((W42=1),Thermostat!$B$7,Thermostat!$B$8)</f>
        <v>68</v>
      </c>
      <c r="X51" s="616">
        <f>IF((X42=1),Thermostat!$B$7,Thermostat!$B$8)</f>
        <v>68</v>
      </c>
      <c r="Y51" s="616">
        <f>IF((Y42=1),Thermostat!$B$7,Thermostat!$B$8)</f>
        <v>68</v>
      </c>
      <c r="Z51" s="616">
        <f>IF((Z42=1),Thermostat!$B$7,Thermostat!$B$8)</f>
        <v>68</v>
      </c>
      <c r="AA51" s="616">
        <f>IF((AA42=1),Thermostat!$B$7,Thermostat!$B$8)</f>
        <v>68</v>
      </c>
      <c r="AB51" s="616">
        <f>IF((AB42=1),Thermostat!$B$7,Thermostat!$B$8)</f>
        <v>68</v>
      </c>
      <c r="AC51" s="331">
        <f>IF((AC42=1),Thermostat!$B$7,Thermostat!$B$8)</f>
        <v>68</v>
      </c>
    </row>
    <row r="52" spans="1:29" ht="34.200000000000003" customHeight="1" thickBot="1" x14ac:dyDescent="0.35">
      <c r="A52" s="833"/>
      <c r="B52" s="803"/>
      <c r="C52" s="803"/>
      <c r="D52" s="851"/>
      <c r="E52" s="286" t="s">
        <v>467</v>
      </c>
      <c r="F52" s="617">
        <f>IF((F43=1),Thermostat!$B$7,Thermostat!$B$8)</f>
        <v>68</v>
      </c>
      <c r="G52" s="617">
        <f>IF((G43=1),Thermostat!$B$7,Thermostat!$B$8)</f>
        <v>68</v>
      </c>
      <c r="H52" s="617">
        <f>IF((H43=1),Thermostat!$B$7,Thermostat!$B$8)</f>
        <v>68</v>
      </c>
      <c r="I52" s="617">
        <f>IF((I43=1),Thermostat!$B$7,Thermostat!$B$8)</f>
        <v>68</v>
      </c>
      <c r="J52" s="617">
        <f>IF((J43=1),Thermostat!$B$7,Thermostat!$B$8)</f>
        <v>68</v>
      </c>
      <c r="K52" s="617">
        <f>IF((K43=1),Thermostat!$B$7,Thermostat!$B$8)</f>
        <v>68</v>
      </c>
      <c r="L52" s="617">
        <f>IF((L43=1),Thermostat!$B$7,Thermostat!$B$8)</f>
        <v>68</v>
      </c>
      <c r="M52" s="617">
        <f>IF((M43=1),Thermostat!$B$7,Thermostat!$B$8)</f>
        <v>68</v>
      </c>
      <c r="N52" s="617">
        <f>IF((N43=1),Thermostat!$B$7,Thermostat!$B$8)</f>
        <v>68</v>
      </c>
      <c r="O52" s="617">
        <f>IF((O43=1),Thermostat!$B$7,Thermostat!$B$8)</f>
        <v>68</v>
      </c>
      <c r="P52" s="617">
        <f>IF((P43=1),Thermostat!$B$7,Thermostat!$B$8)</f>
        <v>68</v>
      </c>
      <c r="Q52" s="617">
        <f>IF((Q43=1),Thermostat!$B$7,Thermostat!$B$8)</f>
        <v>68</v>
      </c>
      <c r="R52" s="617">
        <f>IF((R43=1),Thermostat!$B$7,Thermostat!$B$8)</f>
        <v>68</v>
      </c>
      <c r="S52" s="617">
        <f>IF((S43=1),Thermostat!$B$7,Thermostat!$B$8)</f>
        <v>68</v>
      </c>
      <c r="T52" s="617">
        <f>IF((T43=1),Thermostat!$B$7,Thermostat!$B$8)</f>
        <v>68</v>
      </c>
      <c r="U52" s="617">
        <f>IF((U43=1),Thermostat!$B$7,Thermostat!$B$8)</f>
        <v>68</v>
      </c>
      <c r="V52" s="617">
        <f>IF((V43=1),Thermostat!$B$7,Thermostat!$B$8)</f>
        <v>68</v>
      </c>
      <c r="W52" s="617">
        <f>IF((W43=1),Thermostat!$B$7,Thermostat!$B$8)</f>
        <v>68</v>
      </c>
      <c r="X52" s="617">
        <f>IF((X43=1),Thermostat!$B$7,Thermostat!$B$8)</f>
        <v>68</v>
      </c>
      <c r="Y52" s="617">
        <f>IF((Y43=1),Thermostat!$B$7,Thermostat!$B$8)</f>
        <v>68</v>
      </c>
      <c r="Z52" s="617">
        <f>IF((Z43=1),Thermostat!$B$7,Thermostat!$B$8)</f>
        <v>68</v>
      </c>
      <c r="AA52" s="617">
        <f>IF((AA43=1),Thermostat!$B$7,Thermostat!$B$8)</f>
        <v>68</v>
      </c>
      <c r="AB52" s="617">
        <f>IF((AB43=1),Thermostat!$B$7,Thermostat!$B$8)</f>
        <v>68</v>
      </c>
      <c r="AC52" s="332">
        <f>IF((AC43=1),Thermostat!$B$7,Thermostat!$B$8)</f>
        <v>68</v>
      </c>
    </row>
    <row r="53" spans="1:29" ht="34.200000000000003" customHeight="1" x14ac:dyDescent="0.3">
      <c r="A53" s="824" t="s">
        <v>814</v>
      </c>
      <c r="B53" s="799" t="s">
        <v>154</v>
      </c>
      <c r="C53" s="799" t="s">
        <v>812</v>
      </c>
      <c r="D53" s="853" t="s">
        <v>811</v>
      </c>
      <c r="E53" s="282" t="s">
        <v>465</v>
      </c>
      <c r="F53" s="621">
        <f>IF((F41=1),Thermostat!$B$9,Thermostat!$B$10)</f>
        <v>78</v>
      </c>
      <c r="G53" s="621">
        <f>IF((G41=1),Thermostat!$B$9,Thermostat!$B$10)</f>
        <v>78</v>
      </c>
      <c r="H53" s="621">
        <f>IF((H41=1),Thermostat!$B$9,Thermostat!$B$10)</f>
        <v>78</v>
      </c>
      <c r="I53" s="621">
        <f>IF((I41=1),Thermostat!$B$9,Thermostat!$B$10)</f>
        <v>78</v>
      </c>
      <c r="J53" s="621">
        <f>IF((J41=1),Thermostat!$B$9,Thermostat!$B$10)</f>
        <v>78</v>
      </c>
      <c r="K53" s="621">
        <f>IF((K41=1),Thermostat!$B$9,Thermostat!$B$10)</f>
        <v>78</v>
      </c>
      <c r="L53" s="621">
        <f>IF((L41=1),Thermostat!$B$9,Thermostat!$B$10)</f>
        <v>78</v>
      </c>
      <c r="M53" s="621">
        <f>IF((M41=1),Thermostat!$B$9,Thermostat!$B$10)</f>
        <v>78</v>
      </c>
      <c r="N53" s="621">
        <f>IF((N41=1),Thermostat!$B$9,Thermostat!$B$10)</f>
        <v>78</v>
      </c>
      <c r="O53" s="621">
        <f>IF((O41=1),Thermostat!$B$9,Thermostat!$B$10)</f>
        <v>78</v>
      </c>
      <c r="P53" s="621">
        <f>IF((P41=1),Thermostat!$B$9,Thermostat!$B$10)</f>
        <v>78</v>
      </c>
      <c r="Q53" s="621">
        <f>IF((Q41=1),Thermostat!$B$9,Thermostat!$B$10)</f>
        <v>78</v>
      </c>
      <c r="R53" s="621">
        <f>IF((R41=1),Thermostat!$B$9,Thermostat!$B$10)</f>
        <v>78</v>
      </c>
      <c r="S53" s="621">
        <f>IF((S41=1),Thermostat!$B$9,Thermostat!$B$10)</f>
        <v>78</v>
      </c>
      <c r="T53" s="621">
        <f>IF((T41=1),Thermostat!$B$9,Thermostat!$B$10)</f>
        <v>78</v>
      </c>
      <c r="U53" s="621">
        <f>IF((U41=1),Thermostat!$B$9,Thermostat!$B$10)</f>
        <v>78</v>
      </c>
      <c r="V53" s="621">
        <f>IF((V41=1),Thermostat!$B$9,Thermostat!$B$10)</f>
        <v>78</v>
      </c>
      <c r="W53" s="621">
        <f>IF((W41=1),Thermostat!$B$9,Thermostat!$B$10)</f>
        <v>78</v>
      </c>
      <c r="X53" s="621">
        <f>IF((X41=1),Thermostat!$B$9,Thermostat!$B$10)</f>
        <v>78</v>
      </c>
      <c r="Y53" s="621">
        <f>IF((Y41=1),Thermostat!$B$9,Thermostat!$B$10)</f>
        <v>78</v>
      </c>
      <c r="Z53" s="621">
        <f>IF((Z41=1),Thermostat!$B$9,Thermostat!$B$10)</f>
        <v>78</v>
      </c>
      <c r="AA53" s="621">
        <f>IF((AA41=1),Thermostat!$B$9,Thermostat!$B$10)</f>
        <v>78</v>
      </c>
      <c r="AB53" s="621">
        <f>IF((AB41=1),Thermostat!$B$9,Thermostat!$B$10)</f>
        <v>78</v>
      </c>
      <c r="AC53" s="333">
        <f>IF((AC41=1),Thermostat!$B$9,Thermostat!$B$10)</f>
        <v>78</v>
      </c>
    </row>
    <row r="54" spans="1:29" ht="34.200000000000003" customHeight="1" x14ac:dyDescent="0.3">
      <c r="A54" s="825"/>
      <c r="B54" s="800"/>
      <c r="C54" s="800"/>
      <c r="D54" s="847"/>
      <c r="E54" s="283" t="s">
        <v>466</v>
      </c>
      <c r="F54" s="616">
        <f>IF((F42=1),Thermostat!$B$9,Thermostat!$B$10)</f>
        <v>78</v>
      </c>
      <c r="G54" s="616">
        <f>IF((G42=1),Thermostat!$B$9,Thermostat!$B$10)</f>
        <v>78</v>
      </c>
      <c r="H54" s="616">
        <f>IF((H42=1),Thermostat!$B$9,Thermostat!$B$10)</f>
        <v>78</v>
      </c>
      <c r="I54" s="616">
        <f>IF((I42=1),Thermostat!$B$9,Thermostat!$B$10)</f>
        <v>78</v>
      </c>
      <c r="J54" s="616">
        <f>IF((J42=1),Thermostat!$B$9,Thermostat!$B$10)</f>
        <v>78</v>
      </c>
      <c r="K54" s="616">
        <f>IF((K42=1),Thermostat!$B$9,Thermostat!$B$10)</f>
        <v>78</v>
      </c>
      <c r="L54" s="616">
        <f>IF((L42=1),Thermostat!$B$9,Thermostat!$B$10)</f>
        <v>78</v>
      </c>
      <c r="M54" s="616">
        <f>IF((M42=1),Thermostat!$B$9,Thermostat!$B$10)</f>
        <v>78</v>
      </c>
      <c r="N54" s="616">
        <f>IF((N42=1),Thermostat!$B$9,Thermostat!$B$10)</f>
        <v>78</v>
      </c>
      <c r="O54" s="616">
        <f>IF((O42=1),Thermostat!$B$9,Thermostat!$B$10)</f>
        <v>78</v>
      </c>
      <c r="P54" s="616">
        <f>IF((P42=1),Thermostat!$B$9,Thermostat!$B$10)</f>
        <v>78</v>
      </c>
      <c r="Q54" s="616">
        <f>IF((Q42=1),Thermostat!$B$9,Thermostat!$B$10)</f>
        <v>78</v>
      </c>
      <c r="R54" s="616">
        <f>IF((R42=1),Thermostat!$B$9,Thermostat!$B$10)</f>
        <v>78</v>
      </c>
      <c r="S54" s="616">
        <f>IF((S42=1),Thermostat!$B$9,Thermostat!$B$10)</f>
        <v>78</v>
      </c>
      <c r="T54" s="616">
        <f>IF((T42=1),Thermostat!$B$9,Thermostat!$B$10)</f>
        <v>78</v>
      </c>
      <c r="U54" s="616">
        <f>IF((U42=1),Thermostat!$B$9,Thermostat!$B$10)</f>
        <v>78</v>
      </c>
      <c r="V54" s="616">
        <f>IF((V42=1),Thermostat!$B$9,Thermostat!$B$10)</f>
        <v>78</v>
      </c>
      <c r="W54" s="616">
        <f>IF((W42=1),Thermostat!$B$9,Thermostat!$B$10)</f>
        <v>78</v>
      </c>
      <c r="X54" s="616">
        <f>IF((X42=1),Thermostat!$B$9,Thermostat!$B$10)</f>
        <v>78</v>
      </c>
      <c r="Y54" s="616">
        <f>IF((Y42=1),Thermostat!$B$9,Thermostat!$B$10)</f>
        <v>78</v>
      </c>
      <c r="Z54" s="616">
        <f>IF((Z42=1),Thermostat!$B$9,Thermostat!$B$10)</f>
        <v>78</v>
      </c>
      <c r="AA54" s="616">
        <f>IF((AA42=1),Thermostat!$B$9,Thermostat!$B$10)</f>
        <v>78</v>
      </c>
      <c r="AB54" s="616">
        <f>IF((AB42=1),Thermostat!$B$9,Thermostat!$B$10)</f>
        <v>78</v>
      </c>
      <c r="AC54" s="331">
        <f>IF((AC42=1),Thermostat!$B$9,Thermostat!$B$10)</f>
        <v>78</v>
      </c>
    </row>
    <row r="55" spans="1:29" ht="34.200000000000003" customHeight="1" thickBot="1" x14ac:dyDescent="0.35">
      <c r="A55" s="826"/>
      <c r="B55" s="801"/>
      <c r="C55" s="801"/>
      <c r="D55" s="854"/>
      <c r="E55" s="321" t="s">
        <v>467</v>
      </c>
      <c r="F55" s="618">
        <f>IF((F43=1),Thermostat!$B$9,Thermostat!$B$10)</f>
        <v>78</v>
      </c>
      <c r="G55" s="618">
        <f>IF((G43=1),Thermostat!$B$9,Thermostat!$B$10)</f>
        <v>78</v>
      </c>
      <c r="H55" s="618">
        <f>IF((H43=1),Thermostat!$B$9,Thermostat!$B$10)</f>
        <v>78</v>
      </c>
      <c r="I55" s="618">
        <f>IF((I43=1),Thermostat!$B$9,Thermostat!$B$10)</f>
        <v>78</v>
      </c>
      <c r="J55" s="618">
        <f>IF((J43=1),Thermostat!$B$9,Thermostat!$B$10)</f>
        <v>78</v>
      </c>
      <c r="K55" s="618">
        <f>IF((K43=1),Thermostat!$B$9,Thermostat!$B$10)</f>
        <v>78</v>
      </c>
      <c r="L55" s="618">
        <f>IF((L43=1),Thermostat!$B$9,Thermostat!$B$10)</f>
        <v>78</v>
      </c>
      <c r="M55" s="618">
        <f>IF((M43=1),Thermostat!$B$9,Thermostat!$B$10)</f>
        <v>78</v>
      </c>
      <c r="N55" s="618">
        <f>IF((N43=1),Thermostat!$B$9,Thermostat!$B$10)</f>
        <v>78</v>
      </c>
      <c r="O55" s="618">
        <f>IF((O43=1),Thermostat!$B$9,Thermostat!$B$10)</f>
        <v>78</v>
      </c>
      <c r="P55" s="618">
        <f>IF((P43=1),Thermostat!$B$9,Thermostat!$B$10)</f>
        <v>78</v>
      </c>
      <c r="Q55" s="618">
        <f>IF((Q43=1),Thermostat!$B$9,Thermostat!$B$10)</f>
        <v>78</v>
      </c>
      <c r="R55" s="618">
        <f>IF((R43=1),Thermostat!$B$9,Thermostat!$B$10)</f>
        <v>78</v>
      </c>
      <c r="S55" s="618">
        <f>IF((S43=1),Thermostat!$B$9,Thermostat!$B$10)</f>
        <v>78</v>
      </c>
      <c r="T55" s="618">
        <f>IF((T43=1),Thermostat!$B$9,Thermostat!$B$10)</f>
        <v>78</v>
      </c>
      <c r="U55" s="618">
        <f>IF((U43=1),Thermostat!$B$9,Thermostat!$B$10)</f>
        <v>78</v>
      </c>
      <c r="V55" s="618">
        <f>IF((V43=1),Thermostat!$B$9,Thermostat!$B$10)</f>
        <v>78</v>
      </c>
      <c r="W55" s="618">
        <f>IF((W43=1),Thermostat!$B$9,Thermostat!$B$10)</f>
        <v>78</v>
      </c>
      <c r="X55" s="618">
        <f>IF((X43=1),Thermostat!$B$9,Thermostat!$B$10)</f>
        <v>78</v>
      </c>
      <c r="Y55" s="618">
        <f>IF((Y43=1),Thermostat!$B$9,Thermostat!$B$10)</f>
        <v>78</v>
      </c>
      <c r="Z55" s="618">
        <f>IF((Z43=1),Thermostat!$B$9,Thermostat!$B$10)</f>
        <v>78</v>
      </c>
      <c r="AA55" s="618">
        <f>IF((AA43=1),Thermostat!$B$9,Thermostat!$B$10)</f>
        <v>78</v>
      </c>
      <c r="AB55" s="618">
        <f>IF((AB43=1),Thermostat!$B$9,Thermostat!$B$10)</f>
        <v>78</v>
      </c>
      <c r="AC55" s="334">
        <f>IF((AC43=1),Thermostat!$B$9,Thermostat!$B$10)</f>
        <v>78</v>
      </c>
    </row>
    <row r="56" spans="1:29" ht="25.2" customHeight="1" thickBot="1" x14ac:dyDescent="0.35">
      <c r="A56" s="811" t="s">
        <v>183</v>
      </c>
      <c r="B56" s="811"/>
      <c r="C56" s="811" t="s">
        <v>815</v>
      </c>
      <c r="D56" s="811"/>
      <c r="E56" s="812"/>
      <c r="F56" s="812"/>
      <c r="G56" s="812"/>
      <c r="H56" s="812"/>
      <c r="I56" s="812"/>
      <c r="J56" s="812"/>
      <c r="K56" s="812"/>
      <c r="L56" s="812"/>
      <c r="M56" s="812"/>
      <c r="N56" s="812"/>
      <c r="O56" s="812"/>
      <c r="P56" s="812"/>
      <c r="Q56" s="812"/>
      <c r="R56" s="812"/>
      <c r="S56" s="812"/>
      <c r="T56" s="812"/>
      <c r="U56" s="812"/>
      <c r="V56" s="812"/>
      <c r="W56" s="812"/>
      <c r="X56" s="812"/>
      <c r="Y56" s="812"/>
      <c r="Z56" s="812"/>
      <c r="AA56" s="812"/>
      <c r="AB56" s="812"/>
      <c r="AC56" s="813"/>
    </row>
    <row r="57" spans="1:29" ht="34.200000000000003" customHeight="1" x14ac:dyDescent="0.3">
      <c r="A57" s="784" t="s">
        <v>369</v>
      </c>
      <c r="B57" s="805" t="s">
        <v>183</v>
      </c>
      <c r="C57" s="822" t="s">
        <v>804</v>
      </c>
      <c r="D57" s="789" t="s">
        <v>816</v>
      </c>
      <c r="E57" s="234" t="s">
        <v>465</v>
      </c>
      <c r="F57" s="226">
        <v>0.9</v>
      </c>
      <c r="G57" s="226">
        <v>0.9</v>
      </c>
      <c r="H57" s="226">
        <v>0.9</v>
      </c>
      <c r="I57" s="226">
        <v>0.9</v>
      </c>
      <c r="J57" s="226">
        <v>0.9</v>
      </c>
      <c r="K57" s="226">
        <v>0.9</v>
      </c>
      <c r="L57" s="226">
        <v>0.7</v>
      </c>
      <c r="M57" s="226">
        <v>0.4</v>
      </c>
      <c r="N57" s="226">
        <v>0.4</v>
      </c>
      <c r="O57" s="226">
        <v>0.2</v>
      </c>
      <c r="P57" s="226">
        <v>0.2</v>
      </c>
      <c r="Q57" s="226">
        <v>0.2</v>
      </c>
      <c r="R57" s="226">
        <v>0.2</v>
      </c>
      <c r="S57" s="226">
        <v>0.2</v>
      </c>
      <c r="T57" s="226">
        <v>0.2</v>
      </c>
      <c r="U57" s="226">
        <v>0.3</v>
      </c>
      <c r="V57" s="226">
        <v>0.5</v>
      </c>
      <c r="W57" s="226">
        <v>0.5</v>
      </c>
      <c r="X57" s="226">
        <v>0.5</v>
      </c>
      <c r="Y57" s="226">
        <v>0.7</v>
      </c>
      <c r="Z57" s="226">
        <v>0.7</v>
      </c>
      <c r="AA57" s="226">
        <v>0.8</v>
      </c>
      <c r="AB57" s="226">
        <v>0.9</v>
      </c>
      <c r="AC57" s="227">
        <v>0.9</v>
      </c>
    </row>
    <row r="58" spans="1:29" ht="34.200000000000003" customHeight="1" x14ac:dyDescent="0.3">
      <c r="A58" s="773"/>
      <c r="B58" s="806"/>
      <c r="C58" s="787"/>
      <c r="D58" s="790"/>
      <c r="E58" s="224" t="s">
        <v>466</v>
      </c>
      <c r="F58" s="223">
        <v>0.9</v>
      </c>
      <c r="G58" s="223">
        <v>0.9</v>
      </c>
      <c r="H58" s="223">
        <v>0.9</v>
      </c>
      <c r="I58" s="223">
        <v>0.9</v>
      </c>
      <c r="J58" s="223">
        <v>0.9</v>
      </c>
      <c r="K58" s="223">
        <v>0.9</v>
      </c>
      <c r="L58" s="223">
        <v>0.7</v>
      </c>
      <c r="M58" s="223">
        <v>0.4</v>
      </c>
      <c r="N58" s="223">
        <v>0.4</v>
      </c>
      <c r="O58" s="223">
        <v>0.2</v>
      </c>
      <c r="P58" s="223">
        <v>0.2</v>
      </c>
      <c r="Q58" s="223">
        <v>0.2</v>
      </c>
      <c r="R58" s="223">
        <v>0.2</v>
      </c>
      <c r="S58" s="223">
        <v>0.2</v>
      </c>
      <c r="T58" s="223">
        <v>0.2</v>
      </c>
      <c r="U58" s="223">
        <v>0.3</v>
      </c>
      <c r="V58" s="223">
        <v>0.5</v>
      </c>
      <c r="W58" s="223">
        <v>0.5</v>
      </c>
      <c r="X58" s="223">
        <v>0.5</v>
      </c>
      <c r="Y58" s="223">
        <v>0.7</v>
      </c>
      <c r="Z58" s="223">
        <v>0.7</v>
      </c>
      <c r="AA58" s="223">
        <v>0.8</v>
      </c>
      <c r="AB58" s="223">
        <v>0.9</v>
      </c>
      <c r="AC58" s="228">
        <v>0.9</v>
      </c>
    </row>
    <row r="59" spans="1:29" ht="34.200000000000003" customHeight="1" thickBot="1" x14ac:dyDescent="0.35">
      <c r="A59" s="785"/>
      <c r="B59" s="807"/>
      <c r="C59" s="793"/>
      <c r="D59" s="791"/>
      <c r="E59" s="235" t="s">
        <v>467</v>
      </c>
      <c r="F59" s="231">
        <v>0.9</v>
      </c>
      <c r="G59" s="231">
        <v>0.9</v>
      </c>
      <c r="H59" s="231">
        <v>0.9</v>
      </c>
      <c r="I59" s="231">
        <v>0.9</v>
      </c>
      <c r="J59" s="231">
        <v>0.9</v>
      </c>
      <c r="K59" s="231">
        <v>0.9</v>
      </c>
      <c r="L59" s="231">
        <v>0.7</v>
      </c>
      <c r="M59" s="231">
        <v>0.4</v>
      </c>
      <c r="N59" s="231">
        <v>0.4</v>
      </c>
      <c r="O59" s="231">
        <v>0.2</v>
      </c>
      <c r="P59" s="231">
        <v>0.2</v>
      </c>
      <c r="Q59" s="231">
        <v>0.2</v>
      </c>
      <c r="R59" s="231">
        <v>0.2</v>
      </c>
      <c r="S59" s="231">
        <v>0.2</v>
      </c>
      <c r="T59" s="231">
        <v>0.2</v>
      </c>
      <c r="U59" s="231">
        <v>0.3</v>
      </c>
      <c r="V59" s="231">
        <v>0.5</v>
      </c>
      <c r="W59" s="231">
        <v>0.5</v>
      </c>
      <c r="X59" s="231">
        <v>0.5</v>
      </c>
      <c r="Y59" s="231">
        <v>0.7</v>
      </c>
      <c r="Z59" s="231">
        <v>0.7</v>
      </c>
      <c r="AA59" s="231">
        <v>0.8</v>
      </c>
      <c r="AB59" s="231">
        <v>0.9</v>
      </c>
      <c r="AC59" s="232">
        <v>0.9</v>
      </c>
    </row>
    <row r="60" spans="1:29" ht="34.200000000000003" customHeight="1" x14ac:dyDescent="0.3">
      <c r="A60" s="815" t="str">
        <f>A57</f>
        <v>Guest Rooms</v>
      </c>
      <c r="B60" s="808" t="s">
        <v>183</v>
      </c>
      <c r="C60" s="792" t="s">
        <v>805</v>
      </c>
      <c r="D60" s="789" t="s">
        <v>816</v>
      </c>
      <c r="E60" s="234" t="s">
        <v>465</v>
      </c>
      <c r="F60" s="226">
        <v>0.1</v>
      </c>
      <c r="G60" s="226">
        <v>0.1</v>
      </c>
      <c r="H60" s="226">
        <v>0.1</v>
      </c>
      <c r="I60" s="226">
        <v>0.1</v>
      </c>
      <c r="J60" s="226">
        <v>0.1</v>
      </c>
      <c r="K60" s="226">
        <v>0.3</v>
      </c>
      <c r="L60" s="226">
        <v>0.45</v>
      </c>
      <c r="M60" s="226">
        <v>0.45</v>
      </c>
      <c r="N60" s="226">
        <v>0.45</v>
      </c>
      <c r="O60" s="226">
        <v>0.45</v>
      </c>
      <c r="P60" s="226">
        <v>0.3</v>
      </c>
      <c r="Q60" s="226">
        <v>0.3</v>
      </c>
      <c r="R60" s="226">
        <v>0.3</v>
      </c>
      <c r="S60" s="226">
        <v>0.3</v>
      </c>
      <c r="T60" s="226">
        <v>0.3</v>
      </c>
      <c r="U60" s="226">
        <v>0.3</v>
      </c>
      <c r="V60" s="226">
        <v>0.3</v>
      </c>
      <c r="W60" s="226">
        <v>0.3</v>
      </c>
      <c r="X60" s="226">
        <v>0.6</v>
      </c>
      <c r="Y60" s="226">
        <v>0.8</v>
      </c>
      <c r="Z60" s="226">
        <v>0.9</v>
      </c>
      <c r="AA60" s="226">
        <v>0.8</v>
      </c>
      <c r="AB60" s="226">
        <v>0.6</v>
      </c>
      <c r="AC60" s="227">
        <v>0.3</v>
      </c>
    </row>
    <row r="61" spans="1:29" ht="34.200000000000003" customHeight="1" x14ac:dyDescent="0.3">
      <c r="A61" s="773"/>
      <c r="B61" s="806"/>
      <c r="C61" s="787"/>
      <c r="D61" s="790"/>
      <c r="E61" s="224" t="s">
        <v>466</v>
      </c>
      <c r="F61" s="223">
        <v>0.1</v>
      </c>
      <c r="G61" s="223">
        <v>0.1</v>
      </c>
      <c r="H61" s="223">
        <v>0.1</v>
      </c>
      <c r="I61" s="223">
        <v>0.1</v>
      </c>
      <c r="J61" s="223">
        <v>0.1</v>
      </c>
      <c r="K61" s="223">
        <v>0.3</v>
      </c>
      <c r="L61" s="223">
        <v>0.45</v>
      </c>
      <c r="M61" s="223">
        <v>0.45</v>
      </c>
      <c r="N61" s="223">
        <v>0.45</v>
      </c>
      <c r="O61" s="223">
        <v>0.45</v>
      </c>
      <c r="P61" s="223">
        <v>0.3</v>
      </c>
      <c r="Q61" s="223">
        <v>0.3</v>
      </c>
      <c r="R61" s="223">
        <v>0.3</v>
      </c>
      <c r="S61" s="223">
        <v>0.3</v>
      </c>
      <c r="T61" s="223">
        <v>0.3</v>
      </c>
      <c r="U61" s="223">
        <v>0.3</v>
      </c>
      <c r="V61" s="223">
        <v>0.3</v>
      </c>
      <c r="W61" s="223">
        <v>0.3</v>
      </c>
      <c r="X61" s="223">
        <v>0.6</v>
      </c>
      <c r="Y61" s="223">
        <v>0.8</v>
      </c>
      <c r="Z61" s="223">
        <v>0.9</v>
      </c>
      <c r="AA61" s="223">
        <v>0.8</v>
      </c>
      <c r="AB61" s="223">
        <v>0.6</v>
      </c>
      <c r="AC61" s="228">
        <v>0.3</v>
      </c>
    </row>
    <row r="62" spans="1:29" ht="34.200000000000003" customHeight="1" thickBot="1" x14ac:dyDescent="0.35">
      <c r="A62" s="785"/>
      <c r="B62" s="807"/>
      <c r="C62" s="793"/>
      <c r="D62" s="791"/>
      <c r="E62" s="235" t="s">
        <v>467</v>
      </c>
      <c r="F62" s="231">
        <v>0.1</v>
      </c>
      <c r="G62" s="231">
        <v>0.1</v>
      </c>
      <c r="H62" s="231">
        <v>0.1</v>
      </c>
      <c r="I62" s="231">
        <v>0.1</v>
      </c>
      <c r="J62" s="231">
        <v>0.1</v>
      </c>
      <c r="K62" s="231">
        <v>0.3</v>
      </c>
      <c r="L62" s="231">
        <v>0.45</v>
      </c>
      <c r="M62" s="231">
        <v>0.45</v>
      </c>
      <c r="N62" s="231">
        <v>0.45</v>
      </c>
      <c r="O62" s="231">
        <v>0.45</v>
      </c>
      <c r="P62" s="231">
        <v>0.3</v>
      </c>
      <c r="Q62" s="231">
        <v>0.3</v>
      </c>
      <c r="R62" s="231">
        <v>0.3</v>
      </c>
      <c r="S62" s="231">
        <v>0.3</v>
      </c>
      <c r="T62" s="231">
        <v>0.3</v>
      </c>
      <c r="U62" s="231">
        <v>0.3</v>
      </c>
      <c r="V62" s="231">
        <v>0.3</v>
      </c>
      <c r="W62" s="231">
        <v>0.3</v>
      </c>
      <c r="X62" s="231">
        <v>0.6</v>
      </c>
      <c r="Y62" s="231">
        <v>0.8</v>
      </c>
      <c r="Z62" s="231">
        <v>0.9</v>
      </c>
      <c r="AA62" s="231">
        <v>0.8</v>
      </c>
      <c r="AB62" s="231">
        <v>0.6</v>
      </c>
      <c r="AC62" s="232">
        <v>0.3</v>
      </c>
    </row>
    <row r="63" spans="1:29" ht="34.200000000000003" customHeight="1" x14ac:dyDescent="0.3">
      <c r="A63" s="815" t="str">
        <f>A57</f>
        <v>Guest Rooms</v>
      </c>
      <c r="B63" s="808" t="s">
        <v>183</v>
      </c>
      <c r="C63" s="792" t="s">
        <v>817</v>
      </c>
      <c r="D63" s="796" t="s">
        <v>578</v>
      </c>
      <c r="E63" s="234" t="s">
        <v>465</v>
      </c>
      <c r="F63" s="226">
        <v>0.1</v>
      </c>
      <c r="G63" s="226">
        <v>0.1</v>
      </c>
      <c r="H63" s="226">
        <v>0.1</v>
      </c>
      <c r="I63" s="226">
        <v>0.1</v>
      </c>
      <c r="J63" s="226">
        <v>0.1</v>
      </c>
      <c r="K63" s="226">
        <v>0.3</v>
      </c>
      <c r="L63" s="226">
        <v>0.45</v>
      </c>
      <c r="M63" s="226">
        <v>0.45</v>
      </c>
      <c r="N63" s="226">
        <v>0.45</v>
      </c>
      <c r="O63" s="226">
        <v>0.45</v>
      </c>
      <c r="P63" s="226">
        <v>0.2</v>
      </c>
      <c r="Q63" s="226">
        <v>0.2</v>
      </c>
      <c r="R63" s="226">
        <v>0.2</v>
      </c>
      <c r="S63" s="226">
        <v>0.2</v>
      </c>
      <c r="T63" s="226">
        <v>0.2</v>
      </c>
      <c r="U63" s="226">
        <v>0.2</v>
      </c>
      <c r="V63" s="226">
        <v>0.2</v>
      </c>
      <c r="W63" s="226">
        <v>0.2</v>
      </c>
      <c r="X63" s="226">
        <v>0.4</v>
      </c>
      <c r="Y63" s="226">
        <v>0.5</v>
      </c>
      <c r="Z63" s="226">
        <v>0.6</v>
      </c>
      <c r="AA63" s="226">
        <v>0.5</v>
      </c>
      <c r="AB63" s="226">
        <v>0.4</v>
      </c>
      <c r="AC63" s="227">
        <v>0.25</v>
      </c>
    </row>
    <row r="64" spans="1:29" ht="34.200000000000003" customHeight="1" x14ac:dyDescent="0.3">
      <c r="A64" s="773"/>
      <c r="B64" s="806"/>
      <c r="C64" s="787"/>
      <c r="D64" s="797"/>
      <c r="E64" s="224" t="s">
        <v>466</v>
      </c>
      <c r="F64" s="223">
        <f>F63</f>
        <v>0.1</v>
      </c>
      <c r="G64" s="223">
        <f t="shared" ref="G64:AC64" si="0">G63</f>
        <v>0.1</v>
      </c>
      <c r="H64" s="223">
        <f t="shared" si="0"/>
        <v>0.1</v>
      </c>
      <c r="I64" s="223">
        <f t="shared" si="0"/>
        <v>0.1</v>
      </c>
      <c r="J64" s="223">
        <f t="shared" si="0"/>
        <v>0.1</v>
      </c>
      <c r="K64" s="223">
        <f t="shared" si="0"/>
        <v>0.3</v>
      </c>
      <c r="L64" s="223">
        <f t="shared" si="0"/>
        <v>0.45</v>
      </c>
      <c r="M64" s="223">
        <f t="shared" si="0"/>
        <v>0.45</v>
      </c>
      <c r="N64" s="223">
        <f t="shared" si="0"/>
        <v>0.45</v>
      </c>
      <c r="O64" s="223">
        <f t="shared" si="0"/>
        <v>0.45</v>
      </c>
      <c r="P64" s="223">
        <f t="shared" si="0"/>
        <v>0.2</v>
      </c>
      <c r="Q64" s="223">
        <f t="shared" si="0"/>
        <v>0.2</v>
      </c>
      <c r="R64" s="223">
        <f t="shared" si="0"/>
        <v>0.2</v>
      </c>
      <c r="S64" s="223">
        <f t="shared" si="0"/>
        <v>0.2</v>
      </c>
      <c r="T64" s="223">
        <f t="shared" si="0"/>
        <v>0.2</v>
      </c>
      <c r="U64" s="223">
        <f t="shared" si="0"/>
        <v>0.2</v>
      </c>
      <c r="V64" s="223">
        <f t="shared" si="0"/>
        <v>0.2</v>
      </c>
      <c r="W64" s="223">
        <f t="shared" si="0"/>
        <v>0.2</v>
      </c>
      <c r="X64" s="223">
        <f t="shared" si="0"/>
        <v>0.4</v>
      </c>
      <c r="Y64" s="223">
        <f t="shared" si="0"/>
        <v>0.5</v>
      </c>
      <c r="Z64" s="223">
        <f t="shared" si="0"/>
        <v>0.6</v>
      </c>
      <c r="AA64" s="223">
        <f t="shared" si="0"/>
        <v>0.5</v>
      </c>
      <c r="AB64" s="223">
        <f t="shared" si="0"/>
        <v>0.4</v>
      </c>
      <c r="AC64" s="228">
        <f t="shared" si="0"/>
        <v>0.25</v>
      </c>
    </row>
    <row r="65" spans="1:29" ht="34.200000000000003" customHeight="1" thickBot="1" x14ac:dyDescent="0.35">
      <c r="A65" s="816"/>
      <c r="B65" s="807"/>
      <c r="C65" s="788"/>
      <c r="D65" s="798"/>
      <c r="E65" s="236" t="s">
        <v>467</v>
      </c>
      <c r="F65" s="229">
        <f>F63</f>
        <v>0.1</v>
      </c>
      <c r="G65" s="229">
        <f t="shared" ref="G65:AC65" si="1">G63</f>
        <v>0.1</v>
      </c>
      <c r="H65" s="229">
        <f t="shared" si="1"/>
        <v>0.1</v>
      </c>
      <c r="I65" s="229">
        <f t="shared" si="1"/>
        <v>0.1</v>
      </c>
      <c r="J65" s="229">
        <f t="shared" si="1"/>
        <v>0.1</v>
      </c>
      <c r="K65" s="229">
        <f t="shared" si="1"/>
        <v>0.3</v>
      </c>
      <c r="L65" s="229">
        <f t="shared" si="1"/>
        <v>0.45</v>
      </c>
      <c r="M65" s="229">
        <f t="shared" si="1"/>
        <v>0.45</v>
      </c>
      <c r="N65" s="229">
        <f t="shared" si="1"/>
        <v>0.45</v>
      </c>
      <c r="O65" s="229">
        <f t="shared" si="1"/>
        <v>0.45</v>
      </c>
      <c r="P65" s="229">
        <f t="shared" si="1"/>
        <v>0.2</v>
      </c>
      <c r="Q65" s="229">
        <f t="shared" si="1"/>
        <v>0.2</v>
      </c>
      <c r="R65" s="229">
        <f t="shared" si="1"/>
        <v>0.2</v>
      </c>
      <c r="S65" s="229">
        <f t="shared" si="1"/>
        <v>0.2</v>
      </c>
      <c r="T65" s="229">
        <f t="shared" si="1"/>
        <v>0.2</v>
      </c>
      <c r="U65" s="229">
        <f t="shared" si="1"/>
        <v>0.2</v>
      </c>
      <c r="V65" s="229">
        <f t="shared" si="1"/>
        <v>0.2</v>
      </c>
      <c r="W65" s="229">
        <f t="shared" si="1"/>
        <v>0.2</v>
      </c>
      <c r="X65" s="229">
        <f t="shared" si="1"/>
        <v>0.4</v>
      </c>
      <c r="Y65" s="229">
        <f t="shared" si="1"/>
        <v>0.5</v>
      </c>
      <c r="Z65" s="229">
        <f t="shared" si="1"/>
        <v>0.6</v>
      </c>
      <c r="AA65" s="229">
        <f t="shared" si="1"/>
        <v>0.5</v>
      </c>
      <c r="AB65" s="229">
        <f t="shared" si="1"/>
        <v>0.4</v>
      </c>
      <c r="AC65" s="230">
        <f t="shared" si="1"/>
        <v>0.25</v>
      </c>
    </row>
    <row r="66" spans="1:29" ht="23.4" customHeight="1" x14ac:dyDescent="0.3">
      <c r="A66" s="772" t="str">
        <f>A57</f>
        <v>Guest Rooms</v>
      </c>
      <c r="B66" s="808" t="s">
        <v>183</v>
      </c>
      <c r="C66" s="786" t="s">
        <v>807</v>
      </c>
      <c r="D66" s="789" t="s">
        <v>816</v>
      </c>
      <c r="E66" s="237" t="s">
        <v>465</v>
      </c>
      <c r="F66" s="225">
        <v>1</v>
      </c>
      <c r="G66" s="225">
        <v>1</v>
      </c>
      <c r="H66" s="225">
        <v>1</v>
      </c>
      <c r="I66" s="225">
        <v>1</v>
      </c>
      <c r="J66" s="225">
        <v>1</v>
      </c>
      <c r="K66" s="225">
        <v>1</v>
      </c>
      <c r="L66" s="225">
        <v>1</v>
      </c>
      <c r="M66" s="225">
        <v>1</v>
      </c>
      <c r="N66" s="225">
        <v>1</v>
      </c>
      <c r="O66" s="225">
        <v>1</v>
      </c>
      <c r="P66" s="225">
        <v>1</v>
      </c>
      <c r="Q66" s="225">
        <v>1</v>
      </c>
      <c r="R66" s="225">
        <v>1</v>
      </c>
      <c r="S66" s="225">
        <v>1</v>
      </c>
      <c r="T66" s="225">
        <v>1</v>
      </c>
      <c r="U66" s="225">
        <v>1</v>
      </c>
      <c r="V66" s="225">
        <v>1</v>
      </c>
      <c r="W66" s="225">
        <v>1</v>
      </c>
      <c r="X66" s="225">
        <v>1</v>
      </c>
      <c r="Y66" s="225">
        <v>1</v>
      </c>
      <c r="Z66" s="225">
        <v>1</v>
      </c>
      <c r="AA66" s="225">
        <v>1</v>
      </c>
      <c r="AB66" s="225">
        <v>1</v>
      </c>
      <c r="AC66" s="233">
        <v>1</v>
      </c>
    </row>
    <row r="67" spans="1:29" ht="34.200000000000003" customHeight="1" x14ac:dyDescent="0.3">
      <c r="A67" s="773"/>
      <c r="B67" s="806"/>
      <c r="C67" s="787"/>
      <c r="D67" s="790"/>
      <c r="E67" s="224" t="s">
        <v>466</v>
      </c>
      <c r="F67" s="223">
        <v>1</v>
      </c>
      <c r="G67" s="223">
        <v>1</v>
      </c>
      <c r="H67" s="223">
        <v>1</v>
      </c>
      <c r="I67" s="223">
        <v>1</v>
      </c>
      <c r="J67" s="223">
        <v>1</v>
      </c>
      <c r="K67" s="223">
        <v>1</v>
      </c>
      <c r="L67" s="223">
        <v>1</v>
      </c>
      <c r="M67" s="223">
        <v>1</v>
      </c>
      <c r="N67" s="223">
        <v>1</v>
      </c>
      <c r="O67" s="223">
        <v>1</v>
      </c>
      <c r="P67" s="223">
        <v>1</v>
      </c>
      <c r="Q67" s="223">
        <v>1</v>
      </c>
      <c r="R67" s="223">
        <v>1</v>
      </c>
      <c r="S67" s="223">
        <v>1</v>
      </c>
      <c r="T67" s="223">
        <v>1</v>
      </c>
      <c r="U67" s="223">
        <v>1</v>
      </c>
      <c r="V67" s="223">
        <v>1</v>
      </c>
      <c r="W67" s="223">
        <v>1</v>
      </c>
      <c r="X67" s="223">
        <v>1</v>
      </c>
      <c r="Y67" s="223">
        <v>1</v>
      </c>
      <c r="Z67" s="223">
        <v>1</v>
      </c>
      <c r="AA67" s="223">
        <v>1</v>
      </c>
      <c r="AB67" s="223">
        <v>1</v>
      </c>
      <c r="AC67" s="228">
        <v>1</v>
      </c>
    </row>
    <row r="68" spans="1:29" ht="34.200000000000003" customHeight="1" thickBot="1" x14ac:dyDescent="0.35">
      <c r="A68" s="816"/>
      <c r="B68" s="807"/>
      <c r="C68" s="788"/>
      <c r="D68" s="791"/>
      <c r="E68" s="236" t="s">
        <v>467</v>
      </c>
      <c r="F68" s="229">
        <v>1</v>
      </c>
      <c r="G68" s="229">
        <v>1</v>
      </c>
      <c r="H68" s="229">
        <v>1</v>
      </c>
      <c r="I68" s="229">
        <v>1</v>
      </c>
      <c r="J68" s="229">
        <v>1</v>
      </c>
      <c r="K68" s="229">
        <v>1</v>
      </c>
      <c r="L68" s="229">
        <v>1</v>
      </c>
      <c r="M68" s="229">
        <v>1</v>
      </c>
      <c r="N68" s="229">
        <v>1</v>
      </c>
      <c r="O68" s="229">
        <v>1</v>
      </c>
      <c r="P68" s="229">
        <v>1</v>
      </c>
      <c r="Q68" s="229">
        <v>1</v>
      </c>
      <c r="R68" s="229">
        <v>1</v>
      </c>
      <c r="S68" s="229">
        <v>1</v>
      </c>
      <c r="T68" s="229">
        <v>1</v>
      </c>
      <c r="U68" s="229">
        <v>1</v>
      </c>
      <c r="V68" s="229">
        <v>1</v>
      </c>
      <c r="W68" s="229">
        <v>1</v>
      </c>
      <c r="X68" s="229">
        <v>1</v>
      </c>
      <c r="Y68" s="229">
        <v>1</v>
      </c>
      <c r="Z68" s="229">
        <v>1</v>
      </c>
      <c r="AA68" s="229">
        <v>1</v>
      </c>
      <c r="AB68" s="229">
        <v>1</v>
      </c>
      <c r="AC68" s="230">
        <v>1</v>
      </c>
    </row>
    <row r="69" spans="1:29" ht="34.200000000000003" customHeight="1" x14ac:dyDescent="0.3">
      <c r="A69" s="815" t="str">
        <f>A57</f>
        <v>Guest Rooms</v>
      </c>
      <c r="B69" s="808" t="s">
        <v>183</v>
      </c>
      <c r="C69" s="786" t="s">
        <v>808</v>
      </c>
      <c r="D69" s="789" t="s">
        <v>816</v>
      </c>
      <c r="E69" s="237" t="s">
        <v>465</v>
      </c>
      <c r="F69" s="225">
        <v>0.13100000000000001</v>
      </c>
      <c r="G69" s="225">
        <v>7.4999999999999997E-2</v>
      </c>
      <c r="H69" s="225">
        <v>8.4000000000000005E-2</v>
      </c>
      <c r="I69" s="225">
        <v>0.10299999999999999</v>
      </c>
      <c r="J69" s="225">
        <v>0.187</v>
      </c>
      <c r="K69" s="225">
        <v>0.41099999999999998</v>
      </c>
      <c r="L69" s="225">
        <v>0.83199999999999996</v>
      </c>
      <c r="M69" s="225">
        <v>1</v>
      </c>
      <c r="N69" s="225">
        <v>0.83199999999999996</v>
      </c>
      <c r="O69" s="225">
        <v>0.61699999999999999</v>
      </c>
      <c r="P69" s="225">
        <v>0.48599999999999999</v>
      </c>
      <c r="Q69" s="225">
        <v>0.35499999999999998</v>
      </c>
      <c r="R69" s="225">
        <v>0.33600000000000002</v>
      </c>
      <c r="S69" s="225">
        <v>0.308</v>
      </c>
      <c r="T69" s="225">
        <v>0.29899999999999999</v>
      </c>
      <c r="U69" s="225">
        <v>0.24299999999999999</v>
      </c>
      <c r="V69" s="225">
        <v>0.39300000000000002</v>
      </c>
      <c r="W69" s="225">
        <v>0.44900000000000001</v>
      </c>
      <c r="X69" s="225">
        <v>0.48599999999999999</v>
      </c>
      <c r="Y69" s="225">
        <v>0.439</v>
      </c>
      <c r="Z69" s="225">
        <v>0.39300000000000002</v>
      </c>
      <c r="AA69" s="225">
        <v>0.36399999999999999</v>
      </c>
      <c r="AB69" s="225">
        <v>0.33600000000000002</v>
      </c>
      <c r="AC69" s="233">
        <v>0.20599999999999999</v>
      </c>
    </row>
    <row r="70" spans="1:29" ht="34.200000000000003" customHeight="1" x14ac:dyDescent="0.3">
      <c r="A70" s="773"/>
      <c r="B70" s="806"/>
      <c r="C70" s="787"/>
      <c r="D70" s="790"/>
      <c r="E70" s="224" t="s">
        <v>466</v>
      </c>
      <c r="F70" s="223">
        <v>0.217</v>
      </c>
      <c r="G70" s="223">
        <v>0.12</v>
      </c>
      <c r="H70" s="223">
        <v>0.108</v>
      </c>
      <c r="I70" s="223">
        <v>9.6000000000000002E-2</v>
      </c>
      <c r="J70" s="223">
        <v>0.18099999999999999</v>
      </c>
      <c r="K70" s="223">
        <v>0.27700000000000002</v>
      </c>
      <c r="L70" s="223">
        <v>0.313</v>
      </c>
      <c r="M70" s="223">
        <v>0.56599999999999995</v>
      </c>
      <c r="N70" s="223">
        <v>0.92800000000000005</v>
      </c>
      <c r="O70" s="223">
        <v>1</v>
      </c>
      <c r="P70" s="223">
        <v>0.89200000000000002</v>
      </c>
      <c r="Q70" s="223">
        <v>0.73499999999999999</v>
      </c>
      <c r="R70" s="223">
        <v>0.61399999999999999</v>
      </c>
      <c r="S70" s="223">
        <v>0.51800000000000002</v>
      </c>
      <c r="T70" s="223">
        <v>0.47</v>
      </c>
      <c r="U70" s="223">
        <v>0.47</v>
      </c>
      <c r="V70" s="223">
        <v>0.627</v>
      </c>
      <c r="W70" s="223">
        <v>0.69899999999999995</v>
      </c>
      <c r="X70" s="223">
        <v>0.67500000000000004</v>
      </c>
      <c r="Y70" s="223">
        <v>0.627</v>
      </c>
      <c r="Z70" s="223">
        <v>0.56599999999999995</v>
      </c>
      <c r="AA70" s="223">
        <v>0.53</v>
      </c>
      <c r="AB70" s="223">
        <v>0.48199999999999998</v>
      </c>
      <c r="AC70" s="228">
        <v>0.33700000000000002</v>
      </c>
    </row>
    <row r="71" spans="1:29" ht="34.200000000000003" customHeight="1" thickBot="1" x14ac:dyDescent="0.35">
      <c r="A71" s="816"/>
      <c r="B71" s="807"/>
      <c r="C71" s="788"/>
      <c r="D71" s="791"/>
      <c r="E71" s="236" t="s">
        <v>467</v>
      </c>
      <c r="F71" s="229">
        <v>0.217</v>
      </c>
      <c r="G71" s="229">
        <v>0.12</v>
      </c>
      <c r="H71" s="229">
        <v>0.108</v>
      </c>
      <c r="I71" s="229">
        <v>9.6000000000000002E-2</v>
      </c>
      <c r="J71" s="229">
        <v>0.18099999999999999</v>
      </c>
      <c r="K71" s="229">
        <v>0.27700000000000002</v>
      </c>
      <c r="L71" s="229">
        <v>0.313</v>
      </c>
      <c r="M71" s="229">
        <v>0.56599999999999995</v>
      </c>
      <c r="N71" s="229">
        <v>0.92800000000000005</v>
      </c>
      <c r="O71" s="229">
        <v>1</v>
      </c>
      <c r="P71" s="229">
        <v>0.89200000000000002</v>
      </c>
      <c r="Q71" s="229">
        <v>0.73499999999999999</v>
      </c>
      <c r="R71" s="229">
        <v>0.61399999999999999</v>
      </c>
      <c r="S71" s="229">
        <v>0.51800000000000002</v>
      </c>
      <c r="T71" s="229">
        <v>0.47</v>
      </c>
      <c r="U71" s="229">
        <v>0.47</v>
      </c>
      <c r="V71" s="229">
        <v>0.627</v>
      </c>
      <c r="W71" s="229">
        <v>0.69899999999999995</v>
      </c>
      <c r="X71" s="229">
        <v>0.67500000000000004</v>
      </c>
      <c r="Y71" s="229">
        <v>0.627</v>
      </c>
      <c r="Z71" s="229">
        <v>0.56599999999999995</v>
      </c>
      <c r="AA71" s="229">
        <v>0.53</v>
      </c>
      <c r="AB71" s="229">
        <v>0.48199999999999998</v>
      </c>
      <c r="AC71" s="230">
        <v>0.33700000000000002</v>
      </c>
    </row>
    <row r="72" spans="1:29" ht="34.200000000000003" customHeight="1" x14ac:dyDescent="0.3">
      <c r="A72" s="815" t="str">
        <f>A57</f>
        <v>Guest Rooms</v>
      </c>
      <c r="B72" s="808" t="s">
        <v>183</v>
      </c>
      <c r="C72" s="792" t="s">
        <v>340</v>
      </c>
      <c r="D72" s="789" t="s">
        <v>816</v>
      </c>
      <c r="E72" s="234" t="s">
        <v>465</v>
      </c>
      <c r="F72" s="226">
        <v>1</v>
      </c>
      <c r="G72" s="226">
        <v>1</v>
      </c>
      <c r="H72" s="226">
        <v>1</v>
      </c>
      <c r="I72" s="226">
        <v>1</v>
      </c>
      <c r="J72" s="226">
        <v>1</v>
      </c>
      <c r="K72" s="226">
        <v>1</v>
      </c>
      <c r="L72" s="226">
        <v>1</v>
      </c>
      <c r="M72" s="226">
        <v>1</v>
      </c>
      <c r="N72" s="226">
        <v>1</v>
      </c>
      <c r="O72" s="226">
        <v>1</v>
      </c>
      <c r="P72" s="226">
        <v>1</v>
      </c>
      <c r="Q72" s="226">
        <v>1</v>
      </c>
      <c r="R72" s="226">
        <v>1</v>
      </c>
      <c r="S72" s="226">
        <v>1</v>
      </c>
      <c r="T72" s="226">
        <v>1</v>
      </c>
      <c r="U72" s="226">
        <v>1</v>
      </c>
      <c r="V72" s="226">
        <v>1</v>
      </c>
      <c r="W72" s="226">
        <v>1</v>
      </c>
      <c r="X72" s="226">
        <v>1</v>
      </c>
      <c r="Y72" s="226">
        <v>1</v>
      </c>
      <c r="Z72" s="226">
        <v>1</v>
      </c>
      <c r="AA72" s="226">
        <v>1</v>
      </c>
      <c r="AB72" s="226">
        <v>1</v>
      </c>
      <c r="AC72" s="227">
        <v>1</v>
      </c>
    </row>
    <row r="73" spans="1:29" ht="34.200000000000003" customHeight="1" x14ac:dyDescent="0.3">
      <c r="A73" s="773"/>
      <c r="B73" s="806"/>
      <c r="C73" s="787"/>
      <c r="D73" s="790"/>
      <c r="E73" s="224" t="s">
        <v>466</v>
      </c>
      <c r="F73" s="223">
        <v>1</v>
      </c>
      <c r="G73" s="223">
        <v>1</v>
      </c>
      <c r="H73" s="223">
        <v>1</v>
      </c>
      <c r="I73" s="223">
        <v>1</v>
      </c>
      <c r="J73" s="223">
        <v>1</v>
      </c>
      <c r="K73" s="223">
        <v>1</v>
      </c>
      <c r="L73" s="223">
        <v>1</v>
      </c>
      <c r="M73" s="223">
        <v>1</v>
      </c>
      <c r="N73" s="223">
        <v>1</v>
      </c>
      <c r="O73" s="223">
        <v>1</v>
      </c>
      <c r="P73" s="223">
        <v>1</v>
      </c>
      <c r="Q73" s="223">
        <v>1</v>
      </c>
      <c r="R73" s="223">
        <v>1</v>
      </c>
      <c r="S73" s="223">
        <v>1</v>
      </c>
      <c r="T73" s="223">
        <v>1</v>
      </c>
      <c r="U73" s="223">
        <v>1</v>
      </c>
      <c r="V73" s="223">
        <v>1</v>
      </c>
      <c r="W73" s="223">
        <v>1</v>
      </c>
      <c r="X73" s="223">
        <v>1</v>
      </c>
      <c r="Y73" s="223">
        <v>1</v>
      </c>
      <c r="Z73" s="223">
        <v>1</v>
      </c>
      <c r="AA73" s="223">
        <v>1</v>
      </c>
      <c r="AB73" s="223">
        <v>1</v>
      </c>
      <c r="AC73" s="228">
        <v>1</v>
      </c>
    </row>
    <row r="74" spans="1:29" ht="34.200000000000003" customHeight="1" thickBot="1" x14ac:dyDescent="0.35">
      <c r="A74" s="785"/>
      <c r="B74" s="810"/>
      <c r="C74" s="793"/>
      <c r="D74" s="791"/>
      <c r="E74" s="235" t="s">
        <v>467</v>
      </c>
      <c r="F74" s="231">
        <v>1</v>
      </c>
      <c r="G74" s="231">
        <v>1</v>
      </c>
      <c r="H74" s="231">
        <v>1</v>
      </c>
      <c r="I74" s="231">
        <v>1</v>
      </c>
      <c r="J74" s="231">
        <v>1</v>
      </c>
      <c r="K74" s="231">
        <v>1</v>
      </c>
      <c r="L74" s="231">
        <v>1</v>
      </c>
      <c r="M74" s="231">
        <v>1</v>
      </c>
      <c r="N74" s="231">
        <v>1</v>
      </c>
      <c r="O74" s="231">
        <v>1</v>
      </c>
      <c r="P74" s="231">
        <v>1</v>
      </c>
      <c r="Q74" s="231">
        <v>1</v>
      </c>
      <c r="R74" s="231">
        <v>1</v>
      </c>
      <c r="S74" s="231">
        <v>1</v>
      </c>
      <c r="T74" s="231">
        <v>1</v>
      </c>
      <c r="U74" s="231">
        <v>1</v>
      </c>
      <c r="V74" s="231">
        <v>1</v>
      </c>
      <c r="W74" s="231">
        <v>1</v>
      </c>
      <c r="X74" s="231">
        <v>1</v>
      </c>
      <c r="Y74" s="231">
        <v>1</v>
      </c>
      <c r="Z74" s="231">
        <v>1</v>
      </c>
      <c r="AA74" s="231">
        <v>1</v>
      </c>
      <c r="AB74" s="231">
        <v>1</v>
      </c>
      <c r="AC74" s="232">
        <v>1</v>
      </c>
    </row>
    <row r="75" spans="1:29" ht="34.200000000000003" customHeight="1" x14ac:dyDescent="0.3">
      <c r="A75" s="827" t="str">
        <f>A57</f>
        <v>Guest Rooms</v>
      </c>
      <c r="B75" s="805" t="s">
        <v>183</v>
      </c>
      <c r="C75" s="794" t="s">
        <v>810</v>
      </c>
      <c r="D75" s="795" t="s">
        <v>811</v>
      </c>
      <c r="E75" s="320" t="s">
        <v>465</v>
      </c>
      <c r="F75" s="322">
        <f>IF((F66=1),Thermostat!$B$11,Thermostat!$B$12)</f>
        <v>70</v>
      </c>
      <c r="G75" s="322">
        <f>IF((G66=1),Thermostat!$B$11,Thermostat!$B$12)</f>
        <v>70</v>
      </c>
      <c r="H75" s="322">
        <f>IF((H66=1),Thermostat!$B$11,Thermostat!$B$12)</f>
        <v>70</v>
      </c>
      <c r="I75" s="322">
        <f>IF((I66=1),Thermostat!$B$11,Thermostat!$B$12)</f>
        <v>70</v>
      </c>
      <c r="J75" s="322">
        <f>IF((J66=1),Thermostat!$B$11,Thermostat!$B$12)</f>
        <v>70</v>
      </c>
      <c r="K75" s="322">
        <f>IF((K66=1),Thermostat!$B$11,Thermostat!$B$12)</f>
        <v>70</v>
      </c>
      <c r="L75" s="322">
        <f>IF((L66=1),Thermostat!$B$11,Thermostat!$B$12)</f>
        <v>70</v>
      </c>
      <c r="M75" s="322">
        <f>IF((M66=1),Thermostat!$B$11,Thermostat!$B$12)</f>
        <v>70</v>
      </c>
      <c r="N75" s="322">
        <f>IF((N66=1),Thermostat!$B$11,Thermostat!$B$12)</f>
        <v>70</v>
      </c>
      <c r="O75" s="322">
        <f>IF((O66=1),Thermostat!$B$11,Thermostat!$B$12)</f>
        <v>70</v>
      </c>
      <c r="P75" s="322">
        <f>IF((P66=1),Thermostat!$B$11,Thermostat!$B$12)</f>
        <v>70</v>
      </c>
      <c r="Q75" s="322">
        <f>IF((Q66=1),Thermostat!$B$11,Thermostat!$B$12)</f>
        <v>70</v>
      </c>
      <c r="R75" s="322">
        <f>IF((R66=1),Thermostat!$B$11,Thermostat!$B$12)</f>
        <v>70</v>
      </c>
      <c r="S75" s="322">
        <f>IF((S66=1),Thermostat!$B$11,Thermostat!$B$12)</f>
        <v>70</v>
      </c>
      <c r="T75" s="322">
        <f>IF((T66=1),Thermostat!$B$11,Thermostat!$B$12)</f>
        <v>70</v>
      </c>
      <c r="U75" s="322">
        <f>IF((U66=1),Thermostat!$B$11,Thermostat!$B$12)</f>
        <v>70</v>
      </c>
      <c r="V75" s="322">
        <f>IF((V66=1),Thermostat!$B$11,Thermostat!$B$12)</f>
        <v>70</v>
      </c>
      <c r="W75" s="322">
        <f>IF((W66=1),Thermostat!$B$11,Thermostat!$B$12)</f>
        <v>70</v>
      </c>
      <c r="X75" s="322">
        <f>IF((X66=1),Thermostat!$B$11,Thermostat!$B$12)</f>
        <v>70</v>
      </c>
      <c r="Y75" s="322">
        <f>IF((Y66=1),Thermostat!$B$11,Thermostat!$B$12)</f>
        <v>70</v>
      </c>
      <c r="Z75" s="322">
        <f>IF((Z66=1),Thermostat!$B$11,Thermostat!$B$12)</f>
        <v>70</v>
      </c>
      <c r="AA75" s="322">
        <f>IF((AA66=1),Thermostat!$B$11,Thermostat!$B$12)</f>
        <v>70</v>
      </c>
      <c r="AB75" s="322">
        <f>IF((AB66=1),Thermostat!$B$11,Thermostat!$B$12)</f>
        <v>70</v>
      </c>
      <c r="AC75" s="323">
        <f>IF((AC66=1),Thermostat!$B$11,Thermostat!$B$12)</f>
        <v>70</v>
      </c>
    </row>
    <row r="76" spans="1:29" ht="34.200000000000003" customHeight="1" x14ac:dyDescent="0.3">
      <c r="A76" s="828"/>
      <c r="B76" s="806"/>
      <c r="C76" s="779"/>
      <c r="D76" s="782"/>
      <c r="E76" s="283" t="s">
        <v>466</v>
      </c>
      <c r="F76" s="276">
        <f>IF((F67=1),Thermostat!$B$11,Thermostat!$B$12)</f>
        <v>70</v>
      </c>
      <c r="G76" s="276">
        <f>IF((G67=1),Thermostat!$B$11,Thermostat!$B$12)</f>
        <v>70</v>
      </c>
      <c r="H76" s="276">
        <f>IF((H67=1),Thermostat!$B$11,Thermostat!$B$12)</f>
        <v>70</v>
      </c>
      <c r="I76" s="276">
        <f>IF((I67=1),Thermostat!$B$11,Thermostat!$B$12)</f>
        <v>70</v>
      </c>
      <c r="J76" s="276">
        <f>IF((J67=1),Thermostat!$B$11,Thermostat!$B$12)</f>
        <v>70</v>
      </c>
      <c r="K76" s="276">
        <f>IF((K67=1),Thermostat!$B$11,Thermostat!$B$12)</f>
        <v>70</v>
      </c>
      <c r="L76" s="276">
        <f>IF((L67=1),Thermostat!$B$11,Thermostat!$B$12)</f>
        <v>70</v>
      </c>
      <c r="M76" s="276">
        <f>IF((M67=1),Thermostat!$B$11,Thermostat!$B$12)</f>
        <v>70</v>
      </c>
      <c r="N76" s="276">
        <f>IF((N67=1),Thermostat!$B$11,Thermostat!$B$12)</f>
        <v>70</v>
      </c>
      <c r="O76" s="276">
        <f>IF((O67=1),Thermostat!$B$11,Thermostat!$B$12)</f>
        <v>70</v>
      </c>
      <c r="P76" s="276">
        <f>IF((P67=1),Thermostat!$B$11,Thermostat!$B$12)</f>
        <v>70</v>
      </c>
      <c r="Q76" s="276">
        <f>IF((Q67=1),Thermostat!$B$11,Thermostat!$B$12)</f>
        <v>70</v>
      </c>
      <c r="R76" s="276">
        <f>IF((R67=1),Thermostat!$B$11,Thermostat!$B$12)</f>
        <v>70</v>
      </c>
      <c r="S76" s="276">
        <f>IF((S67=1),Thermostat!$B$11,Thermostat!$B$12)</f>
        <v>70</v>
      </c>
      <c r="T76" s="276">
        <f>IF((T67=1),Thermostat!$B$11,Thermostat!$B$12)</f>
        <v>70</v>
      </c>
      <c r="U76" s="276">
        <f>IF((U67=1),Thermostat!$B$11,Thermostat!$B$12)</f>
        <v>70</v>
      </c>
      <c r="V76" s="276">
        <f>IF((V67=1),Thermostat!$B$11,Thermostat!$B$12)</f>
        <v>70</v>
      </c>
      <c r="W76" s="276">
        <f>IF((W67=1),Thermostat!$B$11,Thermostat!$B$12)</f>
        <v>70</v>
      </c>
      <c r="X76" s="276">
        <f>IF((X67=1),Thermostat!$B$11,Thermostat!$B$12)</f>
        <v>70</v>
      </c>
      <c r="Y76" s="276">
        <f>IF((Y67=1),Thermostat!$B$11,Thermostat!$B$12)</f>
        <v>70</v>
      </c>
      <c r="Z76" s="276">
        <f>IF((Z67=1),Thermostat!$B$11,Thermostat!$B$12)</f>
        <v>70</v>
      </c>
      <c r="AA76" s="276">
        <f>IF((AA67=1),Thermostat!$B$11,Thermostat!$B$12)</f>
        <v>70</v>
      </c>
      <c r="AB76" s="276">
        <f>IF((AB67=1),Thermostat!$B$11,Thermostat!$B$12)</f>
        <v>70</v>
      </c>
      <c r="AC76" s="324">
        <f>IF((AC67=1),Thermostat!$B$11,Thermostat!$B$12)</f>
        <v>70</v>
      </c>
    </row>
    <row r="77" spans="1:29" ht="34.200000000000003" customHeight="1" thickBot="1" x14ac:dyDescent="0.35">
      <c r="A77" s="829"/>
      <c r="B77" s="807"/>
      <c r="C77" s="855"/>
      <c r="D77" s="856"/>
      <c r="E77" s="284" t="s">
        <v>467</v>
      </c>
      <c r="F77" s="277">
        <f>IF((F68=1),Thermostat!$B$11,Thermostat!$B$12)</f>
        <v>70</v>
      </c>
      <c r="G77" s="277">
        <f>IF((G68=1),Thermostat!$B$11,Thermostat!$B$12)</f>
        <v>70</v>
      </c>
      <c r="H77" s="277">
        <f>IF((H68=1),Thermostat!$B$11,Thermostat!$B$12)</f>
        <v>70</v>
      </c>
      <c r="I77" s="277">
        <f>IF((I68=1),Thermostat!$B$11,Thermostat!$B$12)</f>
        <v>70</v>
      </c>
      <c r="J77" s="277">
        <f>IF((J68=1),Thermostat!$B$11,Thermostat!$B$12)</f>
        <v>70</v>
      </c>
      <c r="K77" s="277">
        <f>IF((K68=1),Thermostat!$B$11,Thermostat!$B$12)</f>
        <v>70</v>
      </c>
      <c r="L77" s="277">
        <f>IF((L68=1),Thermostat!$B$11,Thermostat!$B$12)</f>
        <v>70</v>
      </c>
      <c r="M77" s="277">
        <f>IF((M68=1),Thermostat!$B$11,Thermostat!$B$12)</f>
        <v>70</v>
      </c>
      <c r="N77" s="277">
        <f>IF((N68=1),Thermostat!$B$11,Thermostat!$B$12)</f>
        <v>70</v>
      </c>
      <c r="O77" s="277">
        <f>IF((O68=1),Thermostat!$B$11,Thermostat!$B$12)</f>
        <v>70</v>
      </c>
      <c r="P77" s="277">
        <f>IF((P68=1),Thermostat!$B$11,Thermostat!$B$12)</f>
        <v>70</v>
      </c>
      <c r="Q77" s="277">
        <f>IF((Q68=1),Thermostat!$B$11,Thermostat!$B$12)</f>
        <v>70</v>
      </c>
      <c r="R77" s="277">
        <f>IF((R68=1),Thermostat!$B$11,Thermostat!$B$12)</f>
        <v>70</v>
      </c>
      <c r="S77" s="277">
        <f>IF((S68=1),Thermostat!$B$11,Thermostat!$B$12)</f>
        <v>70</v>
      </c>
      <c r="T77" s="277">
        <f>IF((T68=1),Thermostat!$B$11,Thermostat!$B$12)</f>
        <v>70</v>
      </c>
      <c r="U77" s="277">
        <f>IF((U68=1),Thermostat!$B$11,Thermostat!$B$12)</f>
        <v>70</v>
      </c>
      <c r="V77" s="277">
        <f>IF((V68=1),Thermostat!$B$11,Thermostat!$B$12)</f>
        <v>70</v>
      </c>
      <c r="W77" s="277">
        <f>IF((W68=1),Thermostat!$B$11,Thermostat!$B$12)</f>
        <v>70</v>
      </c>
      <c r="X77" s="277">
        <f>IF((X68=1),Thermostat!$B$11,Thermostat!$B$12)</f>
        <v>70</v>
      </c>
      <c r="Y77" s="277">
        <f>IF((Y68=1),Thermostat!$B$11,Thermostat!$B$12)</f>
        <v>70</v>
      </c>
      <c r="Z77" s="277">
        <f>IF((Z68=1),Thermostat!$B$11,Thermostat!$B$12)</f>
        <v>70</v>
      </c>
      <c r="AA77" s="277">
        <f>IF((AA68=1),Thermostat!$B$11,Thermostat!$B$12)</f>
        <v>70</v>
      </c>
      <c r="AB77" s="277">
        <f>IF((AB68=1),Thermostat!$B$11,Thermostat!$B$12)</f>
        <v>70</v>
      </c>
      <c r="AC77" s="328">
        <f>IF((AC68=1),Thermostat!$B$11,Thermostat!$B$12)</f>
        <v>70</v>
      </c>
    </row>
    <row r="78" spans="1:29" ht="34.200000000000003" customHeight="1" x14ac:dyDescent="0.3">
      <c r="A78" s="827" t="str">
        <f>A57</f>
        <v>Guest Rooms</v>
      </c>
      <c r="B78" s="808" t="s">
        <v>183</v>
      </c>
      <c r="C78" s="794" t="s">
        <v>812</v>
      </c>
      <c r="D78" s="795" t="s">
        <v>811</v>
      </c>
      <c r="E78" s="282" t="s">
        <v>465</v>
      </c>
      <c r="F78" s="292">
        <f>IF((F66=1),Thermostat!$B$13,Thermostat!$B$14)</f>
        <v>72</v>
      </c>
      <c r="G78" s="292">
        <f>IF((G66=1),Thermostat!$B$13,Thermostat!$B$14)</f>
        <v>72</v>
      </c>
      <c r="H78" s="292">
        <f>IF((H66=1),Thermostat!$B$13,Thermostat!$B$14)</f>
        <v>72</v>
      </c>
      <c r="I78" s="292">
        <f>IF((I66=1),Thermostat!$B$13,Thermostat!$B$14)</f>
        <v>72</v>
      </c>
      <c r="J78" s="292">
        <f>IF((J66=1),Thermostat!$B$13,Thermostat!$B$14)</f>
        <v>72</v>
      </c>
      <c r="K78" s="292">
        <f>IF((K66=1),Thermostat!$B$13,Thermostat!$B$14)</f>
        <v>72</v>
      </c>
      <c r="L78" s="292">
        <f>IF((L66=1),Thermostat!$B$13,Thermostat!$B$14)</f>
        <v>72</v>
      </c>
      <c r="M78" s="292">
        <f>IF((M66=1),Thermostat!$B$13,Thermostat!$B$14)</f>
        <v>72</v>
      </c>
      <c r="N78" s="292">
        <f>IF((N66=1),Thermostat!$B$13,Thermostat!$B$14)</f>
        <v>72</v>
      </c>
      <c r="O78" s="292">
        <f>IF((O66=1),Thermostat!$B$13,Thermostat!$B$14)</f>
        <v>72</v>
      </c>
      <c r="P78" s="292">
        <f>IF((P66=1),Thermostat!$B$13,Thermostat!$B$14)</f>
        <v>72</v>
      </c>
      <c r="Q78" s="292">
        <f>IF((Q66=1),Thermostat!$B$13,Thermostat!$B$14)</f>
        <v>72</v>
      </c>
      <c r="R78" s="292">
        <f>IF((R66=1),Thermostat!$B$13,Thermostat!$B$14)</f>
        <v>72</v>
      </c>
      <c r="S78" s="292">
        <f>IF((S66=1),Thermostat!$B$13,Thermostat!$B$14)</f>
        <v>72</v>
      </c>
      <c r="T78" s="292">
        <f>IF((T66=1),Thermostat!$B$13,Thermostat!$B$14)</f>
        <v>72</v>
      </c>
      <c r="U78" s="292">
        <f>IF((U66=1),Thermostat!$B$13,Thermostat!$B$14)</f>
        <v>72</v>
      </c>
      <c r="V78" s="292">
        <f>IF((V66=1),Thermostat!$B$13,Thermostat!$B$14)</f>
        <v>72</v>
      </c>
      <c r="W78" s="292">
        <f>IF((W66=1),Thermostat!$B$13,Thermostat!$B$14)</f>
        <v>72</v>
      </c>
      <c r="X78" s="292">
        <f>IF((X66=1),Thermostat!$B$13,Thermostat!$B$14)</f>
        <v>72</v>
      </c>
      <c r="Y78" s="292">
        <f>IF((Y66=1),Thermostat!$B$13,Thermostat!$B$14)</f>
        <v>72</v>
      </c>
      <c r="Z78" s="292">
        <f>IF((Z66=1),Thermostat!$B$13,Thermostat!$B$14)</f>
        <v>72</v>
      </c>
      <c r="AA78" s="292">
        <f>IF((AA66=1),Thermostat!$B$13,Thermostat!$B$14)</f>
        <v>72</v>
      </c>
      <c r="AB78" s="292">
        <f>IF((AB66=1),Thermostat!$B$13,Thermostat!$B$14)</f>
        <v>72</v>
      </c>
      <c r="AC78" s="327">
        <f>IF((AC66=1),Thermostat!$B$13,Thermostat!$B$14)</f>
        <v>72</v>
      </c>
    </row>
    <row r="79" spans="1:29" ht="34.200000000000003" customHeight="1" x14ac:dyDescent="0.3">
      <c r="A79" s="828"/>
      <c r="B79" s="806"/>
      <c r="C79" s="779"/>
      <c r="D79" s="782"/>
      <c r="E79" s="283" t="s">
        <v>466</v>
      </c>
      <c r="F79" s="276">
        <f>IF((F67=1),Thermostat!$B$13,Thermostat!$B$14)</f>
        <v>72</v>
      </c>
      <c r="G79" s="276">
        <f>IF((G67=1),Thermostat!$B$13,Thermostat!$B$14)</f>
        <v>72</v>
      </c>
      <c r="H79" s="276">
        <f>IF((H67=1),Thermostat!$B$13,Thermostat!$B$14)</f>
        <v>72</v>
      </c>
      <c r="I79" s="276">
        <f>IF((I67=1),Thermostat!$B$13,Thermostat!$B$14)</f>
        <v>72</v>
      </c>
      <c r="J79" s="276">
        <f>IF((J67=1),Thermostat!$B$13,Thermostat!$B$14)</f>
        <v>72</v>
      </c>
      <c r="K79" s="276">
        <f>IF((K67=1),Thermostat!$B$13,Thermostat!$B$14)</f>
        <v>72</v>
      </c>
      <c r="L79" s="276">
        <f>IF((L67=1),Thermostat!$B$13,Thermostat!$B$14)</f>
        <v>72</v>
      </c>
      <c r="M79" s="276">
        <f>IF((M67=1),Thermostat!$B$13,Thermostat!$B$14)</f>
        <v>72</v>
      </c>
      <c r="N79" s="276">
        <f>IF((N67=1),Thermostat!$B$13,Thermostat!$B$14)</f>
        <v>72</v>
      </c>
      <c r="O79" s="276">
        <f>IF((O67=1),Thermostat!$B$13,Thermostat!$B$14)</f>
        <v>72</v>
      </c>
      <c r="P79" s="276">
        <f>IF((P67=1),Thermostat!$B$13,Thermostat!$B$14)</f>
        <v>72</v>
      </c>
      <c r="Q79" s="276">
        <f>IF((Q67=1),Thermostat!$B$13,Thermostat!$B$14)</f>
        <v>72</v>
      </c>
      <c r="R79" s="276">
        <f>IF((R67=1),Thermostat!$B$13,Thermostat!$B$14)</f>
        <v>72</v>
      </c>
      <c r="S79" s="276">
        <f>IF((S67=1),Thermostat!$B$13,Thermostat!$B$14)</f>
        <v>72</v>
      </c>
      <c r="T79" s="276">
        <f>IF((T67=1),Thermostat!$B$13,Thermostat!$B$14)</f>
        <v>72</v>
      </c>
      <c r="U79" s="276">
        <f>IF((U67=1),Thermostat!$B$13,Thermostat!$B$14)</f>
        <v>72</v>
      </c>
      <c r="V79" s="276">
        <f>IF((V67=1),Thermostat!$B$13,Thermostat!$B$14)</f>
        <v>72</v>
      </c>
      <c r="W79" s="276">
        <f>IF((W67=1),Thermostat!$B$13,Thermostat!$B$14)</f>
        <v>72</v>
      </c>
      <c r="X79" s="276">
        <f>IF((X67=1),Thermostat!$B$13,Thermostat!$B$14)</f>
        <v>72</v>
      </c>
      <c r="Y79" s="276">
        <f>IF((Y67=1),Thermostat!$B$13,Thermostat!$B$14)</f>
        <v>72</v>
      </c>
      <c r="Z79" s="276">
        <f>IF((Z67=1),Thermostat!$B$13,Thermostat!$B$14)</f>
        <v>72</v>
      </c>
      <c r="AA79" s="276">
        <f>IF((AA67=1),Thermostat!$B$13,Thermostat!$B$14)</f>
        <v>72</v>
      </c>
      <c r="AB79" s="276">
        <f>IF((AB67=1),Thermostat!$B$13,Thermostat!$B$14)</f>
        <v>72</v>
      </c>
      <c r="AC79" s="324">
        <f>IF((AC67=1),Thermostat!$B$13,Thermostat!$B$14)</f>
        <v>72</v>
      </c>
    </row>
    <row r="80" spans="1:29" ht="34.200000000000003" customHeight="1" thickBot="1" x14ac:dyDescent="0.35">
      <c r="A80" s="830"/>
      <c r="B80" s="809"/>
      <c r="C80" s="780"/>
      <c r="D80" s="783"/>
      <c r="E80" s="321" t="s">
        <v>467</v>
      </c>
      <c r="F80" s="325">
        <f>IF((F68=1),Thermostat!$B$13,Thermostat!$B$14)</f>
        <v>72</v>
      </c>
      <c r="G80" s="325">
        <f>IF((G68=1),Thermostat!$B$13,Thermostat!$B$14)</f>
        <v>72</v>
      </c>
      <c r="H80" s="325">
        <f>IF((H68=1),Thermostat!$B$13,Thermostat!$B$14)</f>
        <v>72</v>
      </c>
      <c r="I80" s="325">
        <f>IF((I68=1),Thermostat!$B$13,Thermostat!$B$14)</f>
        <v>72</v>
      </c>
      <c r="J80" s="325">
        <f>IF((J68=1),Thermostat!$B$13,Thermostat!$B$14)</f>
        <v>72</v>
      </c>
      <c r="K80" s="325">
        <f>IF((K68=1),Thermostat!$B$13,Thermostat!$B$14)</f>
        <v>72</v>
      </c>
      <c r="L80" s="325">
        <f>IF((L68=1),Thermostat!$B$13,Thermostat!$B$14)</f>
        <v>72</v>
      </c>
      <c r="M80" s="325">
        <f>IF((M68=1),Thermostat!$B$13,Thermostat!$B$14)</f>
        <v>72</v>
      </c>
      <c r="N80" s="325">
        <f>IF((N68=1),Thermostat!$B$13,Thermostat!$B$14)</f>
        <v>72</v>
      </c>
      <c r="O80" s="325">
        <f>IF((O68=1),Thermostat!$B$13,Thermostat!$B$14)</f>
        <v>72</v>
      </c>
      <c r="P80" s="325">
        <f>IF((P68=1),Thermostat!$B$13,Thermostat!$B$14)</f>
        <v>72</v>
      </c>
      <c r="Q80" s="325">
        <f>IF((Q68=1),Thermostat!$B$13,Thermostat!$B$14)</f>
        <v>72</v>
      </c>
      <c r="R80" s="325">
        <f>IF((R68=1),Thermostat!$B$13,Thermostat!$B$14)</f>
        <v>72</v>
      </c>
      <c r="S80" s="325">
        <f>IF((S68=1),Thermostat!$B$13,Thermostat!$B$14)</f>
        <v>72</v>
      </c>
      <c r="T80" s="325">
        <f>IF((T68=1),Thermostat!$B$13,Thermostat!$B$14)</f>
        <v>72</v>
      </c>
      <c r="U80" s="325">
        <f>IF((U68=1),Thermostat!$B$13,Thermostat!$B$14)</f>
        <v>72</v>
      </c>
      <c r="V80" s="325">
        <f>IF((V68=1),Thermostat!$B$13,Thermostat!$B$14)</f>
        <v>72</v>
      </c>
      <c r="W80" s="325">
        <f>IF((W68=1),Thermostat!$B$13,Thermostat!$B$14)</f>
        <v>72</v>
      </c>
      <c r="X80" s="325">
        <f>IF((X68=1),Thermostat!$B$13,Thermostat!$B$14)</f>
        <v>72</v>
      </c>
      <c r="Y80" s="325">
        <f>IF((Y68=1),Thermostat!$B$13,Thermostat!$B$14)</f>
        <v>72</v>
      </c>
      <c r="Z80" s="325">
        <f>IF((Z68=1),Thermostat!$B$13,Thermostat!$B$14)</f>
        <v>72</v>
      </c>
      <c r="AA80" s="325">
        <f>IF((AA68=1),Thermostat!$B$13,Thermostat!$B$14)</f>
        <v>72</v>
      </c>
      <c r="AB80" s="325">
        <f>IF((AB68=1),Thermostat!$B$13,Thermostat!$B$14)</f>
        <v>72</v>
      </c>
      <c r="AC80" s="326">
        <f>IF((AC68=1),Thermostat!$B$13,Thermostat!$B$14)</f>
        <v>72</v>
      </c>
    </row>
    <row r="81" spans="1:29" ht="20.399999999999999" customHeight="1" thickBot="1" x14ac:dyDescent="0.35">
      <c r="A81" s="811" t="s">
        <v>169</v>
      </c>
      <c r="B81" s="811"/>
      <c r="C81" s="811" t="s">
        <v>818</v>
      </c>
      <c r="D81" s="811"/>
      <c r="E81" s="811"/>
      <c r="F81" s="811"/>
      <c r="G81" s="811"/>
      <c r="H81" s="811"/>
      <c r="I81" s="811"/>
      <c r="J81" s="811"/>
      <c r="K81" s="811"/>
      <c r="L81" s="811"/>
      <c r="M81" s="811"/>
      <c r="N81" s="811"/>
      <c r="O81" s="811"/>
      <c r="P81" s="811"/>
      <c r="Q81" s="811"/>
      <c r="R81" s="811"/>
      <c r="S81" s="811"/>
      <c r="T81" s="811"/>
      <c r="U81" s="811"/>
      <c r="V81" s="811"/>
      <c r="W81" s="811"/>
      <c r="X81" s="811"/>
      <c r="Y81" s="811"/>
      <c r="Z81" s="811"/>
      <c r="AA81" s="811"/>
      <c r="AB81" s="811"/>
      <c r="AC81" s="814"/>
    </row>
    <row r="82" spans="1:29" ht="34.200000000000003" customHeight="1" x14ac:dyDescent="0.3">
      <c r="A82" s="784" t="s">
        <v>169</v>
      </c>
      <c r="B82" s="775" t="s">
        <v>169</v>
      </c>
      <c r="C82" s="822" t="s">
        <v>804</v>
      </c>
      <c r="D82" s="789" t="s">
        <v>819</v>
      </c>
      <c r="E82" s="287" t="s">
        <v>465</v>
      </c>
      <c r="F82" s="301">
        <v>0</v>
      </c>
      <c r="G82" s="301">
        <v>0</v>
      </c>
      <c r="H82" s="301">
        <v>0</v>
      </c>
      <c r="I82" s="301">
        <v>0</v>
      </c>
      <c r="J82" s="301">
        <v>0</v>
      </c>
      <c r="K82" s="301">
        <v>0</v>
      </c>
      <c r="L82" s="301">
        <v>0.1</v>
      </c>
      <c r="M82" s="301">
        <v>0.2</v>
      </c>
      <c r="N82" s="301">
        <v>0.95</v>
      </c>
      <c r="O82" s="301">
        <v>0.95</v>
      </c>
      <c r="P82" s="301">
        <v>0.95</v>
      </c>
      <c r="Q82" s="301">
        <v>0.95</v>
      </c>
      <c r="R82" s="301">
        <v>0.5</v>
      </c>
      <c r="S82" s="301">
        <v>0.95</v>
      </c>
      <c r="T82" s="301">
        <v>0.95</v>
      </c>
      <c r="U82" s="301">
        <v>0.95</v>
      </c>
      <c r="V82" s="301">
        <v>0.95</v>
      </c>
      <c r="W82" s="301">
        <v>0.3</v>
      </c>
      <c r="X82" s="301">
        <v>0.1</v>
      </c>
      <c r="Y82" s="301">
        <v>0.1</v>
      </c>
      <c r="Z82" s="301">
        <v>0.1</v>
      </c>
      <c r="AA82" s="301">
        <v>0.1</v>
      </c>
      <c r="AB82" s="301">
        <v>0.05</v>
      </c>
      <c r="AC82" s="302">
        <v>0.05</v>
      </c>
    </row>
    <row r="83" spans="1:29" ht="34.200000000000003" customHeight="1" x14ac:dyDescent="0.3">
      <c r="A83" s="773"/>
      <c r="B83" s="776"/>
      <c r="C83" s="787"/>
      <c r="D83" s="790"/>
      <c r="E83" s="288" t="s">
        <v>466</v>
      </c>
      <c r="F83" s="303">
        <v>0</v>
      </c>
      <c r="G83" s="303">
        <v>0</v>
      </c>
      <c r="H83" s="303">
        <v>0</v>
      </c>
      <c r="I83" s="303">
        <v>0</v>
      </c>
      <c r="J83" s="303">
        <v>0</v>
      </c>
      <c r="K83" s="303">
        <v>0</v>
      </c>
      <c r="L83" s="318">
        <v>0.05</v>
      </c>
      <c r="M83" s="318">
        <v>0.05</v>
      </c>
      <c r="N83" s="318">
        <v>0.05</v>
      </c>
      <c r="O83" s="318">
        <v>0.05</v>
      </c>
      <c r="P83" s="318">
        <v>0.05</v>
      </c>
      <c r="Q83" s="318">
        <v>0.05</v>
      </c>
      <c r="R83" s="318">
        <v>0.05</v>
      </c>
      <c r="S83" s="318">
        <v>0.05</v>
      </c>
      <c r="T83" s="318">
        <v>0.05</v>
      </c>
      <c r="U83" s="318">
        <v>0.05</v>
      </c>
      <c r="V83" s="318">
        <v>0.05</v>
      </c>
      <c r="W83" s="318">
        <v>0.05</v>
      </c>
      <c r="X83" s="319">
        <v>0</v>
      </c>
      <c r="Y83" s="303">
        <v>0</v>
      </c>
      <c r="Z83" s="303">
        <v>0</v>
      </c>
      <c r="AA83" s="303">
        <v>0</v>
      </c>
      <c r="AB83" s="303">
        <v>0</v>
      </c>
      <c r="AC83" s="304">
        <v>0</v>
      </c>
    </row>
    <row r="84" spans="1:29" ht="34.200000000000003" customHeight="1" thickBot="1" x14ac:dyDescent="0.35">
      <c r="A84" s="785"/>
      <c r="B84" s="777"/>
      <c r="C84" s="793"/>
      <c r="D84" s="791"/>
      <c r="E84" s="305" t="s">
        <v>467</v>
      </c>
      <c r="F84" s="306">
        <v>0</v>
      </c>
      <c r="G84" s="306">
        <v>0</v>
      </c>
      <c r="H84" s="306">
        <v>0</v>
      </c>
      <c r="I84" s="306">
        <v>0</v>
      </c>
      <c r="J84" s="306">
        <v>0</v>
      </c>
      <c r="K84" s="306">
        <v>0</v>
      </c>
      <c r="L84" s="306">
        <v>0.05</v>
      </c>
      <c r="M84" s="306">
        <v>0.05</v>
      </c>
      <c r="N84" s="306">
        <v>0.05</v>
      </c>
      <c r="O84" s="306">
        <v>0.05</v>
      </c>
      <c r="P84" s="306">
        <v>0.05</v>
      </c>
      <c r="Q84" s="306">
        <v>0.05</v>
      </c>
      <c r="R84" s="306">
        <v>0.05</v>
      </c>
      <c r="S84" s="306">
        <v>0.05</v>
      </c>
      <c r="T84" s="306">
        <v>0.05</v>
      </c>
      <c r="U84" s="306">
        <v>0.05</v>
      </c>
      <c r="V84" s="306">
        <v>0.05</v>
      </c>
      <c r="W84" s="306">
        <v>0.05</v>
      </c>
      <c r="X84" s="306">
        <v>0</v>
      </c>
      <c r="Y84" s="306">
        <v>0</v>
      </c>
      <c r="Z84" s="306">
        <v>0</v>
      </c>
      <c r="AA84" s="306">
        <v>0</v>
      </c>
      <c r="AB84" s="306">
        <v>0</v>
      </c>
      <c r="AC84" s="307">
        <v>0</v>
      </c>
    </row>
    <row r="85" spans="1:29" ht="34.200000000000003" customHeight="1" x14ac:dyDescent="0.3">
      <c r="A85" s="784" t="s">
        <v>169</v>
      </c>
      <c r="B85" s="775" t="s">
        <v>169</v>
      </c>
      <c r="C85" s="792" t="s">
        <v>805</v>
      </c>
      <c r="D85" s="789" t="s">
        <v>819</v>
      </c>
      <c r="E85" s="234" t="s">
        <v>465</v>
      </c>
      <c r="F85" s="301">
        <v>0.05</v>
      </c>
      <c r="G85" s="301">
        <v>0.05</v>
      </c>
      <c r="H85" s="301">
        <v>0.05</v>
      </c>
      <c r="I85" s="301">
        <v>0.05</v>
      </c>
      <c r="J85" s="301">
        <v>0.05</v>
      </c>
      <c r="K85" s="301">
        <v>0.1</v>
      </c>
      <c r="L85" s="301">
        <v>0.1</v>
      </c>
      <c r="M85" s="301">
        <v>0.3</v>
      </c>
      <c r="N85" s="301">
        <v>0.65</v>
      </c>
      <c r="O85" s="301">
        <v>0.65</v>
      </c>
      <c r="P85" s="301">
        <v>0.65</v>
      </c>
      <c r="Q85" s="301">
        <v>0.65</v>
      </c>
      <c r="R85" s="301">
        <v>0.65</v>
      </c>
      <c r="S85" s="301">
        <v>0.65</v>
      </c>
      <c r="T85" s="301">
        <v>0.65</v>
      </c>
      <c r="U85" s="301">
        <v>0.65</v>
      </c>
      <c r="V85" s="301">
        <v>0.65</v>
      </c>
      <c r="W85" s="301">
        <v>0.35</v>
      </c>
      <c r="X85" s="301">
        <v>0.3</v>
      </c>
      <c r="Y85" s="301">
        <v>0.3</v>
      </c>
      <c r="Z85" s="301">
        <v>0.2</v>
      </c>
      <c r="AA85" s="301">
        <v>0.2</v>
      </c>
      <c r="AB85" s="301">
        <v>0.1</v>
      </c>
      <c r="AC85" s="302">
        <v>0.05</v>
      </c>
    </row>
    <row r="86" spans="1:29" ht="34.200000000000003" customHeight="1" x14ac:dyDescent="0.3">
      <c r="A86" s="773"/>
      <c r="B86" s="776"/>
      <c r="C86" s="787"/>
      <c r="D86" s="790"/>
      <c r="E86" s="224" t="s">
        <v>466</v>
      </c>
      <c r="F86" s="303">
        <v>0.05</v>
      </c>
      <c r="G86" s="303">
        <v>0.05</v>
      </c>
      <c r="H86" s="303">
        <v>0.05</v>
      </c>
      <c r="I86" s="303">
        <v>0.05</v>
      </c>
      <c r="J86" s="303">
        <v>0.05</v>
      </c>
      <c r="K86" s="303">
        <v>0.05</v>
      </c>
      <c r="L86" s="303">
        <v>0.1</v>
      </c>
      <c r="M86" s="303">
        <v>0.1</v>
      </c>
      <c r="N86" s="303">
        <v>0.3</v>
      </c>
      <c r="O86" s="303">
        <v>0.3</v>
      </c>
      <c r="P86" s="303">
        <v>0.3</v>
      </c>
      <c r="Q86" s="303">
        <v>0.3</v>
      </c>
      <c r="R86" s="303">
        <v>0.15</v>
      </c>
      <c r="S86" s="303">
        <v>0.15</v>
      </c>
      <c r="T86" s="303">
        <v>0.15</v>
      </c>
      <c r="U86" s="303">
        <v>0.15</v>
      </c>
      <c r="V86" s="303">
        <v>0.15</v>
      </c>
      <c r="W86" s="303">
        <v>0.05</v>
      </c>
      <c r="X86" s="303">
        <v>0.05</v>
      </c>
      <c r="Y86" s="303">
        <v>0.05</v>
      </c>
      <c r="Z86" s="303">
        <v>0.05</v>
      </c>
      <c r="AA86" s="303">
        <v>0.05</v>
      </c>
      <c r="AB86" s="303">
        <v>0.05</v>
      </c>
      <c r="AC86" s="304">
        <v>0.05</v>
      </c>
    </row>
    <row r="87" spans="1:29" ht="34.200000000000003" customHeight="1" thickBot="1" x14ac:dyDescent="0.35">
      <c r="A87" s="785"/>
      <c r="B87" s="777"/>
      <c r="C87" s="793"/>
      <c r="D87" s="791"/>
      <c r="E87" s="235" t="s">
        <v>467</v>
      </c>
      <c r="F87" s="314">
        <v>0.05</v>
      </c>
      <c r="G87" s="314">
        <v>0.05</v>
      </c>
      <c r="H87" s="314">
        <v>0.05</v>
      </c>
      <c r="I87" s="314">
        <v>0.05</v>
      </c>
      <c r="J87" s="314">
        <v>0.05</v>
      </c>
      <c r="K87" s="314">
        <v>0.05</v>
      </c>
      <c r="L87" s="314">
        <v>0.05</v>
      </c>
      <c r="M87" s="314">
        <v>0.05</v>
      </c>
      <c r="N87" s="314">
        <v>0.05</v>
      </c>
      <c r="O87" s="314">
        <v>0.05</v>
      </c>
      <c r="P87" s="314">
        <v>0.05</v>
      </c>
      <c r="Q87" s="314">
        <v>0.05</v>
      </c>
      <c r="R87" s="314">
        <v>0.05</v>
      </c>
      <c r="S87" s="314">
        <v>0.05</v>
      </c>
      <c r="T87" s="314">
        <v>0.05</v>
      </c>
      <c r="U87" s="314">
        <v>0.05</v>
      </c>
      <c r="V87" s="314">
        <v>0.05</v>
      </c>
      <c r="W87" s="314">
        <v>0.05</v>
      </c>
      <c r="X87" s="314">
        <v>0.05</v>
      </c>
      <c r="Y87" s="314">
        <v>0.05</v>
      </c>
      <c r="Z87" s="314">
        <v>0.05</v>
      </c>
      <c r="AA87" s="314">
        <v>0.05</v>
      </c>
      <c r="AB87" s="314">
        <v>0.05</v>
      </c>
      <c r="AC87" s="315">
        <v>0.05</v>
      </c>
    </row>
    <row r="88" spans="1:29" ht="34.200000000000003" customHeight="1" x14ac:dyDescent="0.3">
      <c r="A88" s="784" t="s">
        <v>169</v>
      </c>
      <c r="B88" s="775" t="s">
        <v>169</v>
      </c>
      <c r="C88" s="792" t="s">
        <v>817</v>
      </c>
      <c r="D88" s="796" t="s">
        <v>578</v>
      </c>
      <c r="E88" s="234" t="s">
        <v>465</v>
      </c>
      <c r="F88" s="308">
        <v>0.45</v>
      </c>
      <c r="G88" s="308">
        <v>0.45</v>
      </c>
      <c r="H88" s="308">
        <v>0.45</v>
      </c>
      <c r="I88" s="308">
        <v>0.45</v>
      </c>
      <c r="J88" s="308">
        <v>0.45</v>
      </c>
      <c r="K88" s="308">
        <v>0.45</v>
      </c>
      <c r="L88" s="308">
        <v>0.45</v>
      </c>
      <c r="M88" s="308">
        <v>0.74</v>
      </c>
      <c r="N88" s="308">
        <v>0.87</v>
      </c>
      <c r="O88" s="308">
        <v>0.9</v>
      </c>
      <c r="P88" s="308">
        <v>0.9</v>
      </c>
      <c r="Q88" s="308">
        <v>0.9</v>
      </c>
      <c r="R88" s="308">
        <v>0.9</v>
      </c>
      <c r="S88" s="308">
        <v>0.9</v>
      </c>
      <c r="T88" s="308">
        <v>0.9</v>
      </c>
      <c r="U88" s="308">
        <v>0.9</v>
      </c>
      <c r="V88" s="308">
        <v>0.9</v>
      </c>
      <c r="W88" s="308">
        <v>0.7</v>
      </c>
      <c r="X88" s="308">
        <v>0.5</v>
      </c>
      <c r="Y88" s="308">
        <v>0.5</v>
      </c>
      <c r="Z88" s="308">
        <v>0.5</v>
      </c>
      <c r="AA88" s="308">
        <v>0.45</v>
      </c>
      <c r="AB88" s="308">
        <v>0.45</v>
      </c>
      <c r="AC88" s="309">
        <v>0.45</v>
      </c>
    </row>
    <row r="89" spans="1:29" ht="34.200000000000003" customHeight="1" x14ac:dyDescent="0.3">
      <c r="A89" s="773"/>
      <c r="B89" s="776"/>
      <c r="C89" s="787"/>
      <c r="D89" s="797"/>
      <c r="E89" s="224" t="s">
        <v>466</v>
      </c>
      <c r="F89" s="310">
        <v>0.43</v>
      </c>
      <c r="G89" s="310">
        <v>0.43</v>
      </c>
      <c r="H89" s="310">
        <v>0.43</v>
      </c>
      <c r="I89" s="310">
        <v>0.43</v>
      </c>
      <c r="J89" s="310">
        <v>0.43</v>
      </c>
      <c r="K89" s="310">
        <v>0.43</v>
      </c>
      <c r="L89" s="310">
        <v>0.43</v>
      </c>
      <c r="M89" s="310">
        <v>0.43</v>
      </c>
      <c r="N89" s="310">
        <v>0.43</v>
      </c>
      <c r="O89" s="310">
        <v>0.43</v>
      </c>
      <c r="P89" s="310">
        <v>0.43</v>
      </c>
      <c r="Q89" s="310">
        <v>0.43</v>
      </c>
      <c r="R89" s="310">
        <v>0.43</v>
      </c>
      <c r="S89" s="310">
        <v>0.43</v>
      </c>
      <c r="T89" s="310">
        <v>0.43</v>
      </c>
      <c r="U89" s="310">
        <v>0.43</v>
      </c>
      <c r="V89" s="310">
        <v>0.43</v>
      </c>
      <c r="W89" s="310">
        <v>0.43</v>
      </c>
      <c r="X89" s="310">
        <v>0.43</v>
      </c>
      <c r="Y89" s="310">
        <v>0.43</v>
      </c>
      <c r="Z89" s="310">
        <v>0.43</v>
      </c>
      <c r="AA89" s="310">
        <v>0.43</v>
      </c>
      <c r="AB89" s="310">
        <v>0.43</v>
      </c>
      <c r="AC89" s="311">
        <v>0.43</v>
      </c>
    </row>
    <row r="90" spans="1:29" ht="34.200000000000003" customHeight="1" thickBot="1" x14ac:dyDescent="0.35">
      <c r="A90" s="785"/>
      <c r="B90" s="777"/>
      <c r="C90" s="788"/>
      <c r="D90" s="798"/>
      <c r="E90" s="236" t="s">
        <v>467</v>
      </c>
      <c r="F90" s="312">
        <v>0.43</v>
      </c>
      <c r="G90" s="312">
        <v>0.43</v>
      </c>
      <c r="H90" s="312">
        <v>0.43</v>
      </c>
      <c r="I90" s="312">
        <v>0.43</v>
      </c>
      <c r="J90" s="312">
        <v>0.43</v>
      </c>
      <c r="K90" s="312">
        <v>0.43</v>
      </c>
      <c r="L90" s="312">
        <v>0.43</v>
      </c>
      <c r="M90" s="312">
        <v>0.43</v>
      </c>
      <c r="N90" s="312">
        <v>0.43</v>
      </c>
      <c r="O90" s="312">
        <v>0.43</v>
      </c>
      <c r="P90" s="312">
        <v>0.43</v>
      </c>
      <c r="Q90" s="312">
        <v>0.43</v>
      </c>
      <c r="R90" s="312">
        <v>0.43</v>
      </c>
      <c r="S90" s="312">
        <v>0.43</v>
      </c>
      <c r="T90" s="312">
        <v>0.43</v>
      </c>
      <c r="U90" s="312">
        <v>0.43</v>
      </c>
      <c r="V90" s="312">
        <v>0.43</v>
      </c>
      <c r="W90" s="312">
        <v>0.43</v>
      </c>
      <c r="X90" s="312">
        <v>0.43</v>
      </c>
      <c r="Y90" s="312">
        <v>0.43</v>
      </c>
      <c r="Z90" s="312">
        <v>0.43</v>
      </c>
      <c r="AA90" s="312">
        <v>0.43</v>
      </c>
      <c r="AB90" s="312">
        <v>0.43</v>
      </c>
      <c r="AC90" s="313">
        <v>0.43</v>
      </c>
    </row>
    <row r="91" spans="1:29" ht="23.4" customHeight="1" x14ac:dyDescent="0.3">
      <c r="A91" s="784" t="s">
        <v>169</v>
      </c>
      <c r="B91" s="775" t="s">
        <v>169</v>
      </c>
      <c r="C91" s="786" t="s">
        <v>807</v>
      </c>
      <c r="D91" s="789" t="s">
        <v>819</v>
      </c>
      <c r="E91" s="237" t="s">
        <v>465</v>
      </c>
      <c r="F91" s="316">
        <v>0</v>
      </c>
      <c r="G91" s="316">
        <v>0</v>
      </c>
      <c r="H91" s="316">
        <v>0</v>
      </c>
      <c r="I91" s="316">
        <v>0</v>
      </c>
      <c r="J91" s="316">
        <v>0</v>
      </c>
      <c r="K91" s="316">
        <v>1</v>
      </c>
      <c r="L91" s="316">
        <v>1</v>
      </c>
      <c r="M91" s="316">
        <v>1</v>
      </c>
      <c r="N91" s="316">
        <v>1</v>
      </c>
      <c r="O91" s="316">
        <v>1</v>
      </c>
      <c r="P91" s="316">
        <v>1</v>
      </c>
      <c r="Q91" s="316">
        <v>1</v>
      </c>
      <c r="R91" s="316">
        <v>1</v>
      </c>
      <c r="S91" s="316">
        <v>1</v>
      </c>
      <c r="T91" s="316">
        <v>1</v>
      </c>
      <c r="U91" s="316">
        <v>1</v>
      </c>
      <c r="V91" s="316">
        <v>1</v>
      </c>
      <c r="W91" s="316">
        <v>1</v>
      </c>
      <c r="X91" s="316">
        <v>1</v>
      </c>
      <c r="Y91" s="316">
        <v>1</v>
      </c>
      <c r="Z91" s="316">
        <v>1</v>
      </c>
      <c r="AA91" s="316">
        <v>1</v>
      </c>
      <c r="AB91" s="316">
        <v>1</v>
      </c>
      <c r="AC91" s="317">
        <v>1</v>
      </c>
    </row>
    <row r="92" spans="1:29" ht="34.200000000000003" customHeight="1" x14ac:dyDescent="0.3">
      <c r="A92" s="773"/>
      <c r="B92" s="776"/>
      <c r="C92" s="787"/>
      <c r="D92" s="790"/>
      <c r="E92" s="224" t="s">
        <v>466</v>
      </c>
      <c r="F92" s="303">
        <v>0</v>
      </c>
      <c r="G92" s="303">
        <v>0</v>
      </c>
      <c r="H92" s="303">
        <v>0</v>
      </c>
      <c r="I92" s="303">
        <v>0</v>
      </c>
      <c r="J92" s="303">
        <v>0</v>
      </c>
      <c r="K92" s="303">
        <v>1</v>
      </c>
      <c r="L92" s="303">
        <v>1</v>
      </c>
      <c r="M92" s="303">
        <v>1</v>
      </c>
      <c r="N92" s="303">
        <v>1</v>
      </c>
      <c r="O92" s="303">
        <v>1</v>
      </c>
      <c r="P92" s="303">
        <v>1</v>
      </c>
      <c r="Q92" s="303">
        <v>1</v>
      </c>
      <c r="R92" s="303">
        <v>1</v>
      </c>
      <c r="S92" s="303">
        <v>1</v>
      </c>
      <c r="T92" s="303">
        <v>1</v>
      </c>
      <c r="U92" s="303">
        <v>1</v>
      </c>
      <c r="V92" s="303">
        <v>1</v>
      </c>
      <c r="W92" s="303">
        <v>1</v>
      </c>
      <c r="X92" s="303">
        <v>1</v>
      </c>
      <c r="Y92" s="303">
        <v>0</v>
      </c>
      <c r="Z92" s="303">
        <v>0</v>
      </c>
      <c r="AA92" s="303">
        <v>0</v>
      </c>
      <c r="AB92" s="303">
        <v>0</v>
      </c>
      <c r="AC92" s="304">
        <v>0</v>
      </c>
    </row>
    <row r="93" spans="1:29" ht="34.200000000000003" customHeight="1" thickBot="1" x14ac:dyDescent="0.35">
      <c r="A93" s="785"/>
      <c r="B93" s="777"/>
      <c r="C93" s="788"/>
      <c r="D93" s="791"/>
      <c r="E93" s="236" t="s">
        <v>467</v>
      </c>
      <c r="F93" s="314">
        <v>0</v>
      </c>
      <c r="G93" s="314">
        <v>0</v>
      </c>
      <c r="H93" s="314">
        <v>0</v>
      </c>
      <c r="I93" s="314">
        <v>0</v>
      </c>
      <c r="J93" s="314">
        <v>0</v>
      </c>
      <c r="K93" s="314">
        <v>0</v>
      </c>
      <c r="L93" s="314">
        <v>0</v>
      </c>
      <c r="M93" s="314">
        <v>0</v>
      </c>
      <c r="N93" s="314">
        <v>0</v>
      </c>
      <c r="O93" s="314">
        <v>0</v>
      </c>
      <c r="P93" s="314">
        <v>0</v>
      </c>
      <c r="Q93" s="314">
        <v>0</v>
      </c>
      <c r="R93" s="314">
        <v>0</v>
      </c>
      <c r="S93" s="314">
        <v>0</v>
      </c>
      <c r="T93" s="314">
        <v>0</v>
      </c>
      <c r="U93" s="314">
        <v>0</v>
      </c>
      <c r="V93" s="314">
        <v>0</v>
      </c>
      <c r="W93" s="314">
        <v>0</v>
      </c>
      <c r="X93" s="314">
        <v>0</v>
      </c>
      <c r="Y93" s="314">
        <v>0</v>
      </c>
      <c r="Z93" s="314">
        <v>0</v>
      </c>
      <c r="AA93" s="314">
        <v>0</v>
      </c>
      <c r="AB93" s="314">
        <v>0</v>
      </c>
      <c r="AC93" s="315">
        <v>0</v>
      </c>
    </row>
    <row r="94" spans="1:29" ht="34.200000000000003" customHeight="1" x14ac:dyDescent="0.3">
      <c r="A94" s="784" t="s">
        <v>169</v>
      </c>
      <c r="B94" s="775" t="s">
        <v>169</v>
      </c>
      <c r="C94" s="786" t="s">
        <v>808</v>
      </c>
      <c r="D94" s="789" t="s">
        <v>819</v>
      </c>
      <c r="E94" s="237" t="s">
        <v>465</v>
      </c>
      <c r="F94" s="225">
        <v>0.05</v>
      </c>
      <c r="G94" s="225">
        <v>0.05</v>
      </c>
      <c r="H94" s="225">
        <v>0.05</v>
      </c>
      <c r="I94" s="225">
        <v>0.05</v>
      </c>
      <c r="J94" s="225">
        <v>0.05</v>
      </c>
      <c r="K94" s="225">
        <v>0.08</v>
      </c>
      <c r="L94" s="225">
        <v>7.0000000000000007E-2</v>
      </c>
      <c r="M94" s="225">
        <v>0.19</v>
      </c>
      <c r="N94" s="225">
        <v>0.35</v>
      </c>
      <c r="O94" s="225">
        <v>0.38</v>
      </c>
      <c r="P94" s="225">
        <v>0.39</v>
      </c>
      <c r="Q94" s="225">
        <v>0.47</v>
      </c>
      <c r="R94" s="225">
        <v>0.56999999999999995</v>
      </c>
      <c r="S94" s="225">
        <v>0.54</v>
      </c>
      <c r="T94" s="225">
        <v>0.34</v>
      </c>
      <c r="U94" s="225">
        <v>0.33</v>
      </c>
      <c r="V94" s="225">
        <v>0.44</v>
      </c>
      <c r="W94" s="225">
        <v>0.26</v>
      </c>
      <c r="X94" s="225">
        <v>0.21</v>
      </c>
      <c r="Y94" s="225">
        <v>0.15</v>
      </c>
      <c r="Z94" s="225">
        <v>0.17</v>
      </c>
      <c r="AA94" s="225">
        <v>0.08</v>
      </c>
      <c r="AB94" s="225">
        <v>0.05</v>
      </c>
      <c r="AC94" s="233">
        <v>0.05</v>
      </c>
    </row>
    <row r="95" spans="1:29" ht="34.200000000000003" customHeight="1" x14ac:dyDescent="0.3">
      <c r="A95" s="773"/>
      <c r="B95" s="776"/>
      <c r="C95" s="787"/>
      <c r="D95" s="790"/>
      <c r="E95" s="224" t="s">
        <v>466</v>
      </c>
      <c r="F95" s="223">
        <v>0.05</v>
      </c>
      <c r="G95" s="223">
        <v>0.05</v>
      </c>
      <c r="H95" s="223">
        <v>0.05</v>
      </c>
      <c r="I95" s="223">
        <v>0.05</v>
      </c>
      <c r="J95" s="223">
        <v>0.05</v>
      </c>
      <c r="K95" s="223">
        <v>0.08</v>
      </c>
      <c r="L95" s="223">
        <v>7.0000000000000007E-2</v>
      </c>
      <c r="M95" s="223">
        <v>0.11</v>
      </c>
      <c r="N95" s="223">
        <v>0.15</v>
      </c>
      <c r="O95" s="223">
        <v>0.21</v>
      </c>
      <c r="P95" s="223">
        <v>0.19</v>
      </c>
      <c r="Q95" s="223">
        <v>0.23</v>
      </c>
      <c r="R95" s="223">
        <v>0.2</v>
      </c>
      <c r="S95" s="223">
        <v>0.19</v>
      </c>
      <c r="T95" s="223">
        <v>0.15</v>
      </c>
      <c r="U95" s="223">
        <v>0.12</v>
      </c>
      <c r="V95" s="223">
        <v>0.14000000000000001</v>
      </c>
      <c r="W95" s="223">
        <v>7.0000000000000007E-2</v>
      </c>
      <c r="X95" s="223">
        <v>7.0000000000000007E-2</v>
      </c>
      <c r="Y95" s="223">
        <v>7.0000000000000007E-2</v>
      </c>
      <c r="Z95" s="223">
        <v>7.0000000000000007E-2</v>
      </c>
      <c r="AA95" s="223">
        <v>0.09</v>
      </c>
      <c r="AB95" s="223">
        <v>0.05</v>
      </c>
      <c r="AC95" s="228">
        <v>0.05</v>
      </c>
    </row>
    <row r="96" spans="1:29" ht="34.200000000000003" customHeight="1" thickBot="1" x14ac:dyDescent="0.35">
      <c r="A96" s="785"/>
      <c r="B96" s="777"/>
      <c r="C96" s="788"/>
      <c r="D96" s="791"/>
      <c r="E96" s="236" t="s">
        <v>467</v>
      </c>
      <c r="F96" s="229">
        <v>0.04</v>
      </c>
      <c r="G96" s="229">
        <v>0.04</v>
      </c>
      <c r="H96" s="229">
        <v>0.04</v>
      </c>
      <c r="I96" s="229">
        <v>0.04</v>
      </c>
      <c r="J96" s="229">
        <v>0.04</v>
      </c>
      <c r="K96" s="229">
        <v>7.0000000000000007E-2</v>
      </c>
      <c r="L96" s="229">
        <v>0.04</v>
      </c>
      <c r="M96" s="229">
        <v>0.04</v>
      </c>
      <c r="N96" s="229">
        <v>0.04</v>
      </c>
      <c r="O96" s="229">
        <v>0.04</v>
      </c>
      <c r="P96" s="229">
        <v>0.04</v>
      </c>
      <c r="Q96" s="229">
        <v>0.06</v>
      </c>
      <c r="R96" s="229">
        <v>0.06</v>
      </c>
      <c r="S96" s="229">
        <v>0.09</v>
      </c>
      <c r="T96" s="229">
        <v>0.06</v>
      </c>
      <c r="U96" s="229">
        <v>0.04</v>
      </c>
      <c r="V96" s="229">
        <v>0.04</v>
      </c>
      <c r="W96" s="229">
        <v>0.04</v>
      </c>
      <c r="X96" s="229">
        <v>0.04</v>
      </c>
      <c r="Y96" s="229">
        <v>0.04</v>
      </c>
      <c r="Z96" s="229">
        <v>0.04</v>
      </c>
      <c r="AA96" s="229">
        <v>7.0000000000000007E-2</v>
      </c>
      <c r="AB96" s="229">
        <v>0.04</v>
      </c>
      <c r="AC96" s="230">
        <v>0.04</v>
      </c>
    </row>
    <row r="97" spans="1:30" ht="34.200000000000003" customHeight="1" x14ac:dyDescent="0.3">
      <c r="A97" s="784" t="s">
        <v>169</v>
      </c>
      <c r="B97" s="775" t="s">
        <v>169</v>
      </c>
      <c r="C97" s="792" t="s">
        <v>340</v>
      </c>
      <c r="D97" s="789" t="s">
        <v>819</v>
      </c>
      <c r="E97" s="234" t="s">
        <v>465</v>
      </c>
      <c r="F97" s="316">
        <v>1</v>
      </c>
      <c r="G97" s="316">
        <v>1</v>
      </c>
      <c r="H97" s="316">
        <v>1</v>
      </c>
      <c r="I97" s="316">
        <v>1</v>
      </c>
      <c r="J97" s="316">
        <v>1</v>
      </c>
      <c r="K97" s="316">
        <v>0.25</v>
      </c>
      <c r="L97" s="316">
        <v>0.25</v>
      </c>
      <c r="M97" s="316">
        <v>0.25</v>
      </c>
      <c r="N97" s="316">
        <v>0.25</v>
      </c>
      <c r="O97" s="316">
        <v>0.25</v>
      </c>
      <c r="P97" s="316">
        <v>0.25</v>
      </c>
      <c r="Q97" s="316">
        <v>0.25</v>
      </c>
      <c r="R97" s="316">
        <v>0.25</v>
      </c>
      <c r="S97" s="316">
        <v>0.25</v>
      </c>
      <c r="T97" s="316">
        <v>0.25</v>
      </c>
      <c r="U97" s="316">
        <v>0.25</v>
      </c>
      <c r="V97" s="316">
        <v>0.25</v>
      </c>
      <c r="W97" s="316">
        <v>0.25</v>
      </c>
      <c r="X97" s="316">
        <v>0.25</v>
      </c>
      <c r="Y97" s="316">
        <v>0.25</v>
      </c>
      <c r="Z97" s="316">
        <v>0.25</v>
      </c>
      <c r="AA97" s="316">
        <v>0.25</v>
      </c>
      <c r="AB97" s="316">
        <v>0.25</v>
      </c>
      <c r="AC97" s="317">
        <v>0.25</v>
      </c>
    </row>
    <row r="98" spans="1:30" ht="34.200000000000003" customHeight="1" x14ac:dyDescent="0.3">
      <c r="A98" s="773"/>
      <c r="B98" s="776"/>
      <c r="C98" s="787"/>
      <c r="D98" s="790"/>
      <c r="E98" s="224" t="s">
        <v>466</v>
      </c>
      <c r="F98" s="303">
        <v>1</v>
      </c>
      <c r="G98" s="303">
        <v>1</v>
      </c>
      <c r="H98" s="303">
        <v>1</v>
      </c>
      <c r="I98" s="303">
        <v>1</v>
      </c>
      <c r="J98" s="303">
        <v>1</v>
      </c>
      <c r="K98" s="303">
        <v>0.25</v>
      </c>
      <c r="L98" s="303">
        <v>0.25</v>
      </c>
      <c r="M98" s="303">
        <v>0.25</v>
      </c>
      <c r="N98" s="303">
        <v>0.25</v>
      </c>
      <c r="O98" s="303">
        <v>0.25</v>
      </c>
      <c r="P98" s="303">
        <v>0.25</v>
      </c>
      <c r="Q98" s="303">
        <v>0.25</v>
      </c>
      <c r="R98" s="303">
        <v>0.25</v>
      </c>
      <c r="S98" s="303">
        <v>0.25</v>
      </c>
      <c r="T98" s="303">
        <v>0.25</v>
      </c>
      <c r="U98" s="303">
        <v>0.25</v>
      </c>
      <c r="V98" s="303">
        <v>0.25</v>
      </c>
      <c r="W98" s="303">
        <v>0.25</v>
      </c>
      <c r="X98" s="303">
        <v>0.25</v>
      </c>
      <c r="Y98" s="303">
        <v>1</v>
      </c>
      <c r="Z98" s="303">
        <v>1</v>
      </c>
      <c r="AA98" s="303">
        <v>1</v>
      </c>
      <c r="AB98" s="303">
        <v>1</v>
      </c>
      <c r="AC98" s="304">
        <v>1</v>
      </c>
    </row>
    <row r="99" spans="1:30" ht="34.200000000000003" customHeight="1" thickBot="1" x14ac:dyDescent="0.35">
      <c r="A99" s="785"/>
      <c r="B99" s="777"/>
      <c r="C99" s="793"/>
      <c r="D99" s="791"/>
      <c r="E99" s="235" t="s">
        <v>467</v>
      </c>
      <c r="F99" s="306">
        <v>1</v>
      </c>
      <c r="G99" s="306">
        <v>1</v>
      </c>
      <c r="H99" s="306">
        <v>1</v>
      </c>
      <c r="I99" s="306">
        <v>1</v>
      </c>
      <c r="J99" s="306">
        <v>1</v>
      </c>
      <c r="K99" s="306">
        <v>1</v>
      </c>
      <c r="L99" s="306">
        <v>1</v>
      </c>
      <c r="M99" s="306">
        <v>1</v>
      </c>
      <c r="N99" s="306">
        <v>1</v>
      </c>
      <c r="O99" s="306">
        <v>1</v>
      </c>
      <c r="P99" s="306">
        <v>1</v>
      </c>
      <c r="Q99" s="306">
        <v>1</v>
      </c>
      <c r="R99" s="306">
        <v>1</v>
      </c>
      <c r="S99" s="306">
        <v>1</v>
      </c>
      <c r="T99" s="306">
        <v>1</v>
      </c>
      <c r="U99" s="306">
        <v>1</v>
      </c>
      <c r="V99" s="306">
        <v>1</v>
      </c>
      <c r="W99" s="306">
        <v>1</v>
      </c>
      <c r="X99" s="306">
        <v>1</v>
      </c>
      <c r="Y99" s="306">
        <v>1</v>
      </c>
      <c r="Z99" s="306">
        <v>1</v>
      </c>
      <c r="AA99" s="306">
        <v>1</v>
      </c>
      <c r="AB99" s="306">
        <v>1</v>
      </c>
      <c r="AC99" s="307">
        <v>1</v>
      </c>
    </row>
    <row r="100" spans="1:30" ht="34.200000000000003" customHeight="1" x14ac:dyDescent="0.3">
      <c r="A100" s="784" t="s">
        <v>169</v>
      </c>
      <c r="B100" s="775" t="s">
        <v>169</v>
      </c>
      <c r="C100" s="794" t="s">
        <v>810</v>
      </c>
      <c r="D100" s="795" t="s">
        <v>811</v>
      </c>
      <c r="E100" s="320" t="s">
        <v>465</v>
      </c>
      <c r="F100" s="322">
        <f>IF((F91=1),Thermostat!$B$3,Thermostat!$B$4)</f>
        <v>60</v>
      </c>
      <c r="G100" s="322">
        <f>IF((G91=1),Thermostat!$B$3,Thermostat!$B$4)</f>
        <v>60</v>
      </c>
      <c r="H100" s="322">
        <f>IF((H91=1),Thermostat!$B$3,Thermostat!$B$4)</f>
        <v>60</v>
      </c>
      <c r="I100" s="322">
        <f>IF((I91=1),Thermostat!$B$3,Thermostat!$B$4)</f>
        <v>60</v>
      </c>
      <c r="J100" s="322">
        <f>IF((J91=1),Thermostat!$B$3,Thermostat!$B$4)</f>
        <v>60</v>
      </c>
      <c r="K100" s="322">
        <f>IF((K91=1),Thermostat!$B$3,Thermostat!$B$4)</f>
        <v>70</v>
      </c>
      <c r="L100" s="322">
        <f>IF((L91=1),Thermostat!$B$3,Thermostat!$B$4)</f>
        <v>70</v>
      </c>
      <c r="M100" s="322">
        <f>IF((M91=1),Thermostat!$B$3,Thermostat!$B$4)</f>
        <v>70</v>
      </c>
      <c r="N100" s="322">
        <f>IF((N91=1),Thermostat!$B$3,Thermostat!$B$4)</f>
        <v>70</v>
      </c>
      <c r="O100" s="322">
        <f>IF((O91=1),Thermostat!$B$3,Thermostat!$B$4)</f>
        <v>70</v>
      </c>
      <c r="P100" s="322">
        <f>IF((P91=1),Thermostat!$B$3,Thermostat!$B$4)</f>
        <v>70</v>
      </c>
      <c r="Q100" s="322">
        <f>IF((Q91=1),Thermostat!$B$3,Thermostat!$B$4)</f>
        <v>70</v>
      </c>
      <c r="R100" s="322">
        <f>IF((R91=1),Thermostat!$B$3,Thermostat!$B$4)</f>
        <v>70</v>
      </c>
      <c r="S100" s="322">
        <f>IF((S91=1),Thermostat!$B$3,Thermostat!$B$4)</f>
        <v>70</v>
      </c>
      <c r="T100" s="322">
        <f>IF((T91=1),Thermostat!$B$3,Thermostat!$B$4)</f>
        <v>70</v>
      </c>
      <c r="U100" s="322">
        <f>IF((U91=1),Thermostat!$B$3,Thermostat!$B$4)</f>
        <v>70</v>
      </c>
      <c r="V100" s="322">
        <f>IF((V91=1),Thermostat!$B$3,Thermostat!$B$4)</f>
        <v>70</v>
      </c>
      <c r="W100" s="322">
        <f>IF((W91=1),Thermostat!$B$3,Thermostat!$B$4)</f>
        <v>70</v>
      </c>
      <c r="X100" s="322">
        <f>IF((X91=1),Thermostat!$B$3,Thermostat!$B$4)</f>
        <v>70</v>
      </c>
      <c r="Y100" s="322">
        <f>IF((Y91=1),Thermostat!$B$3,Thermostat!$B$4)</f>
        <v>70</v>
      </c>
      <c r="Z100" s="322">
        <f>IF((Z91=1),Thermostat!$B$3,Thermostat!$B$4)</f>
        <v>70</v>
      </c>
      <c r="AA100" s="322">
        <f>IF((AA91=1),Thermostat!$B$3,Thermostat!$B$4)</f>
        <v>70</v>
      </c>
      <c r="AB100" s="322">
        <f>IF((AB91=1),Thermostat!$B$3,Thermostat!$B$4)</f>
        <v>70</v>
      </c>
      <c r="AC100" s="323">
        <f>IF((AC91=1),Thermostat!$B$3,Thermostat!$B$4)</f>
        <v>70</v>
      </c>
    </row>
    <row r="101" spans="1:30" ht="34.200000000000003" customHeight="1" x14ac:dyDescent="0.3">
      <c r="A101" s="773"/>
      <c r="B101" s="776"/>
      <c r="C101" s="779"/>
      <c r="D101" s="782"/>
      <c r="E101" s="283" t="s">
        <v>466</v>
      </c>
      <c r="F101" s="276">
        <f>IF((F92=1),Thermostat!$B$3,Thermostat!$B$4)</f>
        <v>60</v>
      </c>
      <c r="G101" s="276">
        <f>IF((G92=1),Thermostat!$B$3,Thermostat!$B$4)</f>
        <v>60</v>
      </c>
      <c r="H101" s="276">
        <f>IF((H92=1),Thermostat!$B$3,Thermostat!$B$4)</f>
        <v>60</v>
      </c>
      <c r="I101" s="276">
        <f>IF((I92=1),Thermostat!$B$3,Thermostat!$B$4)</f>
        <v>60</v>
      </c>
      <c r="J101" s="276">
        <f>IF((J92=1),Thermostat!$B$3,Thermostat!$B$4)</f>
        <v>60</v>
      </c>
      <c r="K101" s="276">
        <f>IF((K92=1),Thermostat!$B$3,Thermostat!$B$4)</f>
        <v>70</v>
      </c>
      <c r="L101" s="276">
        <f>IF((L92=1),Thermostat!$B$3,Thermostat!$B$4)</f>
        <v>70</v>
      </c>
      <c r="M101" s="276">
        <f>IF((M92=1),Thermostat!$B$3,Thermostat!$B$4)</f>
        <v>70</v>
      </c>
      <c r="N101" s="276">
        <f>IF((N92=1),Thermostat!$B$3,Thermostat!$B$4)</f>
        <v>70</v>
      </c>
      <c r="O101" s="276">
        <f>IF((O92=1),Thermostat!$B$3,Thermostat!$B$4)</f>
        <v>70</v>
      </c>
      <c r="P101" s="276">
        <f>IF((P92=1),Thermostat!$B$3,Thermostat!$B$4)</f>
        <v>70</v>
      </c>
      <c r="Q101" s="276">
        <f>IF((Q92=1),Thermostat!$B$3,Thermostat!$B$4)</f>
        <v>70</v>
      </c>
      <c r="R101" s="276">
        <f>IF((R92=1),Thermostat!$B$3,Thermostat!$B$4)</f>
        <v>70</v>
      </c>
      <c r="S101" s="276">
        <f>IF((S92=1),Thermostat!$B$3,Thermostat!$B$4)</f>
        <v>70</v>
      </c>
      <c r="T101" s="276">
        <f>IF((T92=1),Thermostat!$B$3,Thermostat!$B$4)</f>
        <v>70</v>
      </c>
      <c r="U101" s="276">
        <f>IF((U92=1),Thermostat!$B$3,Thermostat!$B$4)</f>
        <v>70</v>
      </c>
      <c r="V101" s="276">
        <f>IF((V92=1),Thermostat!$B$3,Thermostat!$B$4)</f>
        <v>70</v>
      </c>
      <c r="W101" s="276">
        <f>IF((W92=1),Thermostat!$B$3,Thermostat!$B$4)</f>
        <v>70</v>
      </c>
      <c r="X101" s="276">
        <f>IF((X92=1),Thermostat!$B$3,Thermostat!$B$4)</f>
        <v>70</v>
      </c>
      <c r="Y101" s="276">
        <f>IF((Y92=1),Thermostat!$B$3,Thermostat!$B$4)</f>
        <v>60</v>
      </c>
      <c r="Z101" s="276">
        <f>IF((Z92=1),Thermostat!$B$3,Thermostat!$B$4)</f>
        <v>60</v>
      </c>
      <c r="AA101" s="276">
        <f>IF((AA92=1),Thermostat!$B$3,Thermostat!$B$4)</f>
        <v>60</v>
      </c>
      <c r="AB101" s="276">
        <f>IF((AB92=1),Thermostat!$B$3,Thermostat!$B$4)</f>
        <v>60</v>
      </c>
      <c r="AC101" s="324">
        <f>IF((AC92=1),Thermostat!$B$3,Thermostat!$B$4)</f>
        <v>60</v>
      </c>
    </row>
    <row r="102" spans="1:30" ht="34.200000000000003" customHeight="1" thickBot="1" x14ac:dyDescent="0.35">
      <c r="A102" s="774"/>
      <c r="B102" s="777"/>
      <c r="C102" s="780"/>
      <c r="D102" s="783"/>
      <c r="E102" s="321" t="s">
        <v>467</v>
      </c>
      <c r="F102" s="325">
        <f>IF((F93=1),Thermostat!$B$3,Thermostat!$B$4)</f>
        <v>60</v>
      </c>
      <c r="G102" s="325">
        <f>IF((G93=1),Thermostat!$B$3,Thermostat!$B$4)</f>
        <v>60</v>
      </c>
      <c r="H102" s="325">
        <f>IF((H93=1),Thermostat!$B$3,Thermostat!$B$4)</f>
        <v>60</v>
      </c>
      <c r="I102" s="325">
        <f>IF((I93=1),Thermostat!$B$3,Thermostat!$B$4)</f>
        <v>60</v>
      </c>
      <c r="J102" s="325">
        <f>IF((J93=1),Thermostat!$B$3,Thermostat!$B$4)</f>
        <v>60</v>
      </c>
      <c r="K102" s="325">
        <f>IF((K93=1),Thermostat!$B$3,Thermostat!$B$4)</f>
        <v>60</v>
      </c>
      <c r="L102" s="325">
        <f>IF((L93=1),Thermostat!$B$3,Thermostat!$B$4)</f>
        <v>60</v>
      </c>
      <c r="M102" s="325">
        <f>IF((M93=1),Thermostat!$B$3,Thermostat!$B$4)</f>
        <v>60</v>
      </c>
      <c r="N102" s="325">
        <f>IF((N93=1),Thermostat!$B$3,Thermostat!$B$4)</f>
        <v>60</v>
      </c>
      <c r="O102" s="325">
        <f>IF((O93=1),Thermostat!$B$3,Thermostat!$B$4)</f>
        <v>60</v>
      </c>
      <c r="P102" s="325">
        <f>IF((P93=1),Thermostat!$B$3,Thermostat!$B$4)</f>
        <v>60</v>
      </c>
      <c r="Q102" s="325">
        <f>IF((Q93=1),Thermostat!$B$3,Thermostat!$B$4)</f>
        <v>60</v>
      </c>
      <c r="R102" s="325">
        <f>IF((R93=1),Thermostat!$B$3,Thermostat!$B$4)</f>
        <v>60</v>
      </c>
      <c r="S102" s="325">
        <f>IF((S93=1),Thermostat!$B$3,Thermostat!$B$4)</f>
        <v>60</v>
      </c>
      <c r="T102" s="325">
        <f>IF((T93=1),Thermostat!$B$3,Thermostat!$B$4)</f>
        <v>60</v>
      </c>
      <c r="U102" s="325">
        <f>IF((U93=1),Thermostat!$B$3,Thermostat!$B$4)</f>
        <v>60</v>
      </c>
      <c r="V102" s="325">
        <f>IF((V93=1),Thermostat!$B$3,Thermostat!$B$4)</f>
        <v>60</v>
      </c>
      <c r="W102" s="325">
        <f>IF((W93=1),Thermostat!$B$3,Thermostat!$B$4)</f>
        <v>60</v>
      </c>
      <c r="X102" s="325">
        <f>IF((X93=1),Thermostat!$B$3,Thermostat!$B$4)</f>
        <v>60</v>
      </c>
      <c r="Y102" s="325">
        <f>IF((Y93=1),Thermostat!$B$3,Thermostat!$B$4)</f>
        <v>60</v>
      </c>
      <c r="Z102" s="325">
        <f>IF((Z93=1),Thermostat!$B$3,Thermostat!$B$4)</f>
        <v>60</v>
      </c>
      <c r="AA102" s="325">
        <f>IF((AA93=1),Thermostat!$B$3,Thermostat!$B$4)</f>
        <v>60</v>
      </c>
      <c r="AB102" s="325">
        <f>IF((AB93=1),Thermostat!$B$3,Thermostat!$B$4)</f>
        <v>60</v>
      </c>
      <c r="AC102" s="326">
        <f>IF((AC93=1),Thermostat!$B$3,Thermostat!$B$4)</f>
        <v>60</v>
      </c>
    </row>
    <row r="103" spans="1:30" ht="34.200000000000003" customHeight="1" x14ac:dyDescent="0.3">
      <c r="A103" s="772" t="s">
        <v>169</v>
      </c>
      <c r="B103" s="775" t="s">
        <v>169</v>
      </c>
      <c r="C103" s="778" t="s">
        <v>812</v>
      </c>
      <c r="D103" s="781" t="s">
        <v>811</v>
      </c>
      <c r="E103" s="282" t="s">
        <v>465</v>
      </c>
      <c r="F103" s="292">
        <f>IF((F91=1),Thermostat!$B$5,Thermostat!$B$6)</f>
        <v>85</v>
      </c>
      <c r="G103" s="292">
        <f>IF((G91=1),Thermostat!$B$5,Thermostat!$B$6)</f>
        <v>85</v>
      </c>
      <c r="H103" s="292">
        <f>IF((H91=1),Thermostat!$B$5,Thermostat!$B$6)</f>
        <v>85</v>
      </c>
      <c r="I103" s="292">
        <f>IF((I91=1),Thermostat!$B$5,Thermostat!$B$6)</f>
        <v>85</v>
      </c>
      <c r="J103" s="292">
        <f>IF((J91=1),Thermostat!$B$5,Thermostat!$B$6)</f>
        <v>85</v>
      </c>
      <c r="K103" s="292">
        <f>IF((K91=1),Thermostat!$B$5,Thermostat!$B$6)</f>
        <v>75</v>
      </c>
      <c r="L103" s="292">
        <f>IF((L91=1),Thermostat!$B$5,Thermostat!$B$6)</f>
        <v>75</v>
      </c>
      <c r="M103" s="292">
        <f>IF((M91=1),Thermostat!$B$5,Thermostat!$B$6)</f>
        <v>75</v>
      </c>
      <c r="N103" s="292">
        <f>IF((N91=1),Thermostat!$B$5,Thermostat!$B$6)</f>
        <v>75</v>
      </c>
      <c r="O103" s="292">
        <f>IF((O91=1),Thermostat!$B$5,Thermostat!$B$6)</f>
        <v>75</v>
      </c>
      <c r="P103" s="292">
        <f>IF((P91=1),Thermostat!$B$5,Thermostat!$B$6)</f>
        <v>75</v>
      </c>
      <c r="Q103" s="292">
        <f>IF((Q91=1),Thermostat!$B$5,Thermostat!$B$6)</f>
        <v>75</v>
      </c>
      <c r="R103" s="292">
        <f>IF((R91=1),Thermostat!$B$5,Thermostat!$B$6)</f>
        <v>75</v>
      </c>
      <c r="S103" s="292">
        <f>IF((S91=1),Thermostat!$B$5,Thermostat!$B$6)</f>
        <v>75</v>
      </c>
      <c r="T103" s="292">
        <f>IF((T91=1),Thermostat!$B$5,Thermostat!$B$6)</f>
        <v>75</v>
      </c>
      <c r="U103" s="292">
        <f>IF((U91=1),Thermostat!$B$5,Thermostat!$B$6)</f>
        <v>75</v>
      </c>
      <c r="V103" s="292">
        <f>IF((V91=1),Thermostat!$B$5,Thermostat!$B$6)</f>
        <v>75</v>
      </c>
      <c r="W103" s="292">
        <f>IF((W91=1),Thermostat!$B$5,Thermostat!$B$6)</f>
        <v>75</v>
      </c>
      <c r="X103" s="292">
        <f>IF((X91=1),Thermostat!$B$5,Thermostat!$B$6)</f>
        <v>75</v>
      </c>
      <c r="Y103" s="292">
        <f>IF((Y91=1),Thermostat!$B$5,Thermostat!$B$6)</f>
        <v>75</v>
      </c>
      <c r="Z103" s="292">
        <f>IF((Z91=1),Thermostat!$B$5,Thermostat!$B$6)</f>
        <v>75</v>
      </c>
      <c r="AA103" s="292">
        <f>IF((AA91=1),Thermostat!$B$5,Thermostat!$B$6)</f>
        <v>75</v>
      </c>
      <c r="AB103" s="292">
        <f>IF((AB91=1),Thermostat!$B$5,Thermostat!$B$6)</f>
        <v>75</v>
      </c>
      <c r="AC103" s="327">
        <f>IF((AC91=1),Thermostat!$B$5,Thermostat!$B$6)</f>
        <v>75</v>
      </c>
    </row>
    <row r="104" spans="1:30" ht="34.200000000000003" customHeight="1" x14ac:dyDescent="0.3">
      <c r="A104" s="773"/>
      <c r="B104" s="776"/>
      <c r="C104" s="779"/>
      <c r="D104" s="782"/>
      <c r="E104" s="283" t="s">
        <v>466</v>
      </c>
      <c r="F104" s="276">
        <f>IF((F92=1),Thermostat!$B$5,Thermostat!$B$6)</f>
        <v>85</v>
      </c>
      <c r="G104" s="276">
        <f>IF((G92=1),Thermostat!$B$5,Thermostat!$B$6)</f>
        <v>85</v>
      </c>
      <c r="H104" s="276">
        <f>IF((H92=1),Thermostat!$B$5,Thermostat!$B$6)</f>
        <v>85</v>
      </c>
      <c r="I104" s="276">
        <f>IF((I92=1),Thermostat!$B$5,Thermostat!$B$6)</f>
        <v>85</v>
      </c>
      <c r="J104" s="276">
        <f>IF((J92=1),Thermostat!$B$5,Thermostat!$B$6)</f>
        <v>85</v>
      </c>
      <c r="K104" s="276">
        <f>IF((K92=1),Thermostat!$B$5,Thermostat!$B$6)</f>
        <v>75</v>
      </c>
      <c r="L104" s="276">
        <f>IF((L92=1),Thermostat!$B$5,Thermostat!$B$6)</f>
        <v>75</v>
      </c>
      <c r="M104" s="276">
        <f>IF((M92=1),Thermostat!$B$5,Thermostat!$B$6)</f>
        <v>75</v>
      </c>
      <c r="N104" s="276">
        <f>IF((N92=1),Thermostat!$B$5,Thermostat!$B$6)</f>
        <v>75</v>
      </c>
      <c r="O104" s="276">
        <f>IF((O92=1),Thermostat!$B$5,Thermostat!$B$6)</f>
        <v>75</v>
      </c>
      <c r="P104" s="276">
        <f>IF((P92=1),Thermostat!$B$5,Thermostat!$B$6)</f>
        <v>75</v>
      </c>
      <c r="Q104" s="276">
        <f>IF((Q92=1),Thermostat!$B$5,Thermostat!$B$6)</f>
        <v>75</v>
      </c>
      <c r="R104" s="276">
        <f>IF((R92=1),Thermostat!$B$5,Thermostat!$B$6)</f>
        <v>75</v>
      </c>
      <c r="S104" s="276">
        <f>IF((S92=1),Thermostat!$B$5,Thermostat!$B$6)</f>
        <v>75</v>
      </c>
      <c r="T104" s="276">
        <f>IF((T92=1),Thermostat!$B$5,Thermostat!$B$6)</f>
        <v>75</v>
      </c>
      <c r="U104" s="276">
        <f>IF((U92=1),Thermostat!$B$5,Thermostat!$B$6)</f>
        <v>75</v>
      </c>
      <c r="V104" s="276">
        <f>IF((V92=1),Thermostat!$B$5,Thermostat!$B$6)</f>
        <v>75</v>
      </c>
      <c r="W104" s="276">
        <f>IF((W92=1),Thermostat!$B$5,Thermostat!$B$6)</f>
        <v>75</v>
      </c>
      <c r="X104" s="276">
        <f>IF((X92=1),Thermostat!$B$5,Thermostat!$B$6)</f>
        <v>75</v>
      </c>
      <c r="Y104" s="276">
        <f>IF((Y92=1),Thermostat!$B$5,Thermostat!$B$6)</f>
        <v>85</v>
      </c>
      <c r="Z104" s="276">
        <f>IF((Z92=1),Thermostat!$B$5,Thermostat!$B$6)</f>
        <v>85</v>
      </c>
      <c r="AA104" s="276">
        <f>IF((AA92=1),Thermostat!$B$5,Thermostat!$B$6)</f>
        <v>85</v>
      </c>
      <c r="AB104" s="276">
        <f>IF((AB92=1),Thermostat!$B$5,Thermostat!$B$6)</f>
        <v>85</v>
      </c>
      <c r="AC104" s="324">
        <f>IF((AC92=1),Thermostat!$B$5,Thermostat!$B$6)</f>
        <v>85</v>
      </c>
    </row>
    <row r="105" spans="1:30" ht="34.200000000000003" customHeight="1" thickBot="1" x14ac:dyDescent="0.35">
      <c r="A105" s="774"/>
      <c r="B105" s="777"/>
      <c r="C105" s="780"/>
      <c r="D105" s="783"/>
      <c r="E105" s="321" t="s">
        <v>467</v>
      </c>
      <c r="F105" s="325">
        <f>IF((F93=1),Thermostat!$B$5,Thermostat!$B$6)</f>
        <v>85</v>
      </c>
      <c r="G105" s="325">
        <f>IF((G93=1),Thermostat!$B$5,Thermostat!$B$6)</f>
        <v>85</v>
      </c>
      <c r="H105" s="325">
        <f>IF((H93=1),Thermostat!$B$5,Thermostat!$B$6)</f>
        <v>85</v>
      </c>
      <c r="I105" s="325">
        <f>IF((I93=1),Thermostat!$B$5,Thermostat!$B$6)</f>
        <v>85</v>
      </c>
      <c r="J105" s="325">
        <f>IF((J93=1),Thermostat!$B$5,Thermostat!$B$6)</f>
        <v>85</v>
      </c>
      <c r="K105" s="325">
        <f>IF((K93=1),Thermostat!$B$5,Thermostat!$B$6)</f>
        <v>85</v>
      </c>
      <c r="L105" s="325">
        <f>IF((L93=1),Thermostat!$B$5,Thermostat!$B$6)</f>
        <v>85</v>
      </c>
      <c r="M105" s="325">
        <f>IF((M93=1),Thermostat!$B$5,Thermostat!$B$6)</f>
        <v>85</v>
      </c>
      <c r="N105" s="325">
        <f>IF((N93=1),Thermostat!$B$5,Thermostat!$B$6)</f>
        <v>85</v>
      </c>
      <c r="O105" s="325">
        <f>IF((O93=1),Thermostat!$B$5,Thermostat!$B$6)</f>
        <v>85</v>
      </c>
      <c r="P105" s="325">
        <f>IF((P93=1),Thermostat!$B$5,Thermostat!$B$6)</f>
        <v>85</v>
      </c>
      <c r="Q105" s="325">
        <f>IF((Q93=1),Thermostat!$B$5,Thermostat!$B$6)</f>
        <v>85</v>
      </c>
      <c r="R105" s="325">
        <f>IF((R93=1),Thermostat!$B$5,Thermostat!$B$6)</f>
        <v>85</v>
      </c>
      <c r="S105" s="325">
        <f>IF((S93=1),Thermostat!$B$5,Thermostat!$B$6)</f>
        <v>85</v>
      </c>
      <c r="T105" s="325">
        <f>IF((T93=1),Thermostat!$B$5,Thermostat!$B$6)</f>
        <v>85</v>
      </c>
      <c r="U105" s="325">
        <f>IF((U93=1),Thermostat!$B$5,Thermostat!$B$6)</f>
        <v>85</v>
      </c>
      <c r="V105" s="325">
        <f>IF((V93=1),Thermostat!$B$5,Thermostat!$B$6)</f>
        <v>85</v>
      </c>
      <c r="W105" s="325">
        <f>IF((W93=1),Thermostat!$B$5,Thermostat!$B$6)</f>
        <v>85</v>
      </c>
      <c r="X105" s="325">
        <f>IF((X93=1),Thermostat!$B$5,Thermostat!$B$6)</f>
        <v>85</v>
      </c>
      <c r="Y105" s="325">
        <f>IF((Y93=1),Thermostat!$B$5,Thermostat!$B$6)</f>
        <v>85</v>
      </c>
      <c r="Z105" s="325">
        <f>IF((Z93=1),Thermostat!$B$5,Thermostat!$B$6)</f>
        <v>85</v>
      </c>
      <c r="AA105" s="325">
        <f>IF((AA93=1),Thermostat!$B$5,Thermostat!$B$6)</f>
        <v>85</v>
      </c>
      <c r="AB105" s="325">
        <f>IF((AB93=1),Thermostat!$B$5,Thermostat!$B$6)</f>
        <v>85</v>
      </c>
      <c r="AC105" s="326">
        <f>IF((AC93=1),Thermostat!$B$5,Thermostat!$B$6)</f>
        <v>85</v>
      </c>
    </row>
    <row r="106" spans="1:30" s="336" customFormat="1" ht="20.399999999999999" customHeight="1" thickBot="1" x14ac:dyDescent="0.35">
      <c r="A106" s="811" t="s">
        <v>818</v>
      </c>
      <c r="B106" s="811"/>
      <c r="C106" s="811" t="s">
        <v>818</v>
      </c>
      <c r="D106" s="811"/>
      <c r="E106" s="811"/>
      <c r="F106" s="811"/>
      <c r="G106" s="811"/>
      <c r="H106" s="811"/>
      <c r="I106" s="811"/>
      <c r="J106" s="811"/>
      <c r="K106" s="811"/>
      <c r="L106" s="811"/>
      <c r="M106" s="811"/>
      <c r="N106" s="811"/>
      <c r="O106" s="811"/>
      <c r="P106" s="811"/>
      <c r="Q106" s="811"/>
      <c r="R106" s="811"/>
      <c r="S106" s="811"/>
      <c r="T106" s="811"/>
      <c r="U106" s="811"/>
      <c r="V106" s="811"/>
      <c r="W106" s="811"/>
      <c r="X106" s="811"/>
      <c r="Y106" s="811"/>
      <c r="Z106" s="811"/>
      <c r="AA106" s="811"/>
      <c r="AB106" s="811"/>
      <c r="AC106" s="814"/>
      <c r="AD106" s="364" t="s">
        <v>676</v>
      </c>
    </row>
    <row r="107" spans="1:30" ht="34.200000000000003" customHeight="1" x14ac:dyDescent="0.3">
      <c r="A107" s="784"/>
      <c r="B107" s="822" t="s">
        <v>139</v>
      </c>
      <c r="C107" s="822" t="s">
        <v>580</v>
      </c>
      <c r="D107" s="789" t="s">
        <v>820</v>
      </c>
      <c r="E107" s="294" t="s">
        <v>465</v>
      </c>
      <c r="F107" s="295">
        <v>0</v>
      </c>
      <c r="G107" s="295">
        <v>0</v>
      </c>
      <c r="H107" s="295">
        <v>0</v>
      </c>
      <c r="I107" s="295">
        <v>0</v>
      </c>
      <c r="J107" s="295">
        <v>0</v>
      </c>
      <c r="K107" s="295">
        <v>0</v>
      </c>
      <c r="L107" s="295">
        <v>0</v>
      </c>
      <c r="M107" s="295">
        <v>0.35</v>
      </c>
      <c r="N107" s="295">
        <v>0.69</v>
      </c>
      <c r="O107" s="295">
        <v>0.43</v>
      </c>
      <c r="P107" s="295">
        <v>0.37</v>
      </c>
      <c r="Q107" s="295">
        <v>0.43</v>
      </c>
      <c r="R107" s="295">
        <v>0.57999999999999996</v>
      </c>
      <c r="S107" s="295">
        <v>0.48</v>
      </c>
      <c r="T107" s="295">
        <v>0.37</v>
      </c>
      <c r="U107" s="295">
        <v>0.37</v>
      </c>
      <c r="V107" s="295">
        <v>0.46</v>
      </c>
      <c r="W107" s="295">
        <v>0.62</v>
      </c>
      <c r="X107" s="295">
        <v>0.2</v>
      </c>
      <c r="Y107" s="295">
        <v>0.12</v>
      </c>
      <c r="Z107" s="295">
        <v>0.04</v>
      </c>
      <c r="AA107" s="295">
        <v>0.04</v>
      </c>
      <c r="AB107" s="295">
        <v>0</v>
      </c>
      <c r="AC107" s="296">
        <v>0</v>
      </c>
      <c r="AD107" s="365">
        <f>SUM(G107:AC107)*261+ SUM(G108:AC108)*52+ SUM(G109:AC109)*52</f>
        <v>2025.75</v>
      </c>
    </row>
    <row r="108" spans="1:30" ht="34.200000000000003" customHeight="1" x14ac:dyDescent="0.3">
      <c r="A108" s="773"/>
      <c r="B108" s="787"/>
      <c r="C108" s="787"/>
      <c r="D108" s="790"/>
      <c r="E108" s="224" t="s">
        <v>466</v>
      </c>
      <c r="F108" s="223">
        <v>0</v>
      </c>
      <c r="G108" s="223">
        <v>0</v>
      </c>
      <c r="H108" s="223">
        <v>0</v>
      </c>
      <c r="I108" s="223">
        <v>0</v>
      </c>
      <c r="J108" s="223">
        <v>0</v>
      </c>
      <c r="K108" s="223">
        <v>0</v>
      </c>
      <c r="L108" s="223">
        <v>0</v>
      </c>
      <c r="M108" s="223">
        <v>0.35</v>
      </c>
      <c r="N108" s="223">
        <v>0.69</v>
      </c>
      <c r="O108" s="223">
        <v>0.43</v>
      </c>
      <c r="P108" s="223">
        <v>0.37</v>
      </c>
      <c r="Q108" s="223">
        <v>0.43</v>
      </c>
      <c r="R108" s="223">
        <v>0.57999999999999996</v>
      </c>
      <c r="S108" s="223">
        <v>0.48</v>
      </c>
      <c r="T108" s="223">
        <v>0.37</v>
      </c>
      <c r="U108" s="223">
        <v>0.37</v>
      </c>
      <c r="V108" s="223">
        <v>0.46</v>
      </c>
      <c r="W108" s="223">
        <v>0.62</v>
      </c>
      <c r="X108" s="223">
        <v>0.2</v>
      </c>
      <c r="Y108" s="223">
        <v>0.12</v>
      </c>
      <c r="Z108" s="223">
        <v>0.04</v>
      </c>
      <c r="AA108" s="223">
        <v>0.04</v>
      </c>
      <c r="AB108" s="223">
        <v>0</v>
      </c>
      <c r="AC108" s="297">
        <v>0</v>
      </c>
    </row>
    <row r="109" spans="1:30" ht="34.200000000000003" customHeight="1" thickBot="1" x14ac:dyDescent="0.35">
      <c r="A109" s="774"/>
      <c r="B109" s="823"/>
      <c r="C109" s="823"/>
      <c r="D109" s="840"/>
      <c r="E109" s="298" t="s">
        <v>467</v>
      </c>
      <c r="F109" s="299">
        <v>0</v>
      </c>
      <c r="G109" s="299">
        <v>0</v>
      </c>
      <c r="H109" s="299">
        <v>0</v>
      </c>
      <c r="I109" s="299">
        <v>0</v>
      </c>
      <c r="J109" s="299">
        <v>0</v>
      </c>
      <c r="K109" s="299">
        <v>0</v>
      </c>
      <c r="L109" s="299">
        <v>0</v>
      </c>
      <c r="M109" s="299">
        <v>0.35</v>
      </c>
      <c r="N109" s="299">
        <v>0.69</v>
      </c>
      <c r="O109" s="299">
        <v>0.43</v>
      </c>
      <c r="P109" s="299">
        <v>0.37</v>
      </c>
      <c r="Q109" s="299">
        <v>0.43</v>
      </c>
      <c r="R109" s="299">
        <v>0.57999999999999996</v>
      </c>
      <c r="S109" s="299">
        <v>0.48</v>
      </c>
      <c r="T109" s="299">
        <v>0.37</v>
      </c>
      <c r="U109" s="299">
        <v>0.37</v>
      </c>
      <c r="V109" s="299">
        <v>0.46</v>
      </c>
      <c r="W109" s="299">
        <v>0.62</v>
      </c>
      <c r="X109" s="299">
        <v>0.2</v>
      </c>
      <c r="Y109" s="299">
        <v>0.12</v>
      </c>
      <c r="Z109" s="299">
        <v>0.04</v>
      </c>
      <c r="AA109" s="299">
        <v>0.04</v>
      </c>
      <c r="AB109" s="299">
        <v>0</v>
      </c>
      <c r="AC109" s="300">
        <v>0</v>
      </c>
    </row>
    <row r="110" spans="1:30" ht="24.6" customHeight="1" x14ac:dyDescent="0.3">
      <c r="A110" s="772"/>
      <c r="B110" s="786" t="s">
        <v>139</v>
      </c>
      <c r="C110" s="786" t="s">
        <v>821</v>
      </c>
      <c r="D110" s="858" t="s">
        <v>822</v>
      </c>
      <c r="E110" s="237" t="s">
        <v>465</v>
      </c>
      <c r="F110" s="292">
        <v>1</v>
      </c>
      <c r="G110" s="292">
        <v>1</v>
      </c>
      <c r="H110" s="292">
        <v>1</v>
      </c>
      <c r="I110" s="292">
        <v>1</v>
      </c>
      <c r="J110" s="292">
        <v>1</v>
      </c>
      <c r="K110" s="292">
        <v>1</v>
      </c>
      <c r="L110" s="292">
        <v>1</v>
      </c>
      <c r="M110" s="292">
        <v>1</v>
      </c>
      <c r="N110" s="292">
        <v>1</v>
      </c>
      <c r="O110" s="292">
        <v>1</v>
      </c>
      <c r="P110" s="292">
        <v>1</v>
      </c>
      <c r="Q110" s="292">
        <v>1</v>
      </c>
      <c r="R110" s="292">
        <v>1</v>
      </c>
      <c r="S110" s="292">
        <v>1</v>
      </c>
      <c r="T110" s="292">
        <v>1</v>
      </c>
      <c r="U110" s="292">
        <v>1</v>
      </c>
      <c r="V110" s="292">
        <v>1</v>
      </c>
      <c r="W110" s="292">
        <v>1</v>
      </c>
      <c r="X110" s="292">
        <v>1</v>
      </c>
      <c r="Y110" s="292">
        <v>1</v>
      </c>
      <c r="Z110" s="292">
        <v>1</v>
      </c>
      <c r="AA110" s="292">
        <v>1</v>
      </c>
      <c r="AB110" s="292">
        <v>1</v>
      </c>
      <c r="AC110" s="293">
        <v>1</v>
      </c>
    </row>
    <row r="111" spans="1:30" ht="24.6" customHeight="1" x14ac:dyDescent="0.3">
      <c r="A111" s="817"/>
      <c r="B111" s="819"/>
      <c r="C111" s="819"/>
      <c r="D111" s="858"/>
      <c r="E111" s="224" t="s">
        <v>466</v>
      </c>
      <c r="F111" s="276">
        <v>1</v>
      </c>
      <c r="G111" s="276">
        <v>1</v>
      </c>
      <c r="H111" s="276">
        <v>1</v>
      </c>
      <c r="I111" s="276">
        <v>1</v>
      </c>
      <c r="J111" s="276">
        <v>1</v>
      </c>
      <c r="K111" s="276">
        <v>1</v>
      </c>
      <c r="L111" s="276">
        <v>1</v>
      </c>
      <c r="M111" s="276">
        <v>1</v>
      </c>
      <c r="N111" s="276">
        <v>1</v>
      </c>
      <c r="O111" s="276">
        <v>1</v>
      </c>
      <c r="P111" s="276">
        <v>1</v>
      </c>
      <c r="Q111" s="276">
        <v>1</v>
      </c>
      <c r="R111" s="276">
        <v>1</v>
      </c>
      <c r="S111" s="276">
        <v>1</v>
      </c>
      <c r="T111" s="276">
        <v>1</v>
      </c>
      <c r="U111" s="276">
        <v>1</v>
      </c>
      <c r="V111" s="276">
        <v>1</v>
      </c>
      <c r="W111" s="276">
        <v>1</v>
      </c>
      <c r="X111" s="276">
        <v>1</v>
      </c>
      <c r="Y111" s="276">
        <v>1</v>
      </c>
      <c r="Z111" s="276">
        <v>1</v>
      </c>
      <c r="AA111" s="276">
        <v>1</v>
      </c>
      <c r="AB111" s="276">
        <v>1</v>
      </c>
      <c r="AC111" s="279">
        <v>1</v>
      </c>
    </row>
    <row r="112" spans="1:30" ht="24.6" customHeight="1" thickBot="1" x14ac:dyDescent="0.35">
      <c r="A112" s="821"/>
      <c r="B112" s="820"/>
      <c r="C112" s="820"/>
      <c r="D112" s="859"/>
      <c r="E112" s="236" t="s">
        <v>467</v>
      </c>
      <c r="F112" s="277">
        <v>1</v>
      </c>
      <c r="G112" s="277">
        <v>1</v>
      </c>
      <c r="H112" s="277">
        <v>1</v>
      </c>
      <c r="I112" s="277">
        <v>1</v>
      </c>
      <c r="J112" s="277">
        <v>1</v>
      </c>
      <c r="K112" s="277">
        <v>1</v>
      </c>
      <c r="L112" s="277">
        <v>1</v>
      </c>
      <c r="M112" s="277">
        <v>1</v>
      </c>
      <c r="N112" s="277">
        <v>1</v>
      </c>
      <c r="O112" s="277">
        <v>1</v>
      </c>
      <c r="P112" s="277">
        <v>1</v>
      </c>
      <c r="Q112" s="277">
        <v>1</v>
      </c>
      <c r="R112" s="277">
        <v>1</v>
      </c>
      <c r="S112" s="277">
        <v>1</v>
      </c>
      <c r="T112" s="277">
        <v>1</v>
      </c>
      <c r="U112" s="277">
        <v>1</v>
      </c>
      <c r="V112" s="277">
        <v>1</v>
      </c>
      <c r="W112" s="277">
        <v>1</v>
      </c>
      <c r="X112" s="277">
        <v>1</v>
      </c>
      <c r="Y112" s="277">
        <v>1</v>
      </c>
      <c r="Z112" s="277">
        <v>1</v>
      </c>
      <c r="AA112" s="277">
        <v>1</v>
      </c>
      <c r="AB112" s="277">
        <v>1</v>
      </c>
      <c r="AC112" s="280">
        <v>1</v>
      </c>
    </row>
    <row r="113" spans="1:29" ht="24.6" customHeight="1" x14ac:dyDescent="0.3">
      <c r="A113" s="815"/>
      <c r="B113" s="792" t="s">
        <v>139</v>
      </c>
      <c r="C113" s="792" t="s">
        <v>823</v>
      </c>
      <c r="D113" s="857" t="s">
        <v>824</v>
      </c>
      <c r="E113" s="234" t="s">
        <v>465</v>
      </c>
      <c r="F113" s="275">
        <v>0</v>
      </c>
      <c r="G113" s="275">
        <v>0</v>
      </c>
      <c r="H113" s="275">
        <v>0</v>
      </c>
      <c r="I113" s="275">
        <v>0</v>
      </c>
      <c r="J113" s="275">
        <v>0</v>
      </c>
      <c r="K113" s="275">
        <v>1</v>
      </c>
      <c r="L113" s="275">
        <v>1</v>
      </c>
      <c r="M113" s="275">
        <v>1</v>
      </c>
      <c r="N113" s="275">
        <v>1</v>
      </c>
      <c r="O113" s="275">
        <v>1</v>
      </c>
      <c r="P113" s="275">
        <v>1</v>
      </c>
      <c r="Q113" s="275">
        <v>1</v>
      </c>
      <c r="R113" s="275">
        <v>1</v>
      </c>
      <c r="S113" s="275">
        <v>1</v>
      </c>
      <c r="T113" s="275">
        <v>1</v>
      </c>
      <c r="U113" s="275">
        <v>1</v>
      </c>
      <c r="V113" s="275">
        <v>1</v>
      </c>
      <c r="W113" s="275">
        <v>1</v>
      </c>
      <c r="X113" s="275">
        <v>1</v>
      </c>
      <c r="Y113" s="275">
        <v>1</v>
      </c>
      <c r="Z113" s="275">
        <v>1</v>
      </c>
      <c r="AA113" s="275">
        <v>1</v>
      </c>
      <c r="AB113" s="275">
        <v>0</v>
      </c>
      <c r="AC113" s="278">
        <v>0</v>
      </c>
    </row>
    <row r="114" spans="1:29" ht="24.6" customHeight="1" x14ac:dyDescent="0.3">
      <c r="A114" s="817"/>
      <c r="B114" s="819"/>
      <c r="C114" s="819"/>
      <c r="D114" s="858"/>
      <c r="E114" s="224" t="s">
        <v>466</v>
      </c>
      <c r="F114" s="276">
        <v>0</v>
      </c>
      <c r="G114" s="276">
        <v>0</v>
      </c>
      <c r="H114" s="276">
        <v>0</v>
      </c>
      <c r="I114" s="276">
        <v>0</v>
      </c>
      <c r="J114" s="276">
        <v>0</v>
      </c>
      <c r="K114" s="276">
        <v>1</v>
      </c>
      <c r="L114" s="276">
        <v>1</v>
      </c>
      <c r="M114" s="276">
        <v>1</v>
      </c>
      <c r="N114" s="276">
        <v>1</v>
      </c>
      <c r="O114" s="276">
        <v>1</v>
      </c>
      <c r="P114" s="276">
        <v>1</v>
      </c>
      <c r="Q114" s="276">
        <v>1</v>
      </c>
      <c r="R114" s="276">
        <v>1</v>
      </c>
      <c r="S114" s="276">
        <v>1</v>
      </c>
      <c r="T114" s="276">
        <v>1</v>
      </c>
      <c r="U114" s="276">
        <v>1</v>
      </c>
      <c r="V114" s="276">
        <v>1</v>
      </c>
      <c r="W114" s="276">
        <v>1</v>
      </c>
      <c r="X114" s="276">
        <v>1</v>
      </c>
      <c r="Y114" s="276">
        <v>1</v>
      </c>
      <c r="Z114" s="276">
        <v>1</v>
      </c>
      <c r="AA114" s="276">
        <v>1</v>
      </c>
      <c r="AB114" s="276">
        <v>1</v>
      </c>
      <c r="AC114" s="279">
        <v>1</v>
      </c>
    </row>
    <row r="115" spans="1:29" ht="24.6" customHeight="1" thickBot="1" x14ac:dyDescent="0.35">
      <c r="A115" s="821"/>
      <c r="B115" s="820"/>
      <c r="C115" s="820"/>
      <c r="D115" s="859"/>
      <c r="E115" s="236" t="s">
        <v>467</v>
      </c>
      <c r="F115" s="277">
        <v>0</v>
      </c>
      <c r="G115" s="277">
        <v>0</v>
      </c>
      <c r="H115" s="277">
        <v>0</v>
      </c>
      <c r="I115" s="277">
        <v>0</v>
      </c>
      <c r="J115" s="277">
        <v>0</v>
      </c>
      <c r="K115" s="277">
        <v>1</v>
      </c>
      <c r="L115" s="277">
        <v>1</v>
      </c>
      <c r="M115" s="277">
        <v>1</v>
      </c>
      <c r="N115" s="277">
        <v>1</v>
      </c>
      <c r="O115" s="277">
        <v>1</v>
      </c>
      <c r="P115" s="277">
        <v>1</v>
      </c>
      <c r="Q115" s="277">
        <v>1</v>
      </c>
      <c r="R115" s="277">
        <v>1</v>
      </c>
      <c r="S115" s="277">
        <v>1</v>
      </c>
      <c r="T115" s="277">
        <v>1</v>
      </c>
      <c r="U115" s="277">
        <v>1</v>
      </c>
      <c r="V115" s="277">
        <v>1</v>
      </c>
      <c r="W115" s="277">
        <v>1</v>
      </c>
      <c r="X115" s="277">
        <v>1</v>
      </c>
      <c r="Y115" s="277">
        <v>1</v>
      </c>
      <c r="Z115" s="277">
        <v>1</v>
      </c>
      <c r="AA115" s="277">
        <v>1</v>
      </c>
      <c r="AB115" s="277">
        <v>1</v>
      </c>
      <c r="AC115" s="280">
        <v>1</v>
      </c>
    </row>
    <row r="116" spans="1:29" ht="22.95" customHeight="1" x14ac:dyDescent="0.3">
      <c r="A116" s="815" t="s">
        <v>825</v>
      </c>
      <c r="B116" s="792" t="s">
        <v>139</v>
      </c>
      <c r="C116" s="792" t="s">
        <v>826</v>
      </c>
      <c r="D116" s="839" t="s">
        <v>827</v>
      </c>
      <c r="E116" s="234" t="s">
        <v>465</v>
      </c>
      <c r="F116" s="275">
        <v>146.5</v>
      </c>
      <c r="G116" s="275">
        <v>146.5</v>
      </c>
      <c r="H116" s="275">
        <v>146.5</v>
      </c>
      <c r="I116" s="275">
        <v>146.5</v>
      </c>
      <c r="J116" s="275">
        <v>146.5</v>
      </c>
      <c r="K116" s="275">
        <v>146.5</v>
      </c>
      <c r="L116" s="275">
        <v>146.5</v>
      </c>
      <c r="M116" s="275">
        <v>146.5</v>
      </c>
      <c r="N116" s="275">
        <v>146.5</v>
      </c>
      <c r="O116" s="275">
        <v>146.5</v>
      </c>
      <c r="P116" s="275">
        <v>146.5</v>
      </c>
      <c r="Q116" s="275">
        <v>146.5</v>
      </c>
      <c r="R116" s="275">
        <v>146.5</v>
      </c>
      <c r="S116" s="275">
        <v>146.5</v>
      </c>
      <c r="T116" s="275">
        <v>146.5</v>
      </c>
      <c r="U116" s="275">
        <v>146.5</v>
      </c>
      <c r="V116" s="275">
        <v>146.5</v>
      </c>
      <c r="W116" s="275">
        <v>146.5</v>
      </c>
      <c r="X116" s="275">
        <v>146.5</v>
      </c>
      <c r="Y116" s="275">
        <v>146.5</v>
      </c>
      <c r="Z116" s="275">
        <v>146.5</v>
      </c>
      <c r="AA116" s="275">
        <v>146.5</v>
      </c>
      <c r="AB116" s="275">
        <v>146.5</v>
      </c>
      <c r="AC116" s="275">
        <v>146.5</v>
      </c>
    </row>
    <row r="117" spans="1:29" ht="22.95" customHeight="1" x14ac:dyDescent="0.3">
      <c r="A117" s="773"/>
      <c r="B117" s="819"/>
      <c r="C117" s="787"/>
      <c r="D117" s="790"/>
      <c r="E117" s="224" t="s">
        <v>466</v>
      </c>
      <c r="F117" s="276">
        <v>146.5</v>
      </c>
      <c r="G117" s="276">
        <v>146.5</v>
      </c>
      <c r="H117" s="276">
        <v>146.5</v>
      </c>
      <c r="I117" s="276">
        <v>146.5</v>
      </c>
      <c r="J117" s="276">
        <v>146.5</v>
      </c>
      <c r="K117" s="276">
        <v>146.5</v>
      </c>
      <c r="L117" s="276">
        <v>146.5</v>
      </c>
      <c r="M117" s="276">
        <v>146.5</v>
      </c>
      <c r="N117" s="276">
        <v>146.5</v>
      </c>
      <c r="O117" s="276">
        <v>146.5</v>
      </c>
      <c r="P117" s="276">
        <v>146.5</v>
      </c>
      <c r="Q117" s="276">
        <v>146.5</v>
      </c>
      <c r="R117" s="276">
        <v>146.5</v>
      </c>
      <c r="S117" s="276">
        <v>146.5</v>
      </c>
      <c r="T117" s="276">
        <v>146.5</v>
      </c>
      <c r="U117" s="276">
        <v>146.5</v>
      </c>
      <c r="V117" s="276">
        <v>146.5</v>
      </c>
      <c r="W117" s="276">
        <v>146.5</v>
      </c>
      <c r="X117" s="276">
        <v>146.5</v>
      </c>
      <c r="Y117" s="276">
        <v>146.5</v>
      </c>
      <c r="Z117" s="276">
        <v>146.5</v>
      </c>
      <c r="AA117" s="276">
        <v>146.5</v>
      </c>
      <c r="AB117" s="276">
        <v>146.5</v>
      </c>
      <c r="AC117" s="276">
        <v>146.5</v>
      </c>
    </row>
    <row r="118" spans="1:29" ht="22.95" customHeight="1" thickBot="1" x14ac:dyDescent="0.35">
      <c r="A118" s="816"/>
      <c r="B118" s="820"/>
      <c r="C118" s="788"/>
      <c r="D118" s="838"/>
      <c r="E118" s="236" t="s">
        <v>467</v>
      </c>
      <c r="F118" s="277">
        <v>146.5</v>
      </c>
      <c r="G118" s="277">
        <v>146.5</v>
      </c>
      <c r="H118" s="277">
        <v>146.5</v>
      </c>
      <c r="I118" s="277">
        <v>146.5</v>
      </c>
      <c r="J118" s="277">
        <v>146.5</v>
      </c>
      <c r="K118" s="277">
        <v>146.5</v>
      </c>
      <c r="L118" s="277">
        <v>146.5</v>
      </c>
      <c r="M118" s="277">
        <v>146.5</v>
      </c>
      <c r="N118" s="277">
        <v>146.5</v>
      </c>
      <c r="O118" s="277">
        <v>146.5</v>
      </c>
      <c r="P118" s="277">
        <v>146.5</v>
      </c>
      <c r="Q118" s="277">
        <v>146.5</v>
      </c>
      <c r="R118" s="277">
        <v>146.5</v>
      </c>
      <c r="S118" s="277">
        <v>146.5</v>
      </c>
      <c r="T118" s="277">
        <v>146.5</v>
      </c>
      <c r="U118" s="277">
        <v>146.5</v>
      </c>
      <c r="V118" s="277">
        <v>146.5</v>
      </c>
      <c r="W118" s="277">
        <v>146.5</v>
      </c>
      <c r="X118" s="277">
        <v>146.5</v>
      </c>
      <c r="Y118" s="277">
        <v>146.5</v>
      </c>
      <c r="Z118" s="277">
        <v>146.5</v>
      </c>
      <c r="AA118" s="277">
        <v>146.5</v>
      </c>
      <c r="AB118" s="277">
        <v>146.5</v>
      </c>
      <c r="AC118" s="277">
        <v>146.5</v>
      </c>
    </row>
    <row r="119" spans="1:29" ht="21.6" customHeight="1" x14ac:dyDescent="0.3">
      <c r="A119" s="815" t="s">
        <v>828</v>
      </c>
      <c r="B119" s="792" t="s">
        <v>139</v>
      </c>
      <c r="C119" s="792" t="s">
        <v>829</v>
      </c>
      <c r="D119" s="839" t="s">
        <v>827</v>
      </c>
      <c r="E119" s="234" t="s">
        <v>465</v>
      </c>
      <c r="F119" s="275">
        <v>117.2</v>
      </c>
      <c r="G119" s="275">
        <v>117.2</v>
      </c>
      <c r="H119" s="275">
        <v>117.2</v>
      </c>
      <c r="I119" s="275">
        <v>117.2</v>
      </c>
      <c r="J119" s="275">
        <v>117.2</v>
      </c>
      <c r="K119" s="275">
        <v>117.2</v>
      </c>
      <c r="L119" s="275">
        <v>117.2</v>
      </c>
      <c r="M119" s="275">
        <v>117.2</v>
      </c>
      <c r="N119" s="275">
        <v>117.2</v>
      </c>
      <c r="O119" s="275">
        <v>117.2</v>
      </c>
      <c r="P119" s="275">
        <v>117.2</v>
      </c>
      <c r="Q119" s="275">
        <v>117.2</v>
      </c>
      <c r="R119" s="275">
        <v>117.2</v>
      </c>
      <c r="S119" s="275">
        <v>117.2</v>
      </c>
      <c r="T119" s="275">
        <v>117.2</v>
      </c>
      <c r="U119" s="275">
        <v>117.2</v>
      </c>
      <c r="V119" s="275">
        <v>117.2</v>
      </c>
      <c r="W119" s="275">
        <v>117.2</v>
      </c>
      <c r="X119" s="275">
        <v>117.2</v>
      </c>
      <c r="Y119" s="275">
        <v>117.2</v>
      </c>
      <c r="Z119" s="275">
        <v>117.2</v>
      </c>
      <c r="AA119" s="275">
        <v>117.2</v>
      </c>
      <c r="AB119" s="275">
        <v>117.2</v>
      </c>
      <c r="AC119" s="278">
        <v>117.2</v>
      </c>
    </row>
    <row r="120" spans="1:29" ht="21.6" customHeight="1" x14ac:dyDescent="0.3">
      <c r="A120" s="773"/>
      <c r="B120" s="819"/>
      <c r="C120" s="787"/>
      <c r="D120" s="790"/>
      <c r="E120" s="224" t="s">
        <v>466</v>
      </c>
      <c r="F120" s="276">
        <v>117.2</v>
      </c>
      <c r="G120" s="276">
        <v>117.2</v>
      </c>
      <c r="H120" s="276">
        <v>117.2</v>
      </c>
      <c r="I120" s="276">
        <v>117.2</v>
      </c>
      <c r="J120" s="276">
        <v>117.2</v>
      </c>
      <c r="K120" s="276">
        <v>117.2</v>
      </c>
      <c r="L120" s="276">
        <v>117.2</v>
      </c>
      <c r="M120" s="276">
        <v>117.2</v>
      </c>
      <c r="N120" s="276">
        <v>117.2</v>
      </c>
      <c r="O120" s="276">
        <v>117.2</v>
      </c>
      <c r="P120" s="276">
        <v>117.2</v>
      </c>
      <c r="Q120" s="276">
        <v>117.2</v>
      </c>
      <c r="R120" s="276">
        <v>117.2</v>
      </c>
      <c r="S120" s="276">
        <v>117.2</v>
      </c>
      <c r="T120" s="276">
        <v>117.2</v>
      </c>
      <c r="U120" s="276">
        <v>117.2</v>
      </c>
      <c r="V120" s="276">
        <v>117.2</v>
      </c>
      <c r="W120" s="276">
        <v>117.2</v>
      </c>
      <c r="X120" s="276">
        <v>117.2</v>
      </c>
      <c r="Y120" s="276">
        <v>117.2</v>
      </c>
      <c r="Z120" s="276">
        <v>117.2</v>
      </c>
      <c r="AA120" s="276">
        <v>117.2</v>
      </c>
      <c r="AB120" s="276">
        <v>117.2</v>
      </c>
      <c r="AC120" s="279">
        <v>117.2</v>
      </c>
    </row>
    <row r="121" spans="1:29" ht="21.6" customHeight="1" thickBot="1" x14ac:dyDescent="0.35">
      <c r="A121" s="816"/>
      <c r="B121" s="820"/>
      <c r="C121" s="788"/>
      <c r="D121" s="838"/>
      <c r="E121" s="236" t="s">
        <v>467</v>
      </c>
      <c r="F121" s="277">
        <v>117.2</v>
      </c>
      <c r="G121" s="277">
        <v>117.2</v>
      </c>
      <c r="H121" s="277">
        <v>117.2</v>
      </c>
      <c r="I121" s="277">
        <v>117.2</v>
      </c>
      <c r="J121" s="277">
        <v>117.2</v>
      </c>
      <c r="K121" s="277">
        <v>117.2</v>
      </c>
      <c r="L121" s="277">
        <v>117.2</v>
      </c>
      <c r="M121" s="277">
        <v>117.2</v>
      </c>
      <c r="N121" s="277">
        <v>117.2</v>
      </c>
      <c r="O121" s="277">
        <v>117.2</v>
      </c>
      <c r="P121" s="277">
        <v>117.2</v>
      </c>
      <c r="Q121" s="277">
        <v>117.2</v>
      </c>
      <c r="R121" s="277">
        <v>117.2</v>
      </c>
      <c r="S121" s="277">
        <v>117.2</v>
      </c>
      <c r="T121" s="277">
        <v>117.2</v>
      </c>
      <c r="U121" s="277">
        <v>117.2</v>
      </c>
      <c r="V121" s="277">
        <v>117.2</v>
      </c>
      <c r="W121" s="277">
        <v>117.2</v>
      </c>
      <c r="X121" s="277">
        <v>117.2</v>
      </c>
      <c r="Y121" s="277">
        <v>117.2</v>
      </c>
      <c r="Z121" s="277">
        <v>117.2</v>
      </c>
      <c r="AA121" s="277">
        <v>117.2</v>
      </c>
      <c r="AB121" s="277">
        <v>117.2</v>
      </c>
      <c r="AC121" s="280">
        <v>117.2</v>
      </c>
    </row>
    <row r="122" spans="1:29" ht="21.6" customHeight="1" x14ac:dyDescent="0.3">
      <c r="A122" s="815" t="s">
        <v>830</v>
      </c>
      <c r="B122" s="792" t="s">
        <v>139</v>
      </c>
      <c r="C122" s="792" t="s">
        <v>831</v>
      </c>
      <c r="D122" s="857" t="s">
        <v>827</v>
      </c>
      <c r="E122" s="234" t="s">
        <v>465</v>
      </c>
      <c r="F122" s="275">
        <v>131.9</v>
      </c>
      <c r="G122" s="275">
        <v>131.9</v>
      </c>
      <c r="H122" s="275">
        <v>131.9</v>
      </c>
      <c r="I122" s="275">
        <v>131.9</v>
      </c>
      <c r="J122" s="275">
        <v>131.9</v>
      </c>
      <c r="K122" s="275">
        <v>131.9</v>
      </c>
      <c r="L122" s="275">
        <v>131.9</v>
      </c>
      <c r="M122" s="275">
        <v>131.9</v>
      </c>
      <c r="N122" s="275">
        <v>131.9</v>
      </c>
      <c r="O122" s="275">
        <v>131.9</v>
      </c>
      <c r="P122" s="275">
        <v>131.9</v>
      </c>
      <c r="Q122" s="275">
        <v>131.9</v>
      </c>
      <c r="R122" s="275">
        <v>131.9</v>
      </c>
      <c r="S122" s="275">
        <v>131.9</v>
      </c>
      <c r="T122" s="275">
        <v>131.9</v>
      </c>
      <c r="U122" s="275">
        <v>131.9</v>
      </c>
      <c r="V122" s="275">
        <v>131.9</v>
      </c>
      <c r="W122" s="275">
        <v>131.9</v>
      </c>
      <c r="X122" s="275">
        <v>131.9</v>
      </c>
      <c r="Y122" s="275">
        <v>131.9</v>
      </c>
      <c r="Z122" s="275">
        <v>131.9</v>
      </c>
      <c r="AA122" s="275">
        <v>131.9</v>
      </c>
      <c r="AB122" s="275">
        <v>131.9</v>
      </c>
      <c r="AC122" s="278">
        <v>131.9</v>
      </c>
    </row>
    <row r="123" spans="1:29" ht="21.6" customHeight="1" x14ac:dyDescent="0.3">
      <c r="A123" s="817"/>
      <c r="B123" s="819"/>
      <c r="C123" s="819"/>
      <c r="D123" s="858"/>
      <c r="E123" s="224" t="s">
        <v>466</v>
      </c>
      <c r="F123" s="276">
        <v>131.9</v>
      </c>
      <c r="G123" s="276">
        <v>131.9</v>
      </c>
      <c r="H123" s="276">
        <v>131.9</v>
      </c>
      <c r="I123" s="276">
        <v>131.9</v>
      </c>
      <c r="J123" s="276">
        <v>131.9</v>
      </c>
      <c r="K123" s="276">
        <v>131.9</v>
      </c>
      <c r="L123" s="276">
        <v>131.9</v>
      </c>
      <c r="M123" s="276">
        <v>131.9</v>
      </c>
      <c r="N123" s="276">
        <v>131.9</v>
      </c>
      <c r="O123" s="276">
        <v>131.9</v>
      </c>
      <c r="P123" s="276">
        <v>131.9</v>
      </c>
      <c r="Q123" s="276">
        <v>131.9</v>
      </c>
      <c r="R123" s="276">
        <v>131.9</v>
      </c>
      <c r="S123" s="276">
        <v>131.9</v>
      </c>
      <c r="T123" s="276">
        <v>131.9</v>
      </c>
      <c r="U123" s="276">
        <v>131.9</v>
      </c>
      <c r="V123" s="276">
        <v>131.9</v>
      </c>
      <c r="W123" s="276">
        <v>131.9</v>
      </c>
      <c r="X123" s="276">
        <v>131.9</v>
      </c>
      <c r="Y123" s="276">
        <v>131.9</v>
      </c>
      <c r="Z123" s="276">
        <v>131.9</v>
      </c>
      <c r="AA123" s="276">
        <v>131.9</v>
      </c>
      <c r="AB123" s="276">
        <v>131.9</v>
      </c>
      <c r="AC123" s="279">
        <v>131.9</v>
      </c>
    </row>
    <row r="124" spans="1:29" ht="21.6" customHeight="1" thickBot="1" x14ac:dyDescent="0.35">
      <c r="A124" s="818"/>
      <c r="B124" s="820"/>
      <c r="C124" s="860"/>
      <c r="D124" s="861"/>
      <c r="E124" s="236" t="s">
        <v>467</v>
      </c>
      <c r="F124" s="277">
        <v>131.9</v>
      </c>
      <c r="G124" s="277">
        <v>131.9</v>
      </c>
      <c r="H124" s="277">
        <v>131.9</v>
      </c>
      <c r="I124" s="277">
        <v>131.9</v>
      </c>
      <c r="J124" s="277">
        <v>131.9</v>
      </c>
      <c r="K124" s="277">
        <v>131.9</v>
      </c>
      <c r="L124" s="277">
        <v>131.9</v>
      </c>
      <c r="M124" s="277">
        <v>131.9</v>
      </c>
      <c r="N124" s="277">
        <v>131.9</v>
      </c>
      <c r="O124" s="277">
        <v>131.9</v>
      </c>
      <c r="P124" s="277">
        <v>131.9</v>
      </c>
      <c r="Q124" s="277">
        <v>131.9</v>
      </c>
      <c r="R124" s="277">
        <v>131.9</v>
      </c>
      <c r="S124" s="277">
        <v>131.9</v>
      </c>
      <c r="T124" s="277">
        <v>131.9</v>
      </c>
      <c r="U124" s="277">
        <v>131.9</v>
      </c>
      <c r="V124" s="277">
        <v>131.9</v>
      </c>
      <c r="W124" s="277">
        <v>131.9</v>
      </c>
      <c r="X124" s="277">
        <v>131.9</v>
      </c>
      <c r="Y124" s="277">
        <v>131.9</v>
      </c>
      <c r="Z124" s="277">
        <v>131.9</v>
      </c>
      <c r="AA124" s="277">
        <v>131.9</v>
      </c>
      <c r="AB124" s="277">
        <v>131.9</v>
      </c>
      <c r="AC124" s="280">
        <v>131.9</v>
      </c>
    </row>
    <row r="125" spans="1:29" ht="16.5" customHeight="1" x14ac:dyDescent="0.3">
      <c r="A125" s="862" t="s">
        <v>250</v>
      </c>
      <c r="B125" s="863"/>
      <c r="C125" s="863"/>
      <c r="D125" s="863"/>
      <c r="E125" s="863"/>
      <c r="F125" s="863"/>
      <c r="G125" s="863"/>
      <c r="H125" s="863"/>
      <c r="I125" s="863"/>
      <c r="J125" s="863"/>
      <c r="K125" s="863"/>
      <c r="L125" s="863"/>
      <c r="M125" s="863"/>
      <c r="N125" s="863"/>
      <c r="O125" s="863"/>
      <c r="P125" s="863"/>
      <c r="Q125" s="863"/>
      <c r="R125" s="863"/>
      <c r="S125" s="863"/>
      <c r="T125" s="863"/>
      <c r="U125" s="863"/>
      <c r="V125" s="863"/>
      <c r="W125" s="863"/>
      <c r="X125" s="863"/>
      <c r="Y125" s="863"/>
      <c r="Z125" s="863"/>
      <c r="AA125" s="863"/>
      <c r="AB125" s="863"/>
      <c r="AC125" s="864"/>
    </row>
    <row r="126" spans="1:29" ht="16.5" customHeight="1" x14ac:dyDescent="0.3">
      <c r="A126" s="917" t="s">
        <v>832</v>
      </c>
      <c r="B126" s="918" t="s">
        <v>250</v>
      </c>
      <c r="C126" s="918" t="s">
        <v>804</v>
      </c>
      <c r="D126" s="919" t="s">
        <v>441</v>
      </c>
      <c r="E126" s="920" t="s">
        <v>465</v>
      </c>
      <c r="F126" s="921">
        <v>0</v>
      </c>
      <c r="G126" s="921">
        <v>0</v>
      </c>
      <c r="H126" s="921">
        <v>0</v>
      </c>
      <c r="I126" s="921">
        <v>0</v>
      </c>
      <c r="J126" s="921">
        <v>0</v>
      </c>
      <c r="K126" s="921">
        <v>0</v>
      </c>
      <c r="L126" s="921">
        <v>0</v>
      </c>
      <c r="M126" s="921">
        <v>0</v>
      </c>
      <c r="N126" s="921">
        <v>0.2</v>
      </c>
      <c r="O126" s="921">
        <v>0.2</v>
      </c>
      <c r="P126" s="921">
        <v>0.2</v>
      </c>
      <c r="Q126" s="921">
        <v>0.8</v>
      </c>
      <c r="R126" s="921">
        <v>0.8</v>
      </c>
      <c r="S126" s="921">
        <v>0.8</v>
      </c>
      <c r="T126" s="921">
        <v>0.8</v>
      </c>
      <c r="U126" s="921">
        <v>0.8</v>
      </c>
      <c r="V126" s="921">
        <v>0.8</v>
      </c>
      <c r="W126" s="921">
        <v>0.8</v>
      </c>
      <c r="X126" s="921">
        <v>0.2</v>
      </c>
      <c r="Y126" s="921">
        <v>0.2</v>
      </c>
      <c r="Z126" s="921">
        <v>0.2</v>
      </c>
      <c r="AA126" s="921">
        <v>0.2</v>
      </c>
      <c r="AB126" s="921">
        <v>0.1</v>
      </c>
      <c r="AC126" s="922">
        <v>0</v>
      </c>
    </row>
    <row r="127" spans="1:29" ht="16.5" customHeight="1" x14ac:dyDescent="0.3">
      <c r="A127" s="923"/>
      <c r="B127" s="924"/>
      <c r="C127" s="924"/>
      <c r="D127" s="925"/>
      <c r="E127" s="926" t="s">
        <v>466</v>
      </c>
      <c r="F127" s="927">
        <v>0</v>
      </c>
      <c r="G127" s="927">
        <v>0</v>
      </c>
      <c r="H127" s="927">
        <v>0</v>
      </c>
      <c r="I127" s="927">
        <v>0</v>
      </c>
      <c r="J127" s="927">
        <v>0</v>
      </c>
      <c r="K127" s="927">
        <v>0</v>
      </c>
      <c r="L127" s="927">
        <v>0</v>
      </c>
      <c r="M127" s="927">
        <v>0</v>
      </c>
      <c r="N127" s="927">
        <v>0.2</v>
      </c>
      <c r="O127" s="927">
        <v>0.2</v>
      </c>
      <c r="P127" s="927">
        <v>0.2</v>
      </c>
      <c r="Q127" s="927">
        <v>0.6</v>
      </c>
      <c r="R127" s="927">
        <v>0.6</v>
      </c>
      <c r="S127" s="927">
        <v>0.6</v>
      </c>
      <c r="T127" s="927">
        <v>0.6</v>
      </c>
      <c r="U127" s="927">
        <v>0.6</v>
      </c>
      <c r="V127" s="927">
        <v>0.6</v>
      </c>
      <c r="W127" s="927">
        <v>0.6</v>
      </c>
      <c r="X127" s="927">
        <v>0.6</v>
      </c>
      <c r="Y127" s="927">
        <v>0.6</v>
      </c>
      <c r="Z127" s="927">
        <v>0.6</v>
      </c>
      <c r="AA127" s="927">
        <v>0.8</v>
      </c>
      <c r="AB127" s="927">
        <v>0.1</v>
      </c>
      <c r="AC127" s="928">
        <v>0</v>
      </c>
    </row>
    <row r="128" spans="1:29" ht="16.5" customHeight="1" x14ac:dyDescent="0.3">
      <c r="A128" s="929"/>
      <c r="B128" s="930"/>
      <c r="C128" s="930"/>
      <c r="D128" s="931"/>
      <c r="E128" s="932" t="s">
        <v>467</v>
      </c>
      <c r="F128" s="933">
        <v>0</v>
      </c>
      <c r="G128" s="933">
        <v>0</v>
      </c>
      <c r="H128" s="933">
        <v>0</v>
      </c>
      <c r="I128" s="933">
        <v>0</v>
      </c>
      <c r="J128" s="933">
        <v>0</v>
      </c>
      <c r="K128" s="933">
        <v>0</v>
      </c>
      <c r="L128" s="933">
        <v>0</v>
      </c>
      <c r="M128" s="933">
        <v>0</v>
      </c>
      <c r="N128" s="933">
        <v>0.1</v>
      </c>
      <c r="O128" s="933">
        <v>0.1</v>
      </c>
      <c r="P128" s="933">
        <v>0.1</v>
      </c>
      <c r="Q128" s="933">
        <v>0.1</v>
      </c>
      <c r="R128" s="933">
        <v>0.1</v>
      </c>
      <c r="S128" s="933">
        <v>0.7</v>
      </c>
      <c r="T128" s="933">
        <v>0.7</v>
      </c>
      <c r="U128" s="933">
        <v>0.7</v>
      </c>
      <c r="V128" s="933">
        <v>0.7</v>
      </c>
      <c r="W128" s="933">
        <v>0.7</v>
      </c>
      <c r="X128" s="933">
        <v>0.7</v>
      </c>
      <c r="Y128" s="933">
        <v>0.7</v>
      </c>
      <c r="Z128" s="933">
        <v>0.7</v>
      </c>
      <c r="AA128" s="933">
        <v>0.7</v>
      </c>
      <c r="AB128" s="933">
        <v>0.2</v>
      </c>
      <c r="AC128" s="934">
        <v>0</v>
      </c>
    </row>
    <row r="129" spans="1:29" ht="16.5" customHeight="1" x14ac:dyDescent="0.3">
      <c r="A129" s="917" t="s">
        <v>832</v>
      </c>
      <c r="B129" s="935" t="str">
        <f>B126</f>
        <v>AncillaryAssembly</v>
      </c>
      <c r="C129" s="936" t="s">
        <v>805</v>
      </c>
      <c r="D129" s="937" t="str">
        <f>D126</f>
        <v>T24 2022 - Appendix 5.4B, [Assembly]</v>
      </c>
      <c r="E129" s="938" t="s">
        <v>465</v>
      </c>
      <c r="F129" s="939">
        <v>0.05</v>
      </c>
      <c r="G129" s="939">
        <v>0.05</v>
      </c>
      <c r="H129" s="939">
        <v>0.05</v>
      </c>
      <c r="I129" s="939">
        <v>0.05</v>
      </c>
      <c r="J129" s="939">
        <v>0.05</v>
      </c>
      <c r="K129" s="939">
        <v>0.05</v>
      </c>
      <c r="L129" s="939">
        <v>0.35</v>
      </c>
      <c r="M129" s="939">
        <v>0.35</v>
      </c>
      <c r="N129" s="939">
        <v>0.35</v>
      </c>
      <c r="O129" s="939">
        <v>0.65</v>
      </c>
      <c r="P129" s="939">
        <v>0.65</v>
      </c>
      <c r="Q129" s="939">
        <v>0.65</v>
      </c>
      <c r="R129" s="939">
        <v>0.65</v>
      </c>
      <c r="S129" s="939">
        <v>0.65</v>
      </c>
      <c r="T129" s="939">
        <v>0.65</v>
      </c>
      <c r="U129" s="939">
        <v>0.65</v>
      </c>
      <c r="V129" s="939">
        <v>0.65</v>
      </c>
      <c r="W129" s="939">
        <v>0.65</v>
      </c>
      <c r="X129" s="939">
        <v>0.65</v>
      </c>
      <c r="Y129" s="939">
        <v>0.65</v>
      </c>
      <c r="Z129" s="939">
        <v>0.65</v>
      </c>
      <c r="AA129" s="939">
        <v>0.65</v>
      </c>
      <c r="AB129" s="939">
        <v>0.25</v>
      </c>
      <c r="AC129" s="940">
        <v>0.05</v>
      </c>
    </row>
    <row r="130" spans="1:29" ht="16.5" customHeight="1" x14ac:dyDescent="0.3">
      <c r="A130" s="923"/>
      <c r="B130" s="941"/>
      <c r="C130" s="924"/>
      <c r="D130" s="925"/>
      <c r="E130" s="926" t="s">
        <v>466</v>
      </c>
      <c r="F130" s="927">
        <v>0.05</v>
      </c>
      <c r="G130" s="927">
        <v>0.05</v>
      </c>
      <c r="H130" s="927">
        <v>0.05</v>
      </c>
      <c r="I130" s="927">
        <v>0.05</v>
      </c>
      <c r="J130" s="927">
        <v>0.05</v>
      </c>
      <c r="K130" s="927">
        <v>0.05</v>
      </c>
      <c r="L130" s="927">
        <v>0.05</v>
      </c>
      <c r="M130" s="927">
        <v>0.3</v>
      </c>
      <c r="N130" s="927">
        <v>0.3</v>
      </c>
      <c r="O130" s="927">
        <v>0.4</v>
      </c>
      <c r="P130" s="927">
        <v>0.4</v>
      </c>
      <c r="Q130" s="927">
        <v>0.4</v>
      </c>
      <c r="R130" s="927">
        <v>0.4</v>
      </c>
      <c r="S130" s="927">
        <v>0.4</v>
      </c>
      <c r="T130" s="927">
        <v>0.4</v>
      </c>
      <c r="U130" s="927">
        <v>0.4</v>
      </c>
      <c r="V130" s="927">
        <v>0.4</v>
      </c>
      <c r="W130" s="927">
        <v>0.4</v>
      </c>
      <c r="X130" s="927">
        <v>0.4</v>
      </c>
      <c r="Y130" s="927">
        <v>0.4</v>
      </c>
      <c r="Z130" s="927">
        <v>0.4</v>
      </c>
      <c r="AA130" s="927">
        <v>0.4</v>
      </c>
      <c r="AB130" s="927">
        <v>0.4</v>
      </c>
      <c r="AC130" s="942">
        <v>0.05</v>
      </c>
    </row>
    <row r="131" spans="1:29" ht="16.5" customHeight="1" x14ac:dyDescent="0.3">
      <c r="A131" s="929"/>
      <c r="B131" s="943"/>
      <c r="C131" s="944"/>
      <c r="D131" s="945"/>
      <c r="E131" s="946" t="s">
        <v>467</v>
      </c>
      <c r="F131" s="947">
        <v>0.05</v>
      </c>
      <c r="G131" s="947">
        <v>0.05</v>
      </c>
      <c r="H131" s="947">
        <v>0.05</v>
      </c>
      <c r="I131" s="947">
        <v>0.05</v>
      </c>
      <c r="J131" s="947">
        <v>0.05</v>
      </c>
      <c r="K131" s="947">
        <v>0.05</v>
      </c>
      <c r="L131" s="947">
        <v>0.05</v>
      </c>
      <c r="M131" s="947">
        <v>0.3</v>
      </c>
      <c r="N131" s="947">
        <v>0.3</v>
      </c>
      <c r="O131" s="947">
        <v>0.3</v>
      </c>
      <c r="P131" s="947">
        <v>0.3</v>
      </c>
      <c r="Q131" s="947">
        <v>0.3</v>
      </c>
      <c r="R131" s="947">
        <v>0.55000000000000004</v>
      </c>
      <c r="S131" s="947">
        <v>0.55000000000000004</v>
      </c>
      <c r="T131" s="947">
        <v>0.55000000000000004</v>
      </c>
      <c r="U131" s="947">
        <v>0.55000000000000004</v>
      </c>
      <c r="V131" s="947">
        <v>0.55000000000000004</v>
      </c>
      <c r="W131" s="947">
        <v>0.55000000000000004</v>
      </c>
      <c r="X131" s="947">
        <v>0.55000000000000004</v>
      </c>
      <c r="Y131" s="947">
        <v>0.55000000000000004</v>
      </c>
      <c r="Z131" s="947">
        <v>0.55000000000000004</v>
      </c>
      <c r="AA131" s="947">
        <v>0.55000000000000004</v>
      </c>
      <c r="AB131" s="947">
        <v>0.05</v>
      </c>
      <c r="AC131" s="948">
        <v>0.05</v>
      </c>
    </row>
    <row r="132" spans="1:29" ht="16.5" customHeight="1" x14ac:dyDescent="0.3">
      <c r="A132" s="917" t="s">
        <v>832</v>
      </c>
      <c r="B132" s="949" t="str">
        <f t="shared" ref="B132" si="2">B129</f>
        <v>AncillaryAssembly</v>
      </c>
      <c r="C132" s="950" t="s">
        <v>806</v>
      </c>
      <c r="D132" s="937" t="str">
        <f t="shared" ref="D132" si="3">D129</f>
        <v>T24 2022 - Appendix 5.4B, [Assembly]</v>
      </c>
      <c r="E132" s="951" t="s">
        <v>465</v>
      </c>
      <c r="F132" s="952">
        <v>0.05</v>
      </c>
      <c r="G132" s="952">
        <v>0.05</v>
      </c>
      <c r="H132" s="952">
        <v>0.05</v>
      </c>
      <c r="I132" s="952">
        <v>0.05</v>
      </c>
      <c r="J132" s="952">
        <v>0.05</v>
      </c>
      <c r="K132" s="952">
        <v>0.05</v>
      </c>
      <c r="L132" s="952">
        <v>0.4</v>
      </c>
      <c r="M132" s="952">
        <v>0.4</v>
      </c>
      <c r="N132" s="952">
        <v>0.4</v>
      </c>
      <c r="O132" s="952">
        <v>0.75</v>
      </c>
      <c r="P132" s="952">
        <v>0.75</v>
      </c>
      <c r="Q132" s="952">
        <v>0.75</v>
      </c>
      <c r="R132" s="952">
        <v>0.75</v>
      </c>
      <c r="S132" s="952">
        <v>0.75</v>
      </c>
      <c r="T132" s="952">
        <v>0.75</v>
      </c>
      <c r="U132" s="952">
        <v>0.75</v>
      </c>
      <c r="V132" s="952">
        <v>0.75</v>
      </c>
      <c r="W132" s="952">
        <v>0.75</v>
      </c>
      <c r="X132" s="952">
        <v>0.75</v>
      </c>
      <c r="Y132" s="952">
        <v>0.75</v>
      </c>
      <c r="Z132" s="952">
        <v>0.75</v>
      </c>
      <c r="AA132" s="952">
        <v>0.75</v>
      </c>
      <c r="AB132" s="952">
        <v>0.25</v>
      </c>
      <c r="AC132" s="953">
        <v>0.05</v>
      </c>
    </row>
    <row r="133" spans="1:29" ht="16.5" customHeight="1" x14ac:dyDescent="0.3">
      <c r="A133" s="923"/>
      <c r="B133" s="941"/>
      <c r="C133" s="954"/>
      <c r="D133" s="925"/>
      <c r="E133" s="926" t="s">
        <v>466</v>
      </c>
      <c r="F133" s="927">
        <v>0.05</v>
      </c>
      <c r="G133" s="927">
        <v>0.05</v>
      </c>
      <c r="H133" s="927">
        <v>0.05</v>
      </c>
      <c r="I133" s="927">
        <v>0.05</v>
      </c>
      <c r="J133" s="927">
        <v>0.05</v>
      </c>
      <c r="K133" s="927">
        <v>0.05</v>
      </c>
      <c r="L133" s="927">
        <v>0.05</v>
      </c>
      <c r="M133" s="927">
        <v>0.3</v>
      </c>
      <c r="N133" s="927">
        <v>0.3</v>
      </c>
      <c r="O133" s="927">
        <v>0.5</v>
      </c>
      <c r="P133" s="927">
        <v>0.5</v>
      </c>
      <c r="Q133" s="927">
        <v>0.5</v>
      </c>
      <c r="R133" s="927">
        <v>0.5</v>
      </c>
      <c r="S133" s="927">
        <v>0.5</v>
      </c>
      <c r="T133" s="927">
        <v>0.5</v>
      </c>
      <c r="U133" s="927">
        <v>0.5</v>
      </c>
      <c r="V133" s="927">
        <v>0.5</v>
      </c>
      <c r="W133" s="927">
        <v>0.5</v>
      </c>
      <c r="X133" s="927">
        <v>0.5</v>
      </c>
      <c r="Y133" s="927">
        <v>0.5</v>
      </c>
      <c r="Z133" s="927">
        <v>0.5</v>
      </c>
      <c r="AA133" s="927">
        <v>0.5</v>
      </c>
      <c r="AB133" s="927">
        <v>0.5</v>
      </c>
      <c r="AC133" s="942">
        <v>0.05</v>
      </c>
    </row>
    <row r="134" spans="1:29" ht="16.5" customHeight="1" x14ac:dyDescent="0.3">
      <c r="A134" s="929"/>
      <c r="B134" s="943"/>
      <c r="C134" s="955"/>
      <c r="D134" s="945"/>
      <c r="E134" s="956" t="s">
        <v>467</v>
      </c>
      <c r="F134" s="957">
        <v>0.05</v>
      </c>
      <c r="G134" s="957">
        <v>0.05</v>
      </c>
      <c r="H134" s="957">
        <v>0.05</v>
      </c>
      <c r="I134" s="957">
        <v>0.05</v>
      </c>
      <c r="J134" s="957">
        <v>0.05</v>
      </c>
      <c r="K134" s="957">
        <v>0.05</v>
      </c>
      <c r="L134" s="957">
        <v>0.05</v>
      </c>
      <c r="M134" s="957">
        <v>0.3</v>
      </c>
      <c r="N134" s="957">
        <v>0.3</v>
      </c>
      <c r="O134" s="957">
        <v>0.3</v>
      </c>
      <c r="P134" s="957">
        <v>0.3</v>
      </c>
      <c r="Q134" s="957">
        <v>0.3</v>
      </c>
      <c r="R134" s="957">
        <v>0.65</v>
      </c>
      <c r="S134" s="957">
        <v>0.65</v>
      </c>
      <c r="T134" s="957">
        <v>0.65</v>
      </c>
      <c r="U134" s="957">
        <v>0.65</v>
      </c>
      <c r="V134" s="957">
        <v>0.65</v>
      </c>
      <c r="W134" s="957">
        <v>0.65</v>
      </c>
      <c r="X134" s="957">
        <v>0.65</v>
      </c>
      <c r="Y134" s="957">
        <v>0.65</v>
      </c>
      <c r="Z134" s="957">
        <v>0.65</v>
      </c>
      <c r="AA134" s="957">
        <v>0.65</v>
      </c>
      <c r="AB134" s="957">
        <v>0.05</v>
      </c>
      <c r="AC134" s="958">
        <v>0.05</v>
      </c>
    </row>
    <row r="135" spans="1:29" ht="16.5" customHeight="1" x14ac:dyDescent="0.3">
      <c r="A135" s="917" t="s">
        <v>832</v>
      </c>
      <c r="B135" s="959" t="str">
        <f t="shared" ref="B135" si="4">B132</f>
        <v>AncillaryAssembly</v>
      </c>
      <c r="C135" s="950" t="s">
        <v>807</v>
      </c>
      <c r="D135" s="937" t="str">
        <f t="shared" ref="D135" si="5">D132</f>
        <v>T24 2022 - Appendix 5.4B, [Assembly]</v>
      </c>
      <c r="E135" s="951" t="s">
        <v>465</v>
      </c>
      <c r="F135" s="952">
        <v>0</v>
      </c>
      <c r="G135" s="952">
        <v>0</v>
      </c>
      <c r="H135" s="952">
        <v>0</v>
      </c>
      <c r="I135" s="952">
        <v>0</v>
      </c>
      <c r="J135" s="952">
        <v>0</v>
      </c>
      <c r="K135" s="952">
        <v>0</v>
      </c>
      <c r="L135" s="952">
        <v>0</v>
      </c>
      <c r="M135" s="952">
        <v>1</v>
      </c>
      <c r="N135" s="952">
        <v>1</v>
      </c>
      <c r="O135" s="952">
        <v>1</v>
      </c>
      <c r="P135" s="952">
        <v>1</v>
      </c>
      <c r="Q135" s="952">
        <v>1</v>
      </c>
      <c r="R135" s="952">
        <v>1</v>
      </c>
      <c r="S135" s="952">
        <v>1</v>
      </c>
      <c r="T135" s="952">
        <v>1</v>
      </c>
      <c r="U135" s="952">
        <v>1</v>
      </c>
      <c r="V135" s="952">
        <v>1</v>
      </c>
      <c r="W135" s="952">
        <v>1</v>
      </c>
      <c r="X135" s="952">
        <v>1</v>
      </c>
      <c r="Y135" s="952">
        <v>1</v>
      </c>
      <c r="Z135" s="952">
        <v>1</v>
      </c>
      <c r="AA135" s="952">
        <v>1</v>
      </c>
      <c r="AB135" s="952">
        <v>1</v>
      </c>
      <c r="AC135" s="953">
        <v>0</v>
      </c>
    </row>
    <row r="136" spans="1:29" ht="16.5" customHeight="1" x14ac:dyDescent="0.3">
      <c r="A136" s="923"/>
      <c r="B136" s="924"/>
      <c r="C136" s="954"/>
      <c r="D136" s="925"/>
      <c r="E136" s="926" t="s">
        <v>466</v>
      </c>
      <c r="F136" s="927">
        <v>0</v>
      </c>
      <c r="G136" s="927">
        <v>0</v>
      </c>
      <c r="H136" s="927">
        <v>0</v>
      </c>
      <c r="I136" s="927">
        <v>0</v>
      </c>
      <c r="J136" s="927">
        <v>0</v>
      </c>
      <c r="K136" s="927">
        <v>0</v>
      </c>
      <c r="L136" s="927">
        <v>0</v>
      </c>
      <c r="M136" s="927">
        <v>1</v>
      </c>
      <c r="N136" s="927">
        <v>1</v>
      </c>
      <c r="O136" s="927">
        <v>1</v>
      </c>
      <c r="P136" s="927">
        <v>1</v>
      </c>
      <c r="Q136" s="927">
        <v>1</v>
      </c>
      <c r="R136" s="927">
        <v>1</v>
      </c>
      <c r="S136" s="927">
        <v>1</v>
      </c>
      <c r="T136" s="927">
        <v>1</v>
      </c>
      <c r="U136" s="927">
        <v>1</v>
      </c>
      <c r="V136" s="927">
        <v>1</v>
      </c>
      <c r="W136" s="927">
        <v>1</v>
      </c>
      <c r="X136" s="927">
        <v>1</v>
      </c>
      <c r="Y136" s="927">
        <v>1</v>
      </c>
      <c r="Z136" s="927">
        <v>1</v>
      </c>
      <c r="AA136" s="927">
        <v>1</v>
      </c>
      <c r="AB136" s="927">
        <v>1</v>
      </c>
      <c r="AC136" s="942">
        <v>0</v>
      </c>
    </row>
    <row r="137" spans="1:29" ht="16.5" customHeight="1" x14ac:dyDescent="0.3">
      <c r="A137" s="929"/>
      <c r="B137" s="944"/>
      <c r="C137" s="960"/>
      <c r="D137" s="945"/>
      <c r="E137" s="946" t="s">
        <v>467</v>
      </c>
      <c r="F137" s="947">
        <v>0</v>
      </c>
      <c r="G137" s="947">
        <v>0</v>
      </c>
      <c r="H137" s="947">
        <v>0</v>
      </c>
      <c r="I137" s="947">
        <v>0</v>
      </c>
      <c r="J137" s="947">
        <v>0</v>
      </c>
      <c r="K137" s="947">
        <v>0</v>
      </c>
      <c r="L137" s="947">
        <v>0</v>
      </c>
      <c r="M137" s="947">
        <v>1</v>
      </c>
      <c r="N137" s="947">
        <v>1</v>
      </c>
      <c r="O137" s="947">
        <v>1</v>
      </c>
      <c r="P137" s="947">
        <v>1</v>
      </c>
      <c r="Q137" s="947">
        <v>1</v>
      </c>
      <c r="R137" s="947">
        <v>1</v>
      </c>
      <c r="S137" s="947">
        <v>1</v>
      </c>
      <c r="T137" s="947">
        <v>1</v>
      </c>
      <c r="U137" s="947">
        <v>1</v>
      </c>
      <c r="V137" s="947">
        <v>1</v>
      </c>
      <c r="W137" s="947">
        <v>1</v>
      </c>
      <c r="X137" s="947">
        <v>1</v>
      </c>
      <c r="Y137" s="947">
        <v>1</v>
      </c>
      <c r="Z137" s="947">
        <v>1</v>
      </c>
      <c r="AA137" s="947">
        <v>1</v>
      </c>
      <c r="AB137" s="947">
        <v>1</v>
      </c>
      <c r="AC137" s="948">
        <v>0</v>
      </c>
    </row>
    <row r="138" spans="1:29" ht="16.5" customHeight="1" x14ac:dyDescent="0.3">
      <c r="A138" s="917" t="s">
        <v>832</v>
      </c>
      <c r="B138" s="959" t="str">
        <f>B135</f>
        <v>AncillaryAssembly</v>
      </c>
      <c r="C138" s="961" t="s">
        <v>808</v>
      </c>
      <c r="D138" s="937" t="str">
        <f>D135</f>
        <v>T24 2022 - Appendix 5.4B, [Assembly]</v>
      </c>
      <c r="E138" s="938" t="s">
        <v>465</v>
      </c>
      <c r="F138" s="939">
        <v>0</v>
      </c>
      <c r="G138" s="939">
        <v>0</v>
      </c>
      <c r="H138" s="939">
        <v>0</v>
      </c>
      <c r="I138" s="939">
        <v>0</v>
      </c>
      <c r="J138" s="939">
        <v>0</v>
      </c>
      <c r="K138" s="939">
        <v>0</v>
      </c>
      <c r="L138" s="939">
        <v>0</v>
      </c>
      <c r="M138" s="939">
        <v>0</v>
      </c>
      <c r="N138" s="939">
        <v>0</v>
      </c>
      <c r="O138" s="939">
        <v>0.05</v>
      </c>
      <c r="P138" s="939">
        <v>0.05</v>
      </c>
      <c r="Q138" s="939">
        <v>0.35</v>
      </c>
      <c r="R138" s="939">
        <v>0.05</v>
      </c>
      <c r="S138" s="939">
        <v>0.05</v>
      </c>
      <c r="T138" s="939">
        <v>0.05</v>
      </c>
      <c r="U138" s="939">
        <v>0.05</v>
      </c>
      <c r="V138" s="939">
        <v>0.05</v>
      </c>
      <c r="W138" s="939">
        <v>0</v>
      </c>
      <c r="X138" s="939">
        <v>0</v>
      </c>
      <c r="Y138" s="939">
        <v>0</v>
      </c>
      <c r="Z138" s="939">
        <v>0</v>
      </c>
      <c r="AA138" s="939">
        <v>0</v>
      </c>
      <c r="AB138" s="939">
        <v>0</v>
      </c>
      <c r="AC138" s="940">
        <v>0</v>
      </c>
    </row>
    <row r="139" spans="1:29" ht="16.5" customHeight="1" x14ac:dyDescent="0.3">
      <c r="A139" s="923"/>
      <c r="B139" s="924"/>
      <c r="C139" s="954"/>
      <c r="D139" s="925"/>
      <c r="E139" s="926" t="s">
        <v>466</v>
      </c>
      <c r="F139" s="927">
        <v>0</v>
      </c>
      <c r="G139" s="927">
        <v>0</v>
      </c>
      <c r="H139" s="927">
        <v>0</v>
      </c>
      <c r="I139" s="927">
        <v>0</v>
      </c>
      <c r="J139" s="927">
        <v>0</v>
      </c>
      <c r="K139" s="927">
        <v>0</v>
      </c>
      <c r="L139" s="927">
        <v>0</v>
      </c>
      <c r="M139" s="927">
        <v>0</v>
      </c>
      <c r="N139" s="927">
        <v>0</v>
      </c>
      <c r="O139" s="927">
        <v>0.05</v>
      </c>
      <c r="P139" s="927">
        <v>0.05</v>
      </c>
      <c r="Q139" s="927">
        <v>0.2</v>
      </c>
      <c r="R139" s="927">
        <v>0</v>
      </c>
      <c r="S139" s="927">
        <v>0</v>
      </c>
      <c r="T139" s="927">
        <v>0</v>
      </c>
      <c r="U139" s="927">
        <v>0</v>
      </c>
      <c r="V139" s="927">
        <v>0</v>
      </c>
      <c r="W139" s="927">
        <v>0</v>
      </c>
      <c r="X139" s="927">
        <v>0</v>
      </c>
      <c r="Y139" s="927">
        <v>0.65</v>
      </c>
      <c r="Z139" s="927">
        <v>0.3</v>
      </c>
      <c r="AA139" s="927">
        <v>0</v>
      </c>
      <c r="AB139" s="927">
        <v>0</v>
      </c>
      <c r="AC139" s="942">
        <v>0</v>
      </c>
    </row>
    <row r="140" spans="1:29" ht="16.5" customHeight="1" x14ac:dyDescent="0.3">
      <c r="A140" s="929"/>
      <c r="B140" s="944"/>
      <c r="C140" s="960"/>
      <c r="D140" s="945"/>
      <c r="E140" s="946" t="s">
        <v>467</v>
      </c>
      <c r="F140" s="947">
        <v>0</v>
      </c>
      <c r="G140" s="947">
        <v>0</v>
      </c>
      <c r="H140" s="947">
        <v>0</v>
      </c>
      <c r="I140" s="947">
        <v>0</v>
      </c>
      <c r="J140" s="947">
        <v>0</v>
      </c>
      <c r="K140" s="947">
        <v>0</v>
      </c>
      <c r="L140" s="947">
        <v>0</v>
      </c>
      <c r="M140" s="947">
        <v>0</v>
      </c>
      <c r="N140" s="947">
        <v>0</v>
      </c>
      <c r="O140" s="947">
        <v>0.05</v>
      </c>
      <c r="P140" s="947">
        <v>0.05</v>
      </c>
      <c r="Q140" s="947">
        <v>0.1</v>
      </c>
      <c r="R140" s="947">
        <v>0</v>
      </c>
      <c r="S140" s="947">
        <v>0</v>
      </c>
      <c r="T140" s="947">
        <v>0</v>
      </c>
      <c r="U140" s="947">
        <v>0</v>
      </c>
      <c r="V140" s="947">
        <v>0</v>
      </c>
      <c r="W140" s="947">
        <v>0</v>
      </c>
      <c r="X140" s="947">
        <v>0</v>
      </c>
      <c r="Y140" s="947">
        <v>0.65</v>
      </c>
      <c r="Z140" s="947">
        <v>0.3</v>
      </c>
      <c r="AA140" s="947">
        <v>0</v>
      </c>
      <c r="AB140" s="947">
        <v>0</v>
      </c>
      <c r="AC140" s="948">
        <v>0</v>
      </c>
    </row>
    <row r="141" spans="1:29" ht="16.5" customHeight="1" x14ac:dyDescent="0.3">
      <c r="A141" s="917" t="s">
        <v>832</v>
      </c>
      <c r="B141" s="959" t="str">
        <f t="shared" ref="B141" si="6">B138</f>
        <v>AncillaryAssembly</v>
      </c>
      <c r="C141" s="961" t="s">
        <v>340</v>
      </c>
      <c r="D141" s="937" t="str">
        <f>D138</f>
        <v>T24 2022 - Appendix 5.4B, [Assembly]</v>
      </c>
      <c r="E141" s="938" t="s">
        <v>465</v>
      </c>
      <c r="F141" s="939">
        <v>1</v>
      </c>
      <c r="G141" s="939">
        <v>1</v>
      </c>
      <c r="H141" s="939">
        <v>1</v>
      </c>
      <c r="I141" s="939">
        <v>1</v>
      </c>
      <c r="J141" s="939">
        <v>1</v>
      </c>
      <c r="K141" s="939">
        <v>1</v>
      </c>
      <c r="L141" s="939">
        <v>1</v>
      </c>
      <c r="M141" s="939">
        <v>0.25</v>
      </c>
      <c r="N141" s="939">
        <v>0.25</v>
      </c>
      <c r="O141" s="939">
        <v>0.25</v>
      </c>
      <c r="P141" s="939">
        <v>0.25</v>
      </c>
      <c r="Q141" s="939">
        <v>0.25</v>
      </c>
      <c r="R141" s="939">
        <v>0.25</v>
      </c>
      <c r="S141" s="939">
        <v>0.25</v>
      </c>
      <c r="T141" s="939">
        <v>0.25</v>
      </c>
      <c r="U141" s="939">
        <v>0.25</v>
      </c>
      <c r="V141" s="939">
        <v>0.25</v>
      </c>
      <c r="W141" s="939">
        <v>0.25</v>
      </c>
      <c r="X141" s="939">
        <v>0.25</v>
      </c>
      <c r="Y141" s="939">
        <v>0.25</v>
      </c>
      <c r="Z141" s="939">
        <v>0.25</v>
      </c>
      <c r="AA141" s="939">
        <v>0.25</v>
      </c>
      <c r="AB141" s="939">
        <v>0.25</v>
      </c>
      <c r="AC141" s="940">
        <v>1</v>
      </c>
    </row>
    <row r="142" spans="1:29" ht="16.5" customHeight="1" x14ac:dyDescent="0.3">
      <c r="A142" s="923"/>
      <c r="B142" s="924"/>
      <c r="C142" s="954"/>
      <c r="D142" s="925"/>
      <c r="E142" s="926" t="s">
        <v>466</v>
      </c>
      <c r="F142" s="927">
        <v>1</v>
      </c>
      <c r="G142" s="927">
        <v>1</v>
      </c>
      <c r="H142" s="927">
        <v>1</v>
      </c>
      <c r="I142" s="927">
        <v>1</v>
      </c>
      <c r="J142" s="927">
        <v>1</v>
      </c>
      <c r="K142" s="927">
        <v>1</v>
      </c>
      <c r="L142" s="927">
        <v>1</v>
      </c>
      <c r="M142" s="927">
        <v>0.25</v>
      </c>
      <c r="N142" s="927">
        <v>0.25</v>
      </c>
      <c r="O142" s="927">
        <v>0.25</v>
      </c>
      <c r="P142" s="927">
        <v>0.25</v>
      </c>
      <c r="Q142" s="927">
        <v>0.25</v>
      </c>
      <c r="R142" s="927">
        <v>0.25</v>
      </c>
      <c r="S142" s="927">
        <v>0.25</v>
      </c>
      <c r="T142" s="927">
        <v>0.25</v>
      </c>
      <c r="U142" s="927">
        <v>0.25</v>
      </c>
      <c r="V142" s="927">
        <v>0.25</v>
      </c>
      <c r="W142" s="927">
        <v>0.25</v>
      </c>
      <c r="X142" s="927">
        <v>0.25</v>
      </c>
      <c r="Y142" s="927">
        <v>0.25</v>
      </c>
      <c r="Z142" s="927">
        <v>0.25</v>
      </c>
      <c r="AA142" s="927">
        <v>0.25</v>
      </c>
      <c r="AB142" s="927">
        <v>0.25</v>
      </c>
      <c r="AC142" s="942">
        <v>1</v>
      </c>
    </row>
    <row r="143" spans="1:29" ht="16.5" customHeight="1" x14ac:dyDescent="0.3">
      <c r="A143" s="929"/>
      <c r="B143" s="944"/>
      <c r="C143" s="955"/>
      <c r="D143" s="945"/>
      <c r="E143" s="956" t="s">
        <v>467</v>
      </c>
      <c r="F143" s="957">
        <v>1</v>
      </c>
      <c r="G143" s="957">
        <v>1</v>
      </c>
      <c r="H143" s="957">
        <v>1</v>
      </c>
      <c r="I143" s="957">
        <v>1</v>
      </c>
      <c r="J143" s="957">
        <v>1</v>
      </c>
      <c r="K143" s="957">
        <v>1</v>
      </c>
      <c r="L143" s="957">
        <v>1</v>
      </c>
      <c r="M143" s="957">
        <v>0.25</v>
      </c>
      <c r="N143" s="957">
        <v>0.25</v>
      </c>
      <c r="O143" s="957">
        <v>0.25</v>
      </c>
      <c r="P143" s="957">
        <v>0.25</v>
      </c>
      <c r="Q143" s="957">
        <v>0.25</v>
      </c>
      <c r="R143" s="957">
        <v>0.25</v>
      </c>
      <c r="S143" s="957">
        <v>0.25</v>
      </c>
      <c r="T143" s="957">
        <v>0.25</v>
      </c>
      <c r="U143" s="957">
        <v>0.25</v>
      </c>
      <c r="V143" s="957">
        <v>0.25</v>
      </c>
      <c r="W143" s="957">
        <v>0.25</v>
      </c>
      <c r="X143" s="957">
        <v>0.25</v>
      </c>
      <c r="Y143" s="957">
        <v>0.25</v>
      </c>
      <c r="Z143" s="957">
        <v>0.25</v>
      </c>
      <c r="AA143" s="957">
        <v>0.25</v>
      </c>
      <c r="AB143" s="957">
        <v>0.25</v>
      </c>
      <c r="AC143" s="958">
        <v>1</v>
      </c>
    </row>
    <row r="144" spans="1:29" ht="16.5" customHeight="1" x14ac:dyDescent="0.3">
      <c r="A144" s="917" t="s">
        <v>832</v>
      </c>
      <c r="B144" s="959" t="str">
        <f>B141</f>
        <v>AncillaryAssembly</v>
      </c>
      <c r="C144" s="950" t="s">
        <v>809</v>
      </c>
      <c r="D144" s="937" t="str">
        <f t="shared" ref="D144" si="7">D141</f>
        <v>T24 2022 - Appendix 5.4B, [Assembly]</v>
      </c>
      <c r="E144" s="951" t="s">
        <v>465</v>
      </c>
      <c r="F144" s="952">
        <v>0</v>
      </c>
      <c r="G144" s="952">
        <v>0</v>
      </c>
      <c r="H144" s="952">
        <v>0</v>
      </c>
      <c r="I144" s="952">
        <v>0</v>
      </c>
      <c r="J144" s="952">
        <v>0</v>
      </c>
      <c r="K144" s="952">
        <v>0</v>
      </c>
      <c r="L144" s="952">
        <v>0</v>
      </c>
      <c r="M144" s="952">
        <v>0</v>
      </c>
      <c r="N144" s="952">
        <v>0.3</v>
      </c>
      <c r="O144" s="952">
        <v>0.3</v>
      </c>
      <c r="P144" s="952">
        <v>0.2</v>
      </c>
      <c r="Q144" s="952">
        <v>0.9</v>
      </c>
      <c r="R144" s="952">
        <v>0.9</v>
      </c>
      <c r="S144" s="952">
        <v>0.9</v>
      </c>
      <c r="T144" s="952">
        <v>0.2</v>
      </c>
      <c r="U144" s="952">
        <v>0.2</v>
      </c>
      <c r="V144" s="952">
        <v>0.2</v>
      </c>
      <c r="W144" s="952">
        <v>0.5</v>
      </c>
      <c r="X144" s="952">
        <v>0.5</v>
      </c>
      <c r="Y144" s="952">
        <v>0.1</v>
      </c>
      <c r="Z144" s="952">
        <v>0.1</v>
      </c>
      <c r="AA144" s="952">
        <v>0.1</v>
      </c>
      <c r="AB144" s="952">
        <v>0</v>
      </c>
      <c r="AC144" s="953">
        <v>0</v>
      </c>
    </row>
    <row r="145" spans="1:29" ht="16.5" customHeight="1" x14ac:dyDescent="0.3">
      <c r="A145" s="923"/>
      <c r="B145" s="924"/>
      <c r="C145" s="954"/>
      <c r="D145" s="925"/>
      <c r="E145" s="926" t="s">
        <v>466</v>
      </c>
      <c r="F145" s="927">
        <v>0</v>
      </c>
      <c r="G145" s="927">
        <v>0</v>
      </c>
      <c r="H145" s="927">
        <v>0</v>
      </c>
      <c r="I145" s="927">
        <v>0</v>
      </c>
      <c r="J145" s="927">
        <v>0</v>
      </c>
      <c r="K145" s="927">
        <v>0</v>
      </c>
      <c r="L145" s="927">
        <v>0</v>
      </c>
      <c r="M145" s="927">
        <v>0</v>
      </c>
      <c r="N145" s="927">
        <v>0.3</v>
      </c>
      <c r="O145" s="927">
        <v>0.3</v>
      </c>
      <c r="P145" s="927">
        <v>0.2</v>
      </c>
      <c r="Q145" s="927">
        <v>0.7</v>
      </c>
      <c r="R145" s="927">
        <v>0.7</v>
      </c>
      <c r="S145" s="927">
        <v>0.7</v>
      </c>
      <c r="T145" s="927">
        <v>0.2</v>
      </c>
      <c r="U145" s="927">
        <v>0.2</v>
      </c>
      <c r="V145" s="927">
        <v>0.2</v>
      </c>
      <c r="W145" s="927">
        <v>0.4</v>
      </c>
      <c r="X145" s="927">
        <v>0.4</v>
      </c>
      <c r="Y145" s="927">
        <v>0.1</v>
      </c>
      <c r="Z145" s="927">
        <v>0.1</v>
      </c>
      <c r="AA145" s="927">
        <v>0.1</v>
      </c>
      <c r="AB145" s="927">
        <v>0</v>
      </c>
      <c r="AC145" s="942">
        <v>0</v>
      </c>
    </row>
    <row r="146" spans="1:29" ht="16.5" customHeight="1" x14ac:dyDescent="0.3">
      <c r="A146" s="929"/>
      <c r="B146" s="962"/>
      <c r="C146" s="955"/>
      <c r="D146" s="963"/>
      <c r="E146" s="956" t="s">
        <v>467</v>
      </c>
      <c r="F146" s="957">
        <v>0</v>
      </c>
      <c r="G146" s="957">
        <v>0</v>
      </c>
      <c r="H146" s="957">
        <v>0</v>
      </c>
      <c r="I146" s="957">
        <v>0</v>
      </c>
      <c r="J146" s="957">
        <v>0</v>
      </c>
      <c r="K146" s="957">
        <v>0</v>
      </c>
      <c r="L146" s="957">
        <v>0</v>
      </c>
      <c r="M146" s="957">
        <v>0</v>
      </c>
      <c r="N146" s="957">
        <v>0.2</v>
      </c>
      <c r="O146" s="957">
        <v>0.2</v>
      </c>
      <c r="P146" s="957">
        <v>0.1</v>
      </c>
      <c r="Q146" s="957">
        <v>0.1</v>
      </c>
      <c r="R146" s="957">
        <v>0.3</v>
      </c>
      <c r="S146" s="957">
        <v>0.8</v>
      </c>
      <c r="T146" s="957">
        <v>0.2</v>
      </c>
      <c r="U146" s="957">
        <v>0.2</v>
      </c>
      <c r="V146" s="957">
        <v>0.2</v>
      </c>
      <c r="W146" s="957">
        <v>0.5</v>
      </c>
      <c r="X146" s="957">
        <v>0.5</v>
      </c>
      <c r="Y146" s="957">
        <v>0.1</v>
      </c>
      <c r="Z146" s="957">
        <v>0.1</v>
      </c>
      <c r="AA146" s="957">
        <v>0.1</v>
      </c>
      <c r="AB146" s="957">
        <v>0</v>
      </c>
      <c r="AC146" s="958">
        <v>0</v>
      </c>
    </row>
    <row r="147" spans="1:29" ht="16.5" customHeight="1" x14ac:dyDescent="0.3">
      <c r="A147" s="917" t="s">
        <v>832</v>
      </c>
      <c r="B147" s="964" t="str">
        <f>B144</f>
        <v>AncillaryAssembly</v>
      </c>
      <c r="C147" s="964" t="s">
        <v>810</v>
      </c>
      <c r="D147" s="965" t="str">
        <f t="shared" ref="D147" si="8">D144</f>
        <v>T24 2022 - Appendix 5.4B, [Assembly]</v>
      </c>
      <c r="E147" s="966" t="s">
        <v>465</v>
      </c>
      <c r="F147" s="967">
        <f>IF((F135=1),Thermostat!$B$15,Thermostat!$B$16)</f>
        <v>60</v>
      </c>
      <c r="G147" s="967">
        <f>IF((G135=1),Thermostat!$B$15,Thermostat!$B$16)</f>
        <v>60</v>
      </c>
      <c r="H147" s="967">
        <f>IF((H135=1),Thermostat!$B$15,Thermostat!$B$16)</f>
        <v>60</v>
      </c>
      <c r="I147" s="967">
        <f>IF((I135=1),Thermostat!$B$15,Thermostat!$B$16)</f>
        <v>60</v>
      </c>
      <c r="J147" s="967">
        <f>IF((J135=1),Thermostat!$B$15,Thermostat!$B$16)</f>
        <v>60</v>
      </c>
      <c r="K147" s="967">
        <f>IF((K135=1),Thermostat!$B$15,Thermostat!$B$16)</f>
        <v>60</v>
      </c>
      <c r="L147" s="967">
        <f>IF((L135=1),Thermostat!$B$15,Thermostat!$B$16)</f>
        <v>60</v>
      </c>
      <c r="M147" s="967">
        <f>IF((M135=1),Thermostat!$B$15,Thermostat!$B$16)</f>
        <v>60</v>
      </c>
      <c r="N147" s="967">
        <f>IF((N135=1),Thermostat!$B$15,Thermostat!$B$16)</f>
        <v>60</v>
      </c>
      <c r="O147" s="967">
        <f>IF((O135=1),Thermostat!$B$15,Thermostat!$B$16)</f>
        <v>60</v>
      </c>
      <c r="P147" s="967">
        <f>IF((P135=1),Thermostat!$B$15,Thermostat!$B$16)</f>
        <v>60</v>
      </c>
      <c r="Q147" s="967">
        <f>IF((Q135=1),Thermostat!$B$15,Thermostat!$B$16)</f>
        <v>60</v>
      </c>
      <c r="R147" s="967">
        <f>IF((R135=1),Thermostat!$B$15,Thermostat!$B$16)</f>
        <v>60</v>
      </c>
      <c r="S147" s="967">
        <f>IF((S135=1),Thermostat!$B$15,Thermostat!$B$16)</f>
        <v>60</v>
      </c>
      <c r="T147" s="967">
        <f>IF((T135=1),Thermostat!$B$15,Thermostat!$B$16)</f>
        <v>60</v>
      </c>
      <c r="U147" s="967">
        <f>IF((U135=1),Thermostat!$B$15,Thermostat!$B$16)</f>
        <v>60</v>
      </c>
      <c r="V147" s="967">
        <f>IF((V135=1),Thermostat!$B$15,Thermostat!$B$16)</f>
        <v>60</v>
      </c>
      <c r="W147" s="967">
        <f>IF((W135=1),Thermostat!$B$15,Thermostat!$B$16)</f>
        <v>60</v>
      </c>
      <c r="X147" s="967">
        <f>IF((X135=1),Thermostat!$B$15,Thermostat!$B$16)</f>
        <v>60</v>
      </c>
      <c r="Y147" s="967">
        <f>IF((Y135=1),Thermostat!$B$15,Thermostat!$B$16)</f>
        <v>60</v>
      </c>
      <c r="Z147" s="967">
        <f>IF((Z135=1),Thermostat!$B$15,Thermostat!$B$16)</f>
        <v>60</v>
      </c>
      <c r="AA147" s="967">
        <f>IF((AA135=1),Thermostat!$B$15,Thermostat!$B$16)</f>
        <v>60</v>
      </c>
      <c r="AB147" s="967">
        <f>IF((AB135=1),Thermostat!$B$15,Thermostat!$B$16)</f>
        <v>60</v>
      </c>
      <c r="AC147" s="967">
        <f>IF((AC135=1),Thermostat!$B$15,Thermostat!$B$16)</f>
        <v>60</v>
      </c>
    </row>
    <row r="148" spans="1:29" ht="16.5" customHeight="1" x14ac:dyDescent="0.3">
      <c r="A148" s="923"/>
      <c r="B148" s="924"/>
      <c r="C148" s="924"/>
      <c r="D148" s="925"/>
      <c r="E148" s="926" t="s">
        <v>466</v>
      </c>
      <c r="F148" s="968">
        <f>IF((F136=1),Thermostat!$B$15,Thermostat!$B$16)</f>
        <v>60</v>
      </c>
      <c r="G148" s="968">
        <f>IF((G136=1),Thermostat!$B$15,Thermostat!$B$16)</f>
        <v>60</v>
      </c>
      <c r="H148" s="968">
        <f>IF((H136=1),Thermostat!$B$15,Thermostat!$B$16)</f>
        <v>60</v>
      </c>
      <c r="I148" s="968">
        <f>IF((I136=1),Thermostat!$B$15,Thermostat!$B$16)</f>
        <v>60</v>
      </c>
      <c r="J148" s="968">
        <f>IF((J136=1),Thermostat!$B$15,Thermostat!$B$16)</f>
        <v>60</v>
      </c>
      <c r="K148" s="968">
        <f>IF((K136=1),Thermostat!$B$15,Thermostat!$B$16)</f>
        <v>60</v>
      </c>
      <c r="L148" s="968">
        <f>IF((L136=1),Thermostat!$B$15,Thermostat!$B$16)</f>
        <v>60</v>
      </c>
      <c r="M148" s="968">
        <f>IF((M136=1),Thermostat!$B$15,Thermostat!$B$16)</f>
        <v>60</v>
      </c>
      <c r="N148" s="968">
        <f>IF((N136=1),Thermostat!$B$15,Thermostat!$B$16)</f>
        <v>60</v>
      </c>
      <c r="O148" s="968">
        <f>IF((O136=1),Thermostat!$B$15,Thermostat!$B$16)</f>
        <v>60</v>
      </c>
      <c r="P148" s="968">
        <f>IF((P136=1),Thermostat!$B$15,Thermostat!$B$16)</f>
        <v>60</v>
      </c>
      <c r="Q148" s="968">
        <f>IF((Q136=1),Thermostat!$B$15,Thermostat!$B$16)</f>
        <v>60</v>
      </c>
      <c r="R148" s="968">
        <f>IF((R136=1),Thermostat!$B$15,Thermostat!$B$16)</f>
        <v>60</v>
      </c>
      <c r="S148" s="968">
        <f>IF((S136=1),Thermostat!$B$15,Thermostat!$B$16)</f>
        <v>60</v>
      </c>
      <c r="T148" s="968">
        <f>IF((T136=1),Thermostat!$B$15,Thermostat!$B$16)</f>
        <v>60</v>
      </c>
      <c r="U148" s="968">
        <f>IF((U136=1),Thermostat!$B$15,Thermostat!$B$16)</f>
        <v>60</v>
      </c>
      <c r="V148" s="968">
        <f>IF((V136=1),Thermostat!$B$15,Thermostat!$B$16)</f>
        <v>60</v>
      </c>
      <c r="W148" s="968">
        <f>IF((W136=1),Thermostat!$B$15,Thermostat!$B$16)</f>
        <v>60</v>
      </c>
      <c r="X148" s="968">
        <f>IF((X136=1),Thermostat!$B$15,Thermostat!$B$16)</f>
        <v>60</v>
      </c>
      <c r="Y148" s="968">
        <f>IF((Y136=1),Thermostat!$B$15,Thermostat!$B$16)</f>
        <v>60</v>
      </c>
      <c r="Z148" s="968">
        <f>IF((Z136=1),Thermostat!$B$15,Thermostat!$B$16)</f>
        <v>60</v>
      </c>
      <c r="AA148" s="968">
        <f>IF((AA136=1),Thermostat!$B$15,Thermostat!$B$16)</f>
        <v>60</v>
      </c>
      <c r="AB148" s="968">
        <f>IF((AB136=1),Thermostat!$B$15,Thermostat!$B$16)</f>
        <v>60</v>
      </c>
      <c r="AC148" s="968">
        <f>IF((AC136=1),Thermostat!$B$15,Thermostat!$B$16)</f>
        <v>60</v>
      </c>
    </row>
    <row r="149" spans="1:29" ht="16.5" customHeight="1" x14ac:dyDescent="0.3">
      <c r="A149" s="929"/>
      <c r="B149" s="969"/>
      <c r="C149" s="969"/>
      <c r="D149" s="970"/>
      <c r="E149" s="971" t="s">
        <v>467</v>
      </c>
      <c r="F149" s="972">
        <f>IF((F137=1),Thermostat!$B$15,Thermostat!$B$16)</f>
        <v>60</v>
      </c>
      <c r="G149" s="972">
        <f>IF((G137=1),Thermostat!$B$15,Thermostat!$B$16)</f>
        <v>60</v>
      </c>
      <c r="H149" s="972">
        <f>IF((H137=1),Thermostat!$B$15,Thermostat!$B$16)</f>
        <v>60</v>
      </c>
      <c r="I149" s="972">
        <f>IF((I137=1),Thermostat!$B$15,Thermostat!$B$16)</f>
        <v>60</v>
      </c>
      <c r="J149" s="972">
        <f>IF((J137=1),Thermostat!$B$15,Thermostat!$B$16)</f>
        <v>60</v>
      </c>
      <c r="K149" s="972">
        <f>IF((K137=1),Thermostat!$B$15,Thermostat!$B$16)</f>
        <v>60</v>
      </c>
      <c r="L149" s="972">
        <f>IF((L137=1),Thermostat!$B$15,Thermostat!$B$16)</f>
        <v>60</v>
      </c>
      <c r="M149" s="972">
        <f>IF((M137=1),Thermostat!$B$15,Thermostat!$B$16)</f>
        <v>60</v>
      </c>
      <c r="N149" s="972">
        <f>IF((N137=1),Thermostat!$B$15,Thermostat!$B$16)</f>
        <v>60</v>
      </c>
      <c r="O149" s="972">
        <f>IF((O137=1),Thermostat!$B$15,Thermostat!$B$16)</f>
        <v>60</v>
      </c>
      <c r="P149" s="972">
        <f>IF((P137=1),Thermostat!$B$15,Thermostat!$B$16)</f>
        <v>60</v>
      </c>
      <c r="Q149" s="972">
        <f>IF((Q137=1),Thermostat!$B$15,Thermostat!$B$16)</f>
        <v>60</v>
      </c>
      <c r="R149" s="972">
        <f>IF((R137=1),Thermostat!$B$15,Thermostat!$B$16)</f>
        <v>60</v>
      </c>
      <c r="S149" s="972">
        <f>IF((S137=1),Thermostat!$B$15,Thermostat!$B$16)</f>
        <v>60</v>
      </c>
      <c r="T149" s="972">
        <f>IF((T137=1),Thermostat!$B$15,Thermostat!$B$16)</f>
        <v>60</v>
      </c>
      <c r="U149" s="972">
        <f>IF((U137=1),Thermostat!$B$15,Thermostat!$B$16)</f>
        <v>60</v>
      </c>
      <c r="V149" s="972">
        <f>IF((V137=1),Thermostat!$B$15,Thermostat!$B$16)</f>
        <v>60</v>
      </c>
      <c r="W149" s="972">
        <f>IF((W137=1),Thermostat!$B$15,Thermostat!$B$16)</f>
        <v>60</v>
      </c>
      <c r="X149" s="972">
        <f>IF((X137=1),Thermostat!$B$15,Thermostat!$B$16)</f>
        <v>60</v>
      </c>
      <c r="Y149" s="972">
        <f>IF((Y137=1),Thermostat!$B$15,Thermostat!$B$16)</f>
        <v>60</v>
      </c>
      <c r="Z149" s="972">
        <f>IF((Z137=1),Thermostat!$B$15,Thermostat!$B$16)</f>
        <v>60</v>
      </c>
      <c r="AA149" s="972">
        <f>IF((AA137=1),Thermostat!$B$15,Thermostat!$B$16)</f>
        <v>60</v>
      </c>
      <c r="AB149" s="972">
        <f>IF((AB137=1),Thermostat!$B$15,Thermostat!$B$16)</f>
        <v>60</v>
      </c>
      <c r="AC149" s="972">
        <f>IF((AC137=1),Thermostat!$B$15,Thermostat!$B$16)</f>
        <v>60</v>
      </c>
    </row>
    <row r="150" spans="1:29" ht="16.5" customHeight="1" x14ac:dyDescent="0.3">
      <c r="A150" s="917" t="s">
        <v>832</v>
      </c>
      <c r="B150" s="936" t="str">
        <f>B147</f>
        <v>AncillaryAssembly</v>
      </c>
      <c r="C150" s="936" t="s">
        <v>812</v>
      </c>
      <c r="D150" s="937" t="str">
        <f t="shared" ref="D150" si="9">D147</f>
        <v>T24 2022 - Appendix 5.4B, [Assembly]</v>
      </c>
      <c r="E150" s="938" t="s">
        <v>465</v>
      </c>
      <c r="F150" s="968">
        <f>IF((F135=1),Thermostat!$B$17,Thermostat!$B$18)</f>
        <v>85</v>
      </c>
      <c r="G150" s="968">
        <f>IF((G135=1),Thermostat!$B$17,Thermostat!$B$18)</f>
        <v>85</v>
      </c>
      <c r="H150" s="968">
        <f>IF((H135=1),Thermostat!$B$17,Thermostat!$B$18)</f>
        <v>85</v>
      </c>
      <c r="I150" s="968">
        <f>IF((I135=1),Thermostat!$B$17,Thermostat!$B$18)</f>
        <v>85</v>
      </c>
      <c r="J150" s="968">
        <f>IF((J135=1),Thermostat!$B$17,Thermostat!$B$18)</f>
        <v>85</v>
      </c>
      <c r="K150" s="968">
        <f>IF((K135=1),Thermostat!$B$17,Thermostat!$B$18)</f>
        <v>85</v>
      </c>
      <c r="L150" s="968">
        <f>IF((L135=1),Thermostat!$B$17,Thermostat!$B$18)</f>
        <v>85</v>
      </c>
      <c r="M150" s="968">
        <f>IF((M135=1),Thermostat!$B$17,Thermostat!$B$18)</f>
        <v>85</v>
      </c>
      <c r="N150" s="968">
        <f>IF((N135=1),Thermostat!$B$17,Thermostat!$B$18)</f>
        <v>85</v>
      </c>
      <c r="O150" s="968">
        <f>IF((O135=1),Thermostat!$B$17,Thermostat!$B$18)</f>
        <v>85</v>
      </c>
      <c r="P150" s="968">
        <f>IF((P135=1),Thermostat!$B$17,Thermostat!$B$18)</f>
        <v>85</v>
      </c>
      <c r="Q150" s="968">
        <f>IF((Q135=1),Thermostat!$B$17,Thermostat!$B$18)</f>
        <v>85</v>
      </c>
      <c r="R150" s="968">
        <f>IF((R135=1),Thermostat!$B$17,Thermostat!$B$18)</f>
        <v>85</v>
      </c>
      <c r="S150" s="968">
        <f>IF((S135=1),Thermostat!$B$17,Thermostat!$B$18)</f>
        <v>85</v>
      </c>
      <c r="T150" s="968">
        <f>IF((T135=1),Thermostat!$B$17,Thermostat!$B$18)</f>
        <v>85</v>
      </c>
      <c r="U150" s="968">
        <f>IF((U135=1),Thermostat!$B$17,Thermostat!$B$18)</f>
        <v>85</v>
      </c>
      <c r="V150" s="968">
        <f>IF((V135=1),Thermostat!$B$17,Thermostat!$B$18)</f>
        <v>85</v>
      </c>
      <c r="W150" s="968">
        <f>IF((W135=1),Thermostat!$B$17,Thermostat!$B$18)</f>
        <v>85</v>
      </c>
      <c r="X150" s="968">
        <f>IF((X135=1),Thermostat!$B$17,Thermostat!$B$18)</f>
        <v>85</v>
      </c>
      <c r="Y150" s="968">
        <f>IF((Y135=1),Thermostat!$B$17,Thermostat!$B$18)</f>
        <v>85</v>
      </c>
      <c r="Z150" s="968">
        <f>IF((Z135=1),Thermostat!$B$17,Thermostat!$B$18)</f>
        <v>85</v>
      </c>
      <c r="AA150" s="968">
        <f>IF((AA135=1),Thermostat!$B$17,Thermostat!$B$18)</f>
        <v>85</v>
      </c>
      <c r="AB150" s="968">
        <f>IF((AB135=1),Thermostat!$B$17,Thermostat!$B$18)</f>
        <v>85</v>
      </c>
      <c r="AC150" s="968">
        <f>IF((AC135=1),Thermostat!$B$17,Thermostat!$B$18)</f>
        <v>85</v>
      </c>
    </row>
    <row r="151" spans="1:29" ht="16.5" customHeight="1" x14ac:dyDescent="0.3">
      <c r="A151" s="923"/>
      <c r="B151" s="924"/>
      <c r="C151" s="924"/>
      <c r="D151" s="925"/>
      <c r="E151" s="926" t="s">
        <v>466</v>
      </c>
      <c r="F151" s="968">
        <f>IF((F136=1),Thermostat!$B$17,Thermostat!$B$18)</f>
        <v>85</v>
      </c>
      <c r="G151" s="968">
        <f>IF((G136=1),Thermostat!$B$17,Thermostat!$B$18)</f>
        <v>85</v>
      </c>
      <c r="H151" s="968">
        <f>IF((H136=1),Thermostat!$B$17,Thermostat!$B$18)</f>
        <v>85</v>
      </c>
      <c r="I151" s="968">
        <f>IF((I136=1),Thermostat!$B$17,Thermostat!$B$18)</f>
        <v>85</v>
      </c>
      <c r="J151" s="968">
        <f>IF((J136=1),Thermostat!$B$17,Thermostat!$B$18)</f>
        <v>85</v>
      </c>
      <c r="K151" s="968">
        <f>IF((K136=1),Thermostat!$B$17,Thermostat!$B$18)</f>
        <v>85</v>
      </c>
      <c r="L151" s="968">
        <f>IF((L136=1),Thermostat!$B$17,Thermostat!$B$18)</f>
        <v>85</v>
      </c>
      <c r="M151" s="968">
        <f>IF((M136=1),Thermostat!$B$17,Thermostat!$B$18)</f>
        <v>85</v>
      </c>
      <c r="N151" s="968">
        <f>IF((N136=1),Thermostat!$B$17,Thermostat!$B$18)</f>
        <v>85</v>
      </c>
      <c r="O151" s="968">
        <f>IF((O136=1),Thermostat!$B$17,Thermostat!$B$18)</f>
        <v>85</v>
      </c>
      <c r="P151" s="968">
        <f>IF((P136=1),Thermostat!$B$17,Thermostat!$B$18)</f>
        <v>85</v>
      </c>
      <c r="Q151" s="968">
        <f>IF((Q136=1),Thermostat!$B$17,Thermostat!$B$18)</f>
        <v>85</v>
      </c>
      <c r="R151" s="968">
        <f>IF((R136=1),Thermostat!$B$17,Thermostat!$B$18)</f>
        <v>85</v>
      </c>
      <c r="S151" s="968">
        <f>IF((S136=1),Thermostat!$B$17,Thermostat!$B$18)</f>
        <v>85</v>
      </c>
      <c r="T151" s="968">
        <f>IF((T136=1),Thermostat!$B$17,Thermostat!$B$18)</f>
        <v>85</v>
      </c>
      <c r="U151" s="968">
        <f>IF((U136=1),Thermostat!$B$17,Thermostat!$B$18)</f>
        <v>85</v>
      </c>
      <c r="V151" s="968">
        <f>IF((V136=1),Thermostat!$B$17,Thermostat!$B$18)</f>
        <v>85</v>
      </c>
      <c r="W151" s="968">
        <f>IF((W136=1),Thermostat!$B$17,Thermostat!$B$18)</f>
        <v>85</v>
      </c>
      <c r="X151" s="968">
        <f>IF((X136=1),Thermostat!$B$17,Thermostat!$B$18)</f>
        <v>85</v>
      </c>
      <c r="Y151" s="968">
        <f>IF((Y136=1),Thermostat!$B$17,Thermostat!$B$18)</f>
        <v>85</v>
      </c>
      <c r="Z151" s="968">
        <f>IF((Z136=1),Thermostat!$B$17,Thermostat!$B$18)</f>
        <v>85</v>
      </c>
      <c r="AA151" s="968">
        <f>IF((AA136=1),Thermostat!$B$17,Thermostat!$B$18)</f>
        <v>85</v>
      </c>
      <c r="AB151" s="968">
        <f>IF((AB136=1),Thermostat!$B$17,Thermostat!$B$18)</f>
        <v>85</v>
      </c>
      <c r="AC151" s="968">
        <f>IF((AC136=1),Thermostat!$B$17,Thermostat!$B$18)</f>
        <v>85</v>
      </c>
    </row>
    <row r="152" spans="1:29" ht="16.5" customHeight="1" x14ac:dyDescent="0.3">
      <c r="A152" s="929"/>
      <c r="B152" s="969"/>
      <c r="C152" s="969"/>
      <c r="D152" s="970"/>
      <c r="E152" s="971" t="s">
        <v>467</v>
      </c>
      <c r="F152" s="972">
        <f>IF((F137=1),Thermostat!$B$17,Thermostat!$B$18)</f>
        <v>85</v>
      </c>
      <c r="G152" s="972">
        <f>IF((G137=1),Thermostat!$B$17,Thermostat!$B$18)</f>
        <v>85</v>
      </c>
      <c r="H152" s="972">
        <f>IF((H137=1),Thermostat!$B$17,Thermostat!$B$18)</f>
        <v>85</v>
      </c>
      <c r="I152" s="972">
        <f>IF((I137=1),Thermostat!$B$17,Thermostat!$B$18)</f>
        <v>85</v>
      </c>
      <c r="J152" s="972">
        <f>IF((J137=1),Thermostat!$B$17,Thermostat!$B$18)</f>
        <v>85</v>
      </c>
      <c r="K152" s="972">
        <f>IF((K137=1),Thermostat!$B$17,Thermostat!$B$18)</f>
        <v>85</v>
      </c>
      <c r="L152" s="972">
        <f>IF((L137=1),Thermostat!$B$17,Thermostat!$B$18)</f>
        <v>85</v>
      </c>
      <c r="M152" s="972">
        <f>IF((M137=1),Thermostat!$B$17,Thermostat!$B$18)</f>
        <v>85</v>
      </c>
      <c r="N152" s="972">
        <f>IF((N137=1),Thermostat!$B$17,Thermostat!$B$18)</f>
        <v>85</v>
      </c>
      <c r="O152" s="972">
        <f>IF((O137=1),Thermostat!$B$17,Thermostat!$B$18)</f>
        <v>85</v>
      </c>
      <c r="P152" s="972">
        <f>IF((P137=1),Thermostat!$B$17,Thermostat!$B$18)</f>
        <v>85</v>
      </c>
      <c r="Q152" s="972">
        <f>IF((Q137=1),Thermostat!$B$17,Thermostat!$B$18)</f>
        <v>85</v>
      </c>
      <c r="R152" s="972">
        <f>IF((R137=1),Thermostat!$B$17,Thermostat!$B$18)</f>
        <v>85</v>
      </c>
      <c r="S152" s="972">
        <f>IF((S137=1),Thermostat!$B$17,Thermostat!$B$18)</f>
        <v>85</v>
      </c>
      <c r="T152" s="972">
        <f>IF((T137=1),Thermostat!$B$17,Thermostat!$B$18)</f>
        <v>85</v>
      </c>
      <c r="U152" s="972">
        <f>IF((U137=1),Thermostat!$B$17,Thermostat!$B$18)</f>
        <v>85</v>
      </c>
      <c r="V152" s="972">
        <f>IF((V137=1),Thermostat!$B$17,Thermostat!$B$18)</f>
        <v>85</v>
      </c>
      <c r="W152" s="972">
        <f>IF((W137=1),Thermostat!$B$17,Thermostat!$B$18)</f>
        <v>85</v>
      </c>
      <c r="X152" s="972">
        <f>IF((X137=1),Thermostat!$B$17,Thermostat!$B$18)</f>
        <v>85</v>
      </c>
      <c r="Y152" s="972">
        <f>IF((Y137=1),Thermostat!$B$17,Thermostat!$B$18)</f>
        <v>85</v>
      </c>
      <c r="Z152" s="972">
        <f>IF((Z137=1),Thermostat!$B$17,Thermostat!$B$18)</f>
        <v>85</v>
      </c>
      <c r="AA152" s="972">
        <f>IF((AA137=1),Thermostat!$B$17,Thermostat!$B$18)</f>
        <v>85</v>
      </c>
      <c r="AB152" s="972">
        <f>IF((AB137=1),Thermostat!$B$17,Thermostat!$B$18)</f>
        <v>85</v>
      </c>
      <c r="AC152" s="972">
        <f>IF((AC137=1),Thermostat!$B$17,Thermostat!$B$18)</f>
        <v>85</v>
      </c>
    </row>
    <row r="153" spans="1:29" ht="15" customHeight="1" x14ac:dyDescent="0.3">
      <c r="A153" s="865" t="s">
        <v>172</v>
      </c>
      <c r="B153" s="865"/>
      <c r="C153" s="865"/>
      <c r="D153" s="865"/>
      <c r="E153" s="866"/>
      <c r="F153" s="866"/>
      <c r="G153" s="866"/>
      <c r="H153" s="866"/>
      <c r="I153" s="866"/>
      <c r="J153" s="866"/>
      <c r="K153" s="866"/>
      <c r="L153" s="866"/>
      <c r="M153" s="866"/>
      <c r="N153" s="866"/>
      <c r="O153" s="866"/>
      <c r="P153" s="866"/>
      <c r="Q153" s="866"/>
      <c r="R153" s="866"/>
      <c r="S153" s="866"/>
      <c r="T153" s="866"/>
      <c r="U153" s="866"/>
      <c r="V153" s="866"/>
      <c r="W153" s="866"/>
      <c r="X153" s="866"/>
      <c r="Y153" s="866"/>
      <c r="Z153" s="866"/>
      <c r="AA153" s="866"/>
      <c r="AB153" s="866"/>
      <c r="AC153" s="867"/>
    </row>
    <row r="154" spans="1:29" ht="15" customHeight="1" x14ac:dyDescent="0.3">
      <c r="A154" s="868" t="s">
        <v>833</v>
      </c>
      <c r="B154" s="871" t="s">
        <v>172</v>
      </c>
      <c r="C154" s="871" t="s">
        <v>804</v>
      </c>
      <c r="D154" s="874" t="s">
        <v>446</v>
      </c>
      <c r="E154" s="548" t="s">
        <v>465</v>
      </c>
      <c r="F154" s="549">
        <v>0.1</v>
      </c>
      <c r="G154" s="549">
        <v>0.1</v>
      </c>
      <c r="H154" s="549">
        <v>0.1</v>
      </c>
      <c r="I154" s="549">
        <v>0.1</v>
      </c>
      <c r="J154" s="549">
        <v>0.1</v>
      </c>
      <c r="K154" s="549">
        <v>0.3</v>
      </c>
      <c r="L154" s="549">
        <v>0.45</v>
      </c>
      <c r="M154" s="549">
        <v>0.45</v>
      </c>
      <c r="N154" s="549">
        <v>0.45</v>
      </c>
      <c r="O154" s="549">
        <v>0.45</v>
      </c>
      <c r="P154" s="549">
        <v>0.3</v>
      </c>
      <c r="Q154" s="549">
        <v>0.3</v>
      </c>
      <c r="R154" s="549">
        <v>0.3</v>
      </c>
      <c r="S154" s="549">
        <v>0.3</v>
      </c>
      <c r="T154" s="549">
        <v>0.3</v>
      </c>
      <c r="U154" s="549">
        <v>0.3</v>
      </c>
      <c r="V154" s="549">
        <v>0.3</v>
      </c>
      <c r="W154" s="549">
        <v>0.3</v>
      </c>
      <c r="X154" s="549">
        <v>0.6</v>
      </c>
      <c r="Y154" s="549">
        <v>0.8</v>
      </c>
      <c r="Z154" s="549">
        <v>0.9</v>
      </c>
      <c r="AA154" s="549">
        <v>0.8</v>
      </c>
      <c r="AB154" s="549">
        <v>0.6</v>
      </c>
      <c r="AC154" s="550">
        <v>0.3</v>
      </c>
    </row>
    <row r="155" spans="1:29" ht="15" customHeight="1" x14ac:dyDescent="0.3">
      <c r="A155" s="869"/>
      <c r="B155" s="872"/>
      <c r="C155" s="872"/>
      <c r="D155" s="875"/>
      <c r="E155" s="539" t="s">
        <v>466</v>
      </c>
      <c r="F155" s="540">
        <v>0.1</v>
      </c>
      <c r="G155" s="540">
        <v>0.1</v>
      </c>
      <c r="H155" s="540">
        <v>0.1</v>
      </c>
      <c r="I155" s="540">
        <v>0.1</v>
      </c>
      <c r="J155" s="540">
        <v>0.1</v>
      </c>
      <c r="K155" s="540">
        <v>0.3</v>
      </c>
      <c r="L155" s="540">
        <v>0.45</v>
      </c>
      <c r="M155" s="540">
        <v>0.45</v>
      </c>
      <c r="N155" s="540">
        <v>0.45</v>
      </c>
      <c r="O155" s="540">
        <v>0.45</v>
      </c>
      <c r="P155" s="540">
        <v>0.3</v>
      </c>
      <c r="Q155" s="540">
        <v>0.3</v>
      </c>
      <c r="R155" s="540">
        <v>0.3</v>
      </c>
      <c r="S155" s="540">
        <v>0.3</v>
      </c>
      <c r="T155" s="540">
        <v>0.3</v>
      </c>
      <c r="U155" s="540">
        <v>0.3</v>
      </c>
      <c r="V155" s="540">
        <v>0.3</v>
      </c>
      <c r="W155" s="540">
        <v>0.3</v>
      </c>
      <c r="X155" s="540">
        <v>0.6</v>
      </c>
      <c r="Y155" s="540">
        <v>0.8</v>
      </c>
      <c r="Z155" s="540">
        <v>0.9</v>
      </c>
      <c r="AA155" s="540">
        <v>0.8</v>
      </c>
      <c r="AB155" s="540">
        <v>0.6</v>
      </c>
      <c r="AC155" s="544">
        <v>0.3</v>
      </c>
    </row>
    <row r="156" spans="1:29" ht="15" customHeight="1" x14ac:dyDescent="0.3">
      <c r="A156" s="870"/>
      <c r="B156" s="873"/>
      <c r="C156" s="873"/>
      <c r="D156" s="876"/>
      <c r="E156" s="551" t="s">
        <v>467</v>
      </c>
      <c r="F156" s="552">
        <v>0.1</v>
      </c>
      <c r="G156" s="552">
        <v>0.1</v>
      </c>
      <c r="H156" s="552">
        <v>0.1</v>
      </c>
      <c r="I156" s="552">
        <v>0.1</v>
      </c>
      <c r="J156" s="552">
        <v>0.1</v>
      </c>
      <c r="K156" s="552">
        <v>0.3</v>
      </c>
      <c r="L156" s="552">
        <v>0.45</v>
      </c>
      <c r="M156" s="552">
        <v>0.45</v>
      </c>
      <c r="N156" s="552">
        <v>0.45</v>
      </c>
      <c r="O156" s="552">
        <v>0.45</v>
      </c>
      <c r="P156" s="552">
        <v>0.3</v>
      </c>
      <c r="Q156" s="552">
        <v>0.3</v>
      </c>
      <c r="R156" s="552">
        <v>0.3</v>
      </c>
      <c r="S156" s="552">
        <v>0.3</v>
      </c>
      <c r="T156" s="552">
        <v>0.3</v>
      </c>
      <c r="U156" s="552">
        <v>0.3</v>
      </c>
      <c r="V156" s="552">
        <v>0.3</v>
      </c>
      <c r="W156" s="552">
        <v>0.3</v>
      </c>
      <c r="X156" s="552">
        <v>0.6</v>
      </c>
      <c r="Y156" s="552">
        <v>0.8</v>
      </c>
      <c r="Z156" s="552">
        <v>0.9</v>
      </c>
      <c r="AA156" s="552">
        <v>0.8</v>
      </c>
      <c r="AB156" s="552">
        <v>0.6</v>
      </c>
      <c r="AC156" s="553">
        <v>0.3</v>
      </c>
    </row>
    <row r="157" spans="1:29" ht="15" customHeight="1" x14ac:dyDescent="0.3">
      <c r="A157" s="868" t="s">
        <v>833</v>
      </c>
      <c r="B157" s="871" t="str">
        <f>B154</f>
        <v>AncillaryResidentialCommon</v>
      </c>
      <c r="C157" s="877" t="s">
        <v>805</v>
      </c>
      <c r="D157" s="874" t="s">
        <v>446</v>
      </c>
      <c r="E157" s="548" t="s">
        <v>465</v>
      </c>
      <c r="F157" s="549">
        <v>1</v>
      </c>
      <c r="G157" s="549">
        <v>1</v>
      </c>
      <c r="H157" s="549">
        <v>1</v>
      </c>
      <c r="I157" s="549">
        <v>1</v>
      </c>
      <c r="J157" s="549">
        <v>1</v>
      </c>
      <c r="K157" s="549">
        <v>1</v>
      </c>
      <c r="L157" s="549">
        <v>1</v>
      </c>
      <c r="M157" s="549">
        <v>1</v>
      </c>
      <c r="N157" s="549">
        <v>1</v>
      </c>
      <c r="O157" s="549">
        <v>1</v>
      </c>
      <c r="P157" s="549">
        <v>1</v>
      </c>
      <c r="Q157" s="549">
        <v>1</v>
      </c>
      <c r="R157" s="549">
        <v>1</v>
      </c>
      <c r="S157" s="549">
        <v>1</v>
      </c>
      <c r="T157" s="549">
        <v>1</v>
      </c>
      <c r="U157" s="549">
        <v>1</v>
      </c>
      <c r="V157" s="549">
        <v>1</v>
      </c>
      <c r="W157" s="549">
        <v>1</v>
      </c>
      <c r="X157" s="549">
        <v>1</v>
      </c>
      <c r="Y157" s="549">
        <v>1</v>
      </c>
      <c r="Z157" s="549">
        <v>1</v>
      </c>
      <c r="AA157" s="549">
        <v>1</v>
      </c>
      <c r="AB157" s="549">
        <v>1</v>
      </c>
      <c r="AC157" s="550">
        <v>1</v>
      </c>
    </row>
    <row r="158" spans="1:29" ht="15" customHeight="1" x14ac:dyDescent="0.3">
      <c r="A158" s="869"/>
      <c r="B158" s="872"/>
      <c r="C158" s="872"/>
      <c r="D158" s="875"/>
      <c r="E158" s="539" t="s">
        <v>466</v>
      </c>
      <c r="F158" s="540">
        <v>1</v>
      </c>
      <c r="G158" s="540">
        <v>1</v>
      </c>
      <c r="H158" s="540">
        <v>1</v>
      </c>
      <c r="I158" s="540">
        <v>1</v>
      </c>
      <c r="J158" s="540">
        <v>1</v>
      </c>
      <c r="K158" s="540">
        <v>1</v>
      </c>
      <c r="L158" s="540">
        <v>1</v>
      </c>
      <c r="M158" s="540">
        <v>1</v>
      </c>
      <c r="N158" s="540">
        <v>1</v>
      </c>
      <c r="O158" s="540">
        <v>1</v>
      </c>
      <c r="P158" s="540">
        <v>1</v>
      </c>
      <c r="Q158" s="540">
        <v>1</v>
      </c>
      <c r="R158" s="540">
        <v>1</v>
      </c>
      <c r="S158" s="540">
        <v>1</v>
      </c>
      <c r="T158" s="540">
        <v>1</v>
      </c>
      <c r="U158" s="540">
        <v>1</v>
      </c>
      <c r="V158" s="540">
        <v>1</v>
      </c>
      <c r="W158" s="540">
        <v>1</v>
      </c>
      <c r="X158" s="540">
        <v>1</v>
      </c>
      <c r="Y158" s="540">
        <v>1</v>
      </c>
      <c r="Z158" s="540">
        <v>1</v>
      </c>
      <c r="AA158" s="540">
        <v>1</v>
      </c>
      <c r="AB158" s="540">
        <v>1</v>
      </c>
      <c r="AC158" s="544">
        <v>1</v>
      </c>
    </row>
    <row r="159" spans="1:29" ht="15" customHeight="1" x14ac:dyDescent="0.3">
      <c r="A159" s="870"/>
      <c r="B159" s="873"/>
      <c r="C159" s="873"/>
      <c r="D159" s="876"/>
      <c r="E159" s="551" t="s">
        <v>467</v>
      </c>
      <c r="F159" s="552">
        <v>1</v>
      </c>
      <c r="G159" s="552">
        <v>1</v>
      </c>
      <c r="H159" s="552">
        <v>1</v>
      </c>
      <c r="I159" s="552">
        <v>1</v>
      </c>
      <c r="J159" s="552">
        <v>1</v>
      </c>
      <c r="K159" s="552">
        <v>1</v>
      </c>
      <c r="L159" s="552">
        <v>1</v>
      </c>
      <c r="M159" s="552">
        <v>1</v>
      </c>
      <c r="N159" s="552">
        <v>1</v>
      </c>
      <c r="O159" s="552">
        <v>1</v>
      </c>
      <c r="P159" s="552">
        <v>1</v>
      </c>
      <c r="Q159" s="552">
        <v>1</v>
      </c>
      <c r="R159" s="552">
        <v>1</v>
      </c>
      <c r="S159" s="552">
        <v>1</v>
      </c>
      <c r="T159" s="552">
        <v>1</v>
      </c>
      <c r="U159" s="552">
        <v>1</v>
      </c>
      <c r="V159" s="552">
        <v>1</v>
      </c>
      <c r="W159" s="552">
        <v>1</v>
      </c>
      <c r="X159" s="552">
        <v>1</v>
      </c>
      <c r="Y159" s="552">
        <v>1</v>
      </c>
      <c r="Z159" s="552">
        <v>1</v>
      </c>
      <c r="AA159" s="552">
        <v>1</v>
      </c>
      <c r="AB159" s="552">
        <v>1</v>
      </c>
      <c r="AC159" s="553">
        <v>1</v>
      </c>
    </row>
    <row r="160" spans="1:29" ht="15" customHeight="1" x14ac:dyDescent="0.3">
      <c r="A160" s="868" t="s">
        <v>833</v>
      </c>
      <c r="B160" s="871" t="str">
        <f t="shared" ref="B160" si="10">B157</f>
        <v>AncillaryResidentialCommon</v>
      </c>
      <c r="C160" s="877" t="s">
        <v>806</v>
      </c>
      <c r="D160" s="874" t="s">
        <v>446</v>
      </c>
      <c r="E160" s="548" t="s">
        <v>465</v>
      </c>
      <c r="F160" s="549">
        <v>0.1</v>
      </c>
      <c r="G160" s="549">
        <v>0.1</v>
      </c>
      <c r="H160" s="549">
        <v>0.1</v>
      </c>
      <c r="I160" s="549">
        <v>0.1</v>
      </c>
      <c r="J160" s="549">
        <v>0.1</v>
      </c>
      <c r="K160" s="549">
        <v>0.3</v>
      </c>
      <c r="L160" s="549">
        <v>0.45</v>
      </c>
      <c r="M160" s="549">
        <v>0.45</v>
      </c>
      <c r="N160" s="549">
        <v>0.45</v>
      </c>
      <c r="O160" s="549">
        <v>0.45</v>
      </c>
      <c r="P160" s="549">
        <v>0.3</v>
      </c>
      <c r="Q160" s="549">
        <v>0.3</v>
      </c>
      <c r="R160" s="549">
        <v>0.3</v>
      </c>
      <c r="S160" s="549">
        <v>0.3</v>
      </c>
      <c r="T160" s="549">
        <v>0.3</v>
      </c>
      <c r="U160" s="549">
        <v>0.3</v>
      </c>
      <c r="V160" s="549">
        <v>0.3</v>
      </c>
      <c r="W160" s="549">
        <v>0.3</v>
      </c>
      <c r="X160" s="549">
        <v>0.6</v>
      </c>
      <c r="Y160" s="549">
        <v>0.8</v>
      </c>
      <c r="Z160" s="549">
        <v>0.9</v>
      </c>
      <c r="AA160" s="549">
        <v>0.8</v>
      </c>
      <c r="AB160" s="549">
        <v>0.6</v>
      </c>
      <c r="AC160" s="550">
        <v>0.3</v>
      </c>
    </row>
    <row r="161" spans="1:29" ht="15" customHeight="1" x14ac:dyDescent="0.3">
      <c r="A161" s="869"/>
      <c r="B161" s="872"/>
      <c r="C161" s="872"/>
      <c r="D161" s="875"/>
      <c r="E161" s="539" t="s">
        <v>466</v>
      </c>
      <c r="F161" s="540">
        <v>0.1</v>
      </c>
      <c r="G161" s="540">
        <v>0.1</v>
      </c>
      <c r="H161" s="540">
        <v>0.1</v>
      </c>
      <c r="I161" s="540">
        <v>0.1</v>
      </c>
      <c r="J161" s="540">
        <v>0.1</v>
      </c>
      <c r="K161" s="540">
        <v>0.3</v>
      </c>
      <c r="L161" s="540">
        <v>0.45</v>
      </c>
      <c r="M161" s="540">
        <v>0.45</v>
      </c>
      <c r="N161" s="540">
        <v>0.45</v>
      </c>
      <c r="O161" s="540">
        <v>0.45</v>
      </c>
      <c r="P161" s="540">
        <v>0.3</v>
      </c>
      <c r="Q161" s="540">
        <v>0.3</v>
      </c>
      <c r="R161" s="540">
        <v>0.3</v>
      </c>
      <c r="S161" s="540">
        <v>0.3</v>
      </c>
      <c r="T161" s="540">
        <v>0.3</v>
      </c>
      <c r="U161" s="540">
        <v>0.3</v>
      </c>
      <c r="V161" s="540">
        <v>0.3</v>
      </c>
      <c r="W161" s="540">
        <v>0.3</v>
      </c>
      <c r="X161" s="540">
        <v>0.6</v>
      </c>
      <c r="Y161" s="540">
        <v>0.8</v>
      </c>
      <c r="Z161" s="540">
        <v>0.9</v>
      </c>
      <c r="AA161" s="540">
        <v>0.8</v>
      </c>
      <c r="AB161" s="540">
        <v>0.6</v>
      </c>
      <c r="AC161" s="544">
        <v>0.3</v>
      </c>
    </row>
    <row r="162" spans="1:29" ht="15" customHeight="1" x14ac:dyDescent="0.3">
      <c r="A162" s="870"/>
      <c r="B162" s="873"/>
      <c r="C162" s="878"/>
      <c r="D162" s="876"/>
      <c r="E162" s="545" t="s">
        <v>467</v>
      </c>
      <c r="F162" s="546">
        <v>0.1</v>
      </c>
      <c r="G162" s="546">
        <v>0.1</v>
      </c>
      <c r="H162" s="546">
        <v>0.1</v>
      </c>
      <c r="I162" s="546">
        <v>0.1</v>
      </c>
      <c r="J162" s="546">
        <v>0.1</v>
      </c>
      <c r="K162" s="546">
        <v>0.3</v>
      </c>
      <c r="L162" s="546">
        <v>0.45</v>
      </c>
      <c r="M162" s="546">
        <v>0.45</v>
      </c>
      <c r="N162" s="546">
        <v>0.45</v>
      </c>
      <c r="O162" s="546">
        <v>0.45</v>
      </c>
      <c r="P162" s="546">
        <v>0.3</v>
      </c>
      <c r="Q162" s="546">
        <v>0.3</v>
      </c>
      <c r="R162" s="546">
        <v>0.3</v>
      </c>
      <c r="S162" s="546">
        <v>0.3</v>
      </c>
      <c r="T162" s="546">
        <v>0.3</v>
      </c>
      <c r="U162" s="546">
        <v>0.3</v>
      </c>
      <c r="V162" s="546">
        <v>0.3</v>
      </c>
      <c r="W162" s="546">
        <v>0.3</v>
      </c>
      <c r="X162" s="546">
        <v>0.6</v>
      </c>
      <c r="Y162" s="546">
        <v>0.8</v>
      </c>
      <c r="Z162" s="546">
        <v>0.9</v>
      </c>
      <c r="AA162" s="546">
        <v>0.8</v>
      </c>
      <c r="AB162" s="546">
        <v>0.6</v>
      </c>
      <c r="AC162" s="547">
        <v>0.3</v>
      </c>
    </row>
    <row r="163" spans="1:29" ht="15" customHeight="1" x14ac:dyDescent="0.3">
      <c r="A163" s="868" t="s">
        <v>833</v>
      </c>
      <c r="B163" s="871" t="str">
        <f t="shared" ref="B163" si="11">B160</f>
        <v>AncillaryResidentialCommon</v>
      </c>
      <c r="C163" s="893" t="s">
        <v>807</v>
      </c>
      <c r="D163" s="874" t="s">
        <v>446</v>
      </c>
      <c r="E163" s="541" t="s">
        <v>465</v>
      </c>
      <c r="F163" s="542">
        <v>1</v>
      </c>
      <c r="G163" s="542">
        <v>1</v>
      </c>
      <c r="H163" s="542">
        <v>1</v>
      </c>
      <c r="I163" s="542">
        <v>1</v>
      </c>
      <c r="J163" s="542">
        <v>1</v>
      </c>
      <c r="K163" s="542">
        <v>1</v>
      </c>
      <c r="L163" s="542">
        <v>1</v>
      </c>
      <c r="M163" s="542">
        <v>1</v>
      </c>
      <c r="N163" s="542">
        <v>1</v>
      </c>
      <c r="O163" s="542">
        <v>1</v>
      </c>
      <c r="P163" s="542">
        <v>1</v>
      </c>
      <c r="Q163" s="542">
        <v>1</v>
      </c>
      <c r="R163" s="542">
        <v>1</v>
      </c>
      <c r="S163" s="542">
        <v>1</v>
      </c>
      <c r="T163" s="542">
        <v>1</v>
      </c>
      <c r="U163" s="542">
        <v>1</v>
      </c>
      <c r="V163" s="542">
        <v>1</v>
      </c>
      <c r="W163" s="542">
        <v>1</v>
      </c>
      <c r="X163" s="542">
        <v>1</v>
      </c>
      <c r="Y163" s="542">
        <v>1</v>
      </c>
      <c r="Z163" s="542">
        <v>1</v>
      </c>
      <c r="AA163" s="542">
        <v>1</v>
      </c>
      <c r="AB163" s="542">
        <v>1</v>
      </c>
      <c r="AC163" s="543">
        <v>1</v>
      </c>
    </row>
    <row r="164" spans="1:29" ht="15" customHeight="1" x14ac:dyDescent="0.3">
      <c r="A164" s="869"/>
      <c r="B164" s="872"/>
      <c r="C164" s="872"/>
      <c r="D164" s="875"/>
      <c r="E164" s="539" t="s">
        <v>466</v>
      </c>
      <c r="F164" s="540">
        <v>1</v>
      </c>
      <c r="G164" s="540">
        <v>1</v>
      </c>
      <c r="H164" s="540">
        <v>1</v>
      </c>
      <c r="I164" s="540">
        <v>1</v>
      </c>
      <c r="J164" s="540">
        <v>1</v>
      </c>
      <c r="K164" s="540">
        <v>1</v>
      </c>
      <c r="L164" s="540">
        <v>1</v>
      </c>
      <c r="M164" s="540">
        <v>1</v>
      </c>
      <c r="N164" s="540">
        <v>1</v>
      </c>
      <c r="O164" s="540">
        <v>1</v>
      </c>
      <c r="P164" s="540">
        <v>1</v>
      </c>
      <c r="Q164" s="540">
        <v>1</v>
      </c>
      <c r="R164" s="540">
        <v>1</v>
      </c>
      <c r="S164" s="540">
        <v>1</v>
      </c>
      <c r="T164" s="540">
        <v>1</v>
      </c>
      <c r="U164" s="540">
        <v>1</v>
      </c>
      <c r="V164" s="540">
        <v>1</v>
      </c>
      <c r="W164" s="540">
        <v>1</v>
      </c>
      <c r="X164" s="540">
        <v>1</v>
      </c>
      <c r="Y164" s="540">
        <v>1</v>
      </c>
      <c r="Z164" s="540">
        <v>1</v>
      </c>
      <c r="AA164" s="540">
        <v>1</v>
      </c>
      <c r="AB164" s="540">
        <v>1</v>
      </c>
      <c r="AC164" s="544">
        <v>1</v>
      </c>
    </row>
    <row r="165" spans="1:29" ht="15" customHeight="1" x14ac:dyDescent="0.3">
      <c r="A165" s="870"/>
      <c r="B165" s="873"/>
      <c r="C165" s="878"/>
      <c r="D165" s="876"/>
      <c r="E165" s="545" t="s">
        <v>467</v>
      </c>
      <c r="F165" s="546">
        <v>1</v>
      </c>
      <c r="G165" s="546">
        <v>1</v>
      </c>
      <c r="H165" s="546">
        <v>1</v>
      </c>
      <c r="I165" s="546">
        <v>1</v>
      </c>
      <c r="J165" s="546">
        <v>1</v>
      </c>
      <c r="K165" s="546">
        <v>1</v>
      </c>
      <c r="L165" s="546">
        <v>1</v>
      </c>
      <c r="M165" s="546">
        <v>1</v>
      </c>
      <c r="N165" s="546">
        <v>1</v>
      </c>
      <c r="O165" s="546">
        <v>1</v>
      </c>
      <c r="P165" s="546">
        <v>1</v>
      </c>
      <c r="Q165" s="546">
        <v>1</v>
      </c>
      <c r="R165" s="546">
        <v>1</v>
      </c>
      <c r="S165" s="546">
        <v>1</v>
      </c>
      <c r="T165" s="546">
        <v>1</v>
      </c>
      <c r="U165" s="546">
        <v>1</v>
      </c>
      <c r="V165" s="546">
        <v>1</v>
      </c>
      <c r="W165" s="546">
        <v>1</v>
      </c>
      <c r="X165" s="546">
        <v>1</v>
      </c>
      <c r="Y165" s="546">
        <v>1</v>
      </c>
      <c r="Z165" s="546">
        <v>1</v>
      </c>
      <c r="AA165" s="546">
        <v>1</v>
      </c>
      <c r="AB165" s="546">
        <v>1</v>
      </c>
      <c r="AC165" s="547">
        <v>1</v>
      </c>
    </row>
    <row r="166" spans="1:29" ht="15" customHeight="1" x14ac:dyDescent="0.3">
      <c r="A166" s="868" t="s">
        <v>833</v>
      </c>
      <c r="B166" s="871" t="str">
        <f t="shared" ref="B166" si="12">B163</f>
        <v>AncillaryResidentialCommon</v>
      </c>
      <c r="C166" s="893" t="s">
        <v>808</v>
      </c>
      <c r="D166" s="874" t="s">
        <v>446</v>
      </c>
      <c r="E166" s="541" t="s">
        <v>465</v>
      </c>
      <c r="F166" s="542">
        <v>0</v>
      </c>
      <c r="G166" s="542">
        <v>0</v>
      </c>
      <c r="H166" s="542">
        <v>0</v>
      </c>
      <c r="I166" s="542">
        <v>0.05</v>
      </c>
      <c r="J166" s="542">
        <v>0.05</v>
      </c>
      <c r="K166" s="542">
        <v>0.05</v>
      </c>
      <c r="L166" s="542">
        <v>0.8</v>
      </c>
      <c r="M166" s="542">
        <v>0.7</v>
      </c>
      <c r="N166" s="542">
        <v>0.5</v>
      </c>
      <c r="O166" s="542">
        <v>0.4</v>
      </c>
      <c r="P166" s="542">
        <v>0.25</v>
      </c>
      <c r="Q166" s="542">
        <v>0.25</v>
      </c>
      <c r="R166" s="542">
        <v>0.25</v>
      </c>
      <c r="S166" s="542">
        <v>0.25</v>
      </c>
      <c r="T166" s="542">
        <v>0.5</v>
      </c>
      <c r="U166" s="542">
        <v>0.6</v>
      </c>
      <c r="V166" s="542">
        <v>0.7</v>
      </c>
      <c r="W166" s="542">
        <v>0.7</v>
      </c>
      <c r="X166" s="542">
        <v>0.4</v>
      </c>
      <c r="Y166" s="542">
        <v>0.25</v>
      </c>
      <c r="Z166" s="542">
        <v>0.2</v>
      </c>
      <c r="AA166" s="542">
        <v>0.2</v>
      </c>
      <c r="AB166" s="542">
        <v>0.05</v>
      </c>
      <c r="AC166" s="543">
        <v>0.05</v>
      </c>
    </row>
    <row r="167" spans="1:29" ht="15" customHeight="1" x14ac:dyDescent="0.3">
      <c r="A167" s="869"/>
      <c r="B167" s="872"/>
      <c r="C167" s="872"/>
      <c r="D167" s="875"/>
      <c r="E167" s="539" t="s">
        <v>466</v>
      </c>
      <c r="F167" s="540">
        <v>0</v>
      </c>
      <c r="G167" s="540">
        <v>0</v>
      </c>
      <c r="H167" s="540">
        <v>0</v>
      </c>
      <c r="I167" s="540">
        <v>0.05</v>
      </c>
      <c r="J167" s="540">
        <v>0.05</v>
      </c>
      <c r="K167" s="540">
        <v>0.05</v>
      </c>
      <c r="L167" s="540">
        <v>0.8</v>
      </c>
      <c r="M167" s="540">
        <v>0.7</v>
      </c>
      <c r="N167" s="540">
        <v>0.5</v>
      </c>
      <c r="O167" s="540">
        <v>0.4</v>
      </c>
      <c r="P167" s="540">
        <v>0.25</v>
      </c>
      <c r="Q167" s="540">
        <v>0.25</v>
      </c>
      <c r="R167" s="540">
        <v>0.25</v>
      </c>
      <c r="S167" s="540">
        <v>0.25</v>
      </c>
      <c r="T167" s="540">
        <v>0.5</v>
      </c>
      <c r="U167" s="540">
        <v>0.6</v>
      </c>
      <c r="V167" s="540">
        <v>0.7</v>
      </c>
      <c r="W167" s="540">
        <v>0.7</v>
      </c>
      <c r="X167" s="540">
        <v>0.4</v>
      </c>
      <c r="Y167" s="540">
        <v>0.25</v>
      </c>
      <c r="Z167" s="540">
        <v>0.2</v>
      </c>
      <c r="AA167" s="540">
        <v>0.2</v>
      </c>
      <c r="AB167" s="540">
        <v>0.05</v>
      </c>
      <c r="AC167" s="544">
        <v>0.05</v>
      </c>
    </row>
    <row r="168" spans="1:29" ht="15" customHeight="1" x14ac:dyDescent="0.3">
      <c r="A168" s="870"/>
      <c r="B168" s="873"/>
      <c r="C168" s="878"/>
      <c r="D168" s="876"/>
      <c r="E168" s="545" t="s">
        <v>467</v>
      </c>
      <c r="F168" s="546">
        <v>0</v>
      </c>
      <c r="G168" s="546">
        <v>0</v>
      </c>
      <c r="H168" s="546">
        <v>0</v>
      </c>
      <c r="I168" s="546">
        <v>0.05</v>
      </c>
      <c r="J168" s="546">
        <v>0.05</v>
      </c>
      <c r="K168" s="546">
        <v>0.05</v>
      </c>
      <c r="L168" s="546">
        <v>0.8</v>
      </c>
      <c r="M168" s="546">
        <v>0.7</v>
      </c>
      <c r="N168" s="546">
        <v>0.5</v>
      </c>
      <c r="O168" s="546">
        <v>0.4</v>
      </c>
      <c r="P168" s="546">
        <v>0.25</v>
      </c>
      <c r="Q168" s="546">
        <v>0.25</v>
      </c>
      <c r="R168" s="546">
        <v>0.25</v>
      </c>
      <c r="S168" s="546">
        <v>0.25</v>
      </c>
      <c r="T168" s="546">
        <v>0.5</v>
      </c>
      <c r="U168" s="546">
        <v>0.6</v>
      </c>
      <c r="V168" s="546">
        <v>0.7</v>
      </c>
      <c r="W168" s="546">
        <v>0.7</v>
      </c>
      <c r="X168" s="546">
        <v>0.4</v>
      </c>
      <c r="Y168" s="546">
        <v>0.25</v>
      </c>
      <c r="Z168" s="546">
        <v>0.2</v>
      </c>
      <c r="AA168" s="546">
        <v>0.2</v>
      </c>
      <c r="AB168" s="546">
        <v>0.05</v>
      </c>
      <c r="AC168" s="547">
        <v>0.05</v>
      </c>
    </row>
    <row r="169" spans="1:29" ht="15" customHeight="1" x14ac:dyDescent="0.3">
      <c r="A169" s="868" t="s">
        <v>833</v>
      </c>
      <c r="B169" s="871" t="str">
        <f t="shared" ref="B169" si="13">B166</f>
        <v>AncillaryResidentialCommon</v>
      </c>
      <c r="C169" s="877" t="s">
        <v>340</v>
      </c>
      <c r="D169" s="874" t="s">
        <v>446</v>
      </c>
      <c r="E169" s="548" t="s">
        <v>465</v>
      </c>
      <c r="F169" s="549">
        <v>0.25</v>
      </c>
      <c r="G169" s="549">
        <v>0.25</v>
      </c>
      <c r="H169" s="549">
        <v>0.25</v>
      </c>
      <c r="I169" s="549">
        <v>0.25</v>
      </c>
      <c r="J169" s="549">
        <v>0.25</v>
      </c>
      <c r="K169" s="549">
        <v>0.25</v>
      </c>
      <c r="L169" s="549">
        <v>0.25</v>
      </c>
      <c r="M169" s="549">
        <v>0.25</v>
      </c>
      <c r="N169" s="549">
        <v>0.25</v>
      </c>
      <c r="O169" s="549">
        <v>0.25</v>
      </c>
      <c r="P169" s="549">
        <v>0.25</v>
      </c>
      <c r="Q169" s="549">
        <v>0.25</v>
      </c>
      <c r="R169" s="549">
        <v>0.25</v>
      </c>
      <c r="S169" s="549">
        <v>0.25</v>
      </c>
      <c r="T169" s="549">
        <v>0.25</v>
      </c>
      <c r="U169" s="549">
        <v>0.25</v>
      </c>
      <c r="V169" s="549">
        <v>0.25</v>
      </c>
      <c r="W169" s="549">
        <v>0.25</v>
      </c>
      <c r="X169" s="549">
        <v>0.25</v>
      </c>
      <c r="Y169" s="549">
        <v>0.25</v>
      </c>
      <c r="Z169" s="549">
        <v>0.25</v>
      </c>
      <c r="AA169" s="549">
        <v>0.25</v>
      </c>
      <c r="AB169" s="549">
        <v>0.25</v>
      </c>
      <c r="AC169" s="550">
        <v>0.25</v>
      </c>
    </row>
    <row r="170" spans="1:29" ht="15" customHeight="1" x14ac:dyDescent="0.3">
      <c r="A170" s="869"/>
      <c r="B170" s="872"/>
      <c r="C170" s="872"/>
      <c r="D170" s="875"/>
      <c r="E170" s="539" t="s">
        <v>466</v>
      </c>
      <c r="F170" s="540">
        <v>0.25</v>
      </c>
      <c r="G170" s="540">
        <v>0.25</v>
      </c>
      <c r="H170" s="540">
        <v>0.25</v>
      </c>
      <c r="I170" s="540">
        <v>0.25</v>
      </c>
      <c r="J170" s="540">
        <v>0.25</v>
      </c>
      <c r="K170" s="540">
        <v>0.25</v>
      </c>
      <c r="L170" s="540">
        <v>0.25</v>
      </c>
      <c r="M170" s="540">
        <v>0.25</v>
      </c>
      <c r="N170" s="540">
        <v>0.25</v>
      </c>
      <c r="O170" s="540">
        <v>0.25</v>
      </c>
      <c r="P170" s="540">
        <v>0.25</v>
      </c>
      <c r="Q170" s="540">
        <v>0.25</v>
      </c>
      <c r="R170" s="540">
        <v>0.25</v>
      </c>
      <c r="S170" s="540">
        <v>0.25</v>
      </c>
      <c r="T170" s="540">
        <v>0.25</v>
      </c>
      <c r="U170" s="540">
        <v>0.25</v>
      </c>
      <c r="V170" s="540">
        <v>0.25</v>
      </c>
      <c r="W170" s="540">
        <v>0.25</v>
      </c>
      <c r="X170" s="540">
        <v>0.25</v>
      </c>
      <c r="Y170" s="540">
        <v>0.25</v>
      </c>
      <c r="Z170" s="540">
        <v>0.25</v>
      </c>
      <c r="AA170" s="540">
        <v>0.25</v>
      </c>
      <c r="AB170" s="540">
        <v>0.25</v>
      </c>
      <c r="AC170" s="544">
        <v>0.25</v>
      </c>
    </row>
    <row r="171" spans="1:29" ht="15" customHeight="1" x14ac:dyDescent="0.3">
      <c r="A171" s="870"/>
      <c r="B171" s="873"/>
      <c r="C171" s="873"/>
      <c r="D171" s="883"/>
      <c r="E171" s="551" t="s">
        <v>467</v>
      </c>
      <c r="F171" s="552">
        <v>0.25</v>
      </c>
      <c r="G171" s="552">
        <v>0.25</v>
      </c>
      <c r="H171" s="552">
        <v>0.25</v>
      </c>
      <c r="I171" s="552">
        <v>0.25</v>
      </c>
      <c r="J171" s="552">
        <v>0.25</v>
      </c>
      <c r="K171" s="552">
        <v>0.25</v>
      </c>
      <c r="L171" s="552">
        <v>0.25</v>
      </c>
      <c r="M171" s="552">
        <v>0.25</v>
      </c>
      <c r="N171" s="552">
        <v>0.25</v>
      </c>
      <c r="O171" s="552">
        <v>0.25</v>
      </c>
      <c r="P171" s="552">
        <v>0.25</v>
      </c>
      <c r="Q171" s="552">
        <v>0.25</v>
      </c>
      <c r="R171" s="552">
        <v>0.25</v>
      </c>
      <c r="S171" s="552">
        <v>0.25</v>
      </c>
      <c r="T171" s="552">
        <v>0.25</v>
      </c>
      <c r="U171" s="552">
        <v>0.25</v>
      </c>
      <c r="V171" s="552">
        <v>0.25</v>
      </c>
      <c r="W171" s="552">
        <v>0.25</v>
      </c>
      <c r="X171" s="552">
        <v>0.25</v>
      </c>
      <c r="Y171" s="552">
        <v>0.25</v>
      </c>
      <c r="Z171" s="552">
        <v>0.25</v>
      </c>
      <c r="AA171" s="552">
        <v>0.25</v>
      </c>
      <c r="AB171" s="552">
        <v>0.25</v>
      </c>
      <c r="AC171" s="553">
        <v>0.25</v>
      </c>
    </row>
    <row r="172" spans="1:29" ht="15" customHeight="1" x14ac:dyDescent="0.3">
      <c r="A172" s="868" t="s">
        <v>833</v>
      </c>
      <c r="B172" s="871" t="str">
        <f t="shared" ref="B172" si="14">B169</f>
        <v>AncillaryResidentialCommon</v>
      </c>
      <c r="C172" s="879" t="s">
        <v>810</v>
      </c>
      <c r="D172" s="882" t="s">
        <v>811</v>
      </c>
      <c r="E172" s="555" t="s">
        <v>465</v>
      </c>
      <c r="F172" s="623">
        <f>IF((F163=1),Thermostat!$B$15,Thermostat!$B$16)</f>
        <v>60</v>
      </c>
      <c r="G172" s="623">
        <f>IF((G163=1),Thermostat!$B$15,Thermostat!$B$16)</f>
        <v>60</v>
      </c>
      <c r="H172" s="623">
        <f>IF((H163=1),Thermostat!$B$15,Thermostat!$B$16)</f>
        <v>60</v>
      </c>
      <c r="I172" s="623">
        <f>IF((I163=1),Thermostat!$B$15,Thermostat!$B$16)</f>
        <v>60</v>
      </c>
      <c r="J172" s="623">
        <f>IF((J163=1),Thermostat!$B$15,Thermostat!$B$16)</f>
        <v>60</v>
      </c>
      <c r="K172" s="623">
        <f>IF((K163=1),Thermostat!$B$15,Thermostat!$B$16)</f>
        <v>60</v>
      </c>
      <c r="L172" s="623">
        <f>IF((L163=1),Thermostat!$B$15,Thermostat!$B$16)</f>
        <v>60</v>
      </c>
      <c r="M172" s="623">
        <f>IF((M163=1),Thermostat!$B$15,Thermostat!$B$16)</f>
        <v>60</v>
      </c>
      <c r="N172" s="623">
        <f>IF((N163=1),Thermostat!$B$15,Thermostat!$B$16)</f>
        <v>60</v>
      </c>
      <c r="O172" s="623">
        <f>IF((O163=1),Thermostat!$B$15,Thermostat!$B$16)</f>
        <v>60</v>
      </c>
      <c r="P172" s="623">
        <f>IF((P163=1),Thermostat!$B$15,Thermostat!$B$16)</f>
        <v>60</v>
      </c>
      <c r="Q172" s="623">
        <f>IF((Q163=1),Thermostat!$B$15,Thermostat!$B$16)</f>
        <v>60</v>
      </c>
      <c r="R172" s="623">
        <f>IF((R163=1),Thermostat!$B$15,Thermostat!$B$16)</f>
        <v>60</v>
      </c>
      <c r="S172" s="623">
        <f>IF((S163=1),Thermostat!$B$15,Thermostat!$B$16)</f>
        <v>60</v>
      </c>
      <c r="T172" s="623">
        <f>IF((T163=1),Thermostat!$B$15,Thermostat!$B$16)</f>
        <v>60</v>
      </c>
      <c r="U172" s="623">
        <f>IF((U163=1),Thermostat!$B$15,Thermostat!$B$16)</f>
        <v>60</v>
      </c>
      <c r="V172" s="623">
        <f>IF((V163=1),Thermostat!$B$15,Thermostat!$B$16)</f>
        <v>60</v>
      </c>
      <c r="W172" s="623">
        <f>IF((W163=1),Thermostat!$B$15,Thermostat!$B$16)</f>
        <v>60</v>
      </c>
      <c r="X172" s="623">
        <f>IF((X163=1),Thermostat!$B$15,Thermostat!$B$16)</f>
        <v>60</v>
      </c>
      <c r="Y172" s="623">
        <f>IF((Y163=1),Thermostat!$B$15,Thermostat!$B$16)</f>
        <v>60</v>
      </c>
      <c r="Z172" s="623">
        <f>IF((Z163=1),Thermostat!$B$15,Thermostat!$B$16)</f>
        <v>60</v>
      </c>
      <c r="AA172" s="623">
        <f>IF((AA163=1),Thermostat!$B$15,Thermostat!$B$16)</f>
        <v>60</v>
      </c>
      <c r="AB172" s="623">
        <f>IF((AB163=1),Thermostat!$B$15,Thermostat!$B$16)</f>
        <v>60</v>
      </c>
      <c r="AC172" s="623">
        <f>IF((AC163=1),Thermostat!$B$15,Thermostat!$B$16)</f>
        <v>60</v>
      </c>
    </row>
    <row r="173" spans="1:29" ht="15" customHeight="1" x14ac:dyDescent="0.3">
      <c r="A173" s="869"/>
      <c r="B173" s="872"/>
      <c r="C173" s="880"/>
      <c r="D173" s="875"/>
      <c r="E173" s="556" t="s">
        <v>466</v>
      </c>
      <c r="F173" s="624">
        <f>IF((F164=1),Thermostat!$B$15,Thermostat!$B$16)</f>
        <v>60</v>
      </c>
      <c r="G173" s="624">
        <f>IF((G164=1),Thermostat!$B$15,Thermostat!$B$16)</f>
        <v>60</v>
      </c>
      <c r="H173" s="624">
        <f>IF((H164=1),Thermostat!$B$15,Thermostat!$B$16)</f>
        <v>60</v>
      </c>
      <c r="I173" s="624">
        <f>IF((I164=1),Thermostat!$B$15,Thermostat!$B$16)</f>
        <v>60</v>
      </c>
      <c r="J173" s="624">
        <f>IF((J164=1),Thermostat!$B$15,Thermostat!$B$16)</f>
        <v>60</v>
      </c>
      <c r="K173" s="624">
        <f>IF((K164=1),Thermostat!$B$15,Thermostat!$B$16)</f>
        <v>60</v>
      </c>
      <c r="L173" s="624">
        <f>IF((L164=1),Thermostat!$B$15,Thermostat!$B$16)</f>
        <v>60</v>
      </c>
      <c r="M173" s="624">
        <f>IF((M164=1),Thermostat!$B$15,Thermostat!$B$16)</f>
        <v>60</v>
      </c>
      <c r="N173" s="624">
        <f>IF((N164=1),Thermostat!$B$15,Thermostat!$B$16)</f>
        <v>60</v>
      </c>
      <c r="O173" s="624">
        <f>IF((O164=1),Thermostat!$B$15,Thermostat!$B$16)</f>
        <v>60</v>
      </c>
      <c r="P173" s="624">
        <f>IF((P164=1),Thermostat!$B$15,Thermostat!$B$16)</f>
        <v>60</v>
      </c>
      <c r="Q173" s="624">
        <f>IF((Q164=1),Thermostat!$B$15,Thermostat!$B$16)</f>
        <v>60</v>
      </c>
      <c r="R173" s="624">
        <f>IF((R164=1),Thermostat!$B$15,Thermostat!$B$16)</f>
        <v>60</v>
      </c>
      <c r="S173" s="624">
        <f>IF((S164=1),Thermostat!$B$15,Thermostat!$B$16)</f>
        <v>60</v>
      </c>
      <c r="T173" s="624">
        <f>IF((T164=1),Thermostat!$B$15,Thermostat!$B$16)</f>
        <v>60</v>
      </c>
      <c r="U173" s="624">
        <f>IF((U164=1),Thermostat!$B$15,Thermostat!$B$16)</f>
        <v>60</v>
      </c>
      <c r="V173" s="624">
        <f>IF((V164=1),Thermostat!$B$15,Thermostat!$B$16)</f>
        <v>60</v>
      </c>
      <c r="W173" s="624">
        <f>IF((W164=1),Thermostat!$B$15,Thermostat!$B$16)</f>
        <v>60</v>
      </c>
      <c r="X173" s="624">
        <f>IF((X164=1),Thermostat!$B$15,Thermostat!$B$16)</f>
        <v>60</v>
      </c>
      <c r="Y173" s="624">
        <f>IF((Y164=1),Thermostat!$B$15,Thermostat!$B$16)</f>
        <v>60</v>
      </c>
      <c r="Z173" s="624">
        <f>IF((Z164=1),Thermostat!$B$15,Thermostat!$B$16)</f>
        <v>60</v>
      </c>
      <c r="AA173" s="624">
        <f>IF((AA164=1),Thermostat!$B$15,Thermostat!$B$16)</f>
        <v>60</v>
      </c>
      <c r="AB173" s="624">
        <f>IF((AB164=1),Thermostat!$B$15,Thermostat!$B$16)</f>
        <v>60</v>
      </c>
      <c r="AC173" s="624">
        <f>IF((AC164=1),Thermostat!$B$15,Thermostat!$B$16)</f>
        <v>60</v>
      </c>
    </row>
    <row r="174" spans="1:29" ht="15" customHeight="1" x14ac:dyDescent="0.3">
      <c r="A174" s="870"/>
      <c r="B174" s="873"/>
      <c r="C174" s="881"/>
      <c r="D174" s="883"/>
      <c r="E174" s="557" t="s">
        <v>467</v>
      </c>
      <c r="F174" s="625">
        <f>IF((F165=1),Thermostat!$B$15,Thermostat!$B$16)</f>
        <v>60</v>
      </c>
      <c r="G174" s="625">
        <f>IF((G165=1),Thermostat!$B$15,Thermostat!$B$16)</f>
        <v>60</v>
      </c>
      <c r="H174" s="625">
        <f>IF((H165=1),Thermostat!$B$15,Thermostat!$B$16)</f>
        <v>60</v>
      </c>
      <c r="I174" s="625">
        <f>IF((I165=1),Thermostat!$B$15,Thermostat!$B$16)</f>
        <v>60</v>
      </c>
      <c r="J174" s="625">
        <f>IF((J165=1),Thermostat!$B$15,Thermostat!$B$16)</f>
        <v>60</v>
      </c>
      <c r="K174" s="625">
        <f>IF((K165=1),Thermostat!$B$15,Thermostat!$B$16)</f>
        <v>60</v>
      </c>
      <c r="L174" s="625">
        <f>IF((L165=1),Thermostat!$B$15,Thermostat!$B$16)</f>
        <v>60</v>
      </c>
      <c r="M174" s="625">
        <f>IF((M165=1),Thermostat!$B$15,Thermostat!$B$16)</f>
        <v>60</v>
      </c>
      <c r="N174" s="625">
        <f>IF((N165=1),Thermostat!$B$15,Thermostat!$B$16)</f>
        <v>60</v>
      </c>
      <c r="O174" s="625">
        <f>IF((O165=1),Thermostat!$B$15,Thermostat!$B$16)</f>
        <v>60</v>
      </c>
      <c r="P174" s="625">
        <f>IF((P165=1),Thermostat!$B$15,Thermostat!$B$16)</f>
        <v>60</v>
      </c>
      <c r="Q174" s="625">
        <f>IF((Q165=1),Thermostat!$B$15,Thermostat!$B$16)</f>
        <v>60</v>
      </c>
      <c r="R174" s="625">
        <f>IF((R165=1),Thermostat!$B$15,Thermostat!$B$16)</f>
        <v>60</v>
      </c>
      <c r="S174" s="625">
        <f>IF((S165=1),Thermostat!$B$15,Thermostat!$B$16)</f>
        <v>60</v>
      </c>
      <c r="T174" s="625">
        <f>IF((T165=1),Thermostat!$B$15,Thermostat!$B$16)</f>
        <v>60</v>
      </c>
      <c r="U174" s="625">
        <f>IF((U165=1),Thermostat!$B$15,Thermostat!$B$16)</f>
        <v>60</v>
      </c>
      <c r="V174" s="625">
        <f>IF((V165=1),Thermostat!$B$15,Thermostat!$B$16)</f>
        <v>60</v>
      </c>
      <c r="W174" s="625">
        <f>IF((W165=1),Thermostat!$B$15,Thermostat!$B$16)</f>
        <v>60</v>
      </c>
      <c r="X174" s="625">
        <f>IF((X165=1),Thermostat!$B$15,Thermostat!$B$16)</f>
        <v>60</v>
      </c>
      <c r="Y174" s="625">
        <f>IF((Y165=1),Thermostat!$B$15,Thermostat!$B$16)</f>
        <v>60</v>
      </c>
      <c r="Z174" s="625">
        <f>IF((Z165=1),Thermostat!$B$15,Thermostat!$B$16)</f>
        <v>60</v>
      </c>
      <c r="AA174" s="625">
        <f>IF((AA165=1),Thermostat!$B$15,Thermostat!$B$16)</f>
        <v>60</v>
      </c>
      <c r="AB174" s="625">
        <f>IF((AB165=1),Thermostat!$B$15,Thermostat!$B$16)</f>
        <v>60</v>
      </c>
      <c r="AC174" s="625">
        <f>IF((AC165=1),Thermostat!$B$15,Thermostat!$B$16)</f>
        <v>60</v>
      </c>
    </row>
    <row r="175" spans="1:29" ht="15" customHeight="1" x14ac:dyDescent="0.3">
      <c r="A175" s="884" t="s">
        <v>833</v>
      </c>
      <c r="B175" s="887" t="str">
        <f t="shared" ref="B175" si="15">B172</f>
        <v>AncillaryResidentialCommon</v>
      </c>
      <c r="C175" s="889" t="s">
        <v>812</v>
      </c>
      <c r="D175" s="891" t="s">
        <v>811</v>
      </c>
      <c r="E175" s="558" t="s">
        <v>465</v>
      </c>
      <c r="F175" s="626">
        <f>IF((F163=1),Thermostat!$B$17,Thermostat!$B$18)</f>
        <v>85</v>
      </c>
      <c r="G175" s="626">
        <f>IF((G163=1),Thermostat!$B$17,Thermostat!$B$18)</f>
        <v>85</v>
      </c>
      <c r="H175" s="626">
        <f>IF((H163=1),Thermostat!$B$17,Thermostat!$B$18)</f>
        <v>85</v>
      </c>
      <c r="I175" s="626">
        <f>IF((I163=1),Thermostat!$B$17,Thermostat!$B$18)</f>
        <v>85</v>
      </c>
      <c r="J175" s="626">
        <f>IF((J163=1),Thermostat!$B$17,Thermostat!$B$18)</f>
        <v>85</v>
      </c>
      <c r="K175" s="626">
        <f>IF((K163=1),Thermostat!$B$17,Thermostat!$B$18)</f>
        <v>85</v>
      </c>
      <c r="L175" s="626">
        <f>IF((L163=1),Thermostat!$B$17,Thermostat!$B$18)</f>
        <v>85</v>
      </c>
      <c r="M175" s="626">
        <f>IF((M163=1),Thermostat!$B$17,Thermostat!$B$18)</f>
        <v>85</v>
      </c>
      <c r="N175" s="626">
        <f>IF((N163=1),Thermostat!$B$17,Thermostat!$B$18)</f>
        <v>85</v>
      </c>
      <c r="O175" s="626">
        <f>IF((O163=1),Thermostat!$B$17,Thermostat!$B$18)</f>
        <v>85</v>
      </c>
      <c r="P175" s="626">
        <f>IF((P163=1),Thermostat!$B$17,Thermostat!$B$18)</f>
        <v>85</v>
      </c>
      <c r="Q175" s="626">
        <f>IF((Q163=1),Thermostat!$B$17,Thermostat!$B$18)</f>
        <v>85</v>
      </c>
      <c r="R175" s="626">
        <f>IF((R163=1),Thermostat!$B$17,Thermostat!$B$18)</f>
        <v>85</v>
      </c>
      <c r="S175" s="626">
        <f>IF((S163=1),Thermostat!$B$17,Thermostat!$B$18)</f>
        <v>85</v>
      </c>
      <c r="T175" s="626">
        <f>IF((T163=1),Thermostat!$B$17,Thermostat!$B$18)</f>
        <v>85</v>
      </c>
      <c r="U175" s="626">
        <f>IF((U163=1),Thermostat!$B$17,Thermostat!$B$18)</f>
        <v>85</v>
      </c>
      <c r="V175" s="626">
        <f>IF((V163=1),Thermostat!$B$17,Thermostat!$B$18)</f>
        <v>85</v>
      </c>
      <c r="W175" s="626">
        <f>IF((W163=1),Thermostat!$B$17,Thermostat!$B$18)</f>
        <v>85</v>
      </c>
      <c r="X175" s="626">
        <f>IF((X163=1),Thermostat!$B$17,Thermostat!$B$18)</f>
        <v>85</v>
      </c>
      <c r="Y175" s="626">
        <f>IF((Y163=1),Thermostat!$B$17,Thermostat!$B$18)</f>
        <v>85</v>
      </c>
      <c r="Z175" s="626">
        <f>IF((Z163=1),Thermostat!$B$17,Thermostat!$B$18)</f>
        <v>85</v>
      </c>
      <c r="AA175" s="626">
        <f>IF((AA163=1),Thermostat!$B$17,Thermostat!$B$18)</f>
        <v>85</v>
      </c>
      <c r="AB175" s="626">
        <f>IF((AB163=1),Thermostat!$B$17,Thermostat!$B$18)</f>
        <v>85</v>
      </c>
      <c r="AC175" s="554">
        <f>IF((AC163=1),Thermostat!$B$17,Thermostat!$B$18)</f>
        <v>85</v>
      </c>
    </row>
    <row r="176" spans="1:29" ht="15" customHeight="1" x14ac:dyDescent="0.3">
      <c r="A176" s="885"/>
      <c r="B176" s="872"/>
      <c r="C176" s="880"/>
      <c r="D176" s="875"/>
      <c r="E176" s="559" t="s">
        <v>466</v>
      </c>
      <c r="F176" s="624">
        <f>IF((F164=1),Thermostat!$B$17,Thermostat!$B$18)</f>
        <v>85</v>
      </c>
      <c r="G176" s="624">
        <f>IF((G164=1),Thermostat!$B$17,Thermostat!$B$18)</f>
        <v>85</v>
      </c>
      <c r="H176" s="624">
        <f>IF((H164=1),Thermostat!$B$17,Thermostat!$B$18)</f>
        <v>85</v>
      </c>
      <c r="I176" s="624">
        <f>IF((I164=1),Thermostat!$B$17,Thermostat!$B$18)</f>
        <v>85</v>
      </c>
      <c r="J176" s="624">
        <f>IF((J164=1),Thermostat!$B$17,Thermostat!$B$18)</f>
        <v>85</v>
      </c>
      <c r="K176" s="624">
        <f>IF((K164=1),Thermostat!$B$17,Thermostat!$B$18)</f>
        <v>85</v>
      </c>
      <c r="L176" s="624">
        <f>IF((L164=1),Thermostat!$B$17,Thermostat!$B$18)</f>
        <v>85</v>
      </c>
      <c r="M176" s="624">
        <f>IF((M164=1),Thermostat!$B$17,Thermostat!$B$18)</f>
        <v>85</v>
      </c>
      <c r="N176" s="624">
        <f>IF((N164=1),Thermostat!$B$17,Thermostat!$B$18)</f>
        <v>85</v>
      </c>
      <c r="O176" s="624">
        <f>IF((O164=1),Thermostat!$B$17,Thermostat!$B$18)</f>
        <v>85</v>
      </c>
      <c r="P176" s="624">
        <f>IF((P164=1),Thermostat!$B$17,Thermostat!$B$18)</f>
        <v>85</v>
      </c>
      <c r="Q176" s="624">
        <f>IF((Q164=1),Thermostat!$B$17,Thermostat!$B$18)</f>
        <v>85</v>
      </c>
      <c r="R176" s="624">
        <f>IF((R164=1),Thermostat!$B$17,Thermostat!$B$18)</f>
        <v>85</v>
      </c>
      <c r="S176" s="624">
        <f>IF((S164=1),Thermostat!$B$17,Thermostat!$B$18)</f>
        <v>85</v>
      </c>
      <c r="T176" s="624">
        <f>IF((T164=1),Thermostat!$B$17,Thermostat!$B$18)</f>
        <v>85</v>
      </c>
      <c r="U176" s="624">
        <f>IF((U164=1),Thermostat!$B$17,Thermostat!$B$18)</f>
        <v>85</v>
      </c>
      <c r="V176" s="624">
        <f>IF((V164=1),Thermostat!$B$17,Thermostat!$B$18)</f>
        <v>85</v>
      </c>
      <c r="W176" s="624">
        <f>IF((W164=1),Thermostat!$B$17,Thermostat!$B$18)</f>
        <v>85</v>
      </c>
      <c r="X176" s="624">
        <f>IF((X164=1),Thermostat!$B$17,Thermostat!$B$18)</f>
        <v>85</v>
      </c>
      <c r="Y176" s="624">
        <f>IF((Y164=1),Thermostat!$B$17,Thermostat!$B$18)</f>
        <v>85</v>
      </c>
      <c r="Z176" s="624">
        <f>IF((Z164=1),Thermostat!$B$17,Thermostat!$B$18)</f>
        <v>85</v>
      </c>
      <c r="AA176" s="624">
        <f>IF((AA164=1),Thermostat!$B$17,Thermostat!$B$18)</f>
        <v>85</v>
      </c>
      <c r="AB176" s="624">
        <f>IF((AB164=1),Thermostat!$B$17,Thermostat!$B$18)</f>
        <v>85</v>
      </c>
      <c r="AC176" s="560">
        <f>IF((AC164=1),Thermostat!$B$17,Thermostat!$B$18)</f>
        <v>85</v>
      </c>
    </row>
    <row r="177" spans="1:29" ht="15" customHeight="1" x14ac:dyDescent="0.3">
      <c r="A177" s="886"/>
      <c r="B177" s="888"/>
      <c r="C177" s="890"/>
      <c r="D177" s="892"/>
      <c r="E177" s="561" t="s">
        <v>467</v>
      </c>
      <c r="F177" s="627">
        <f>IF((F165=1),Thermostat!$B$17,Thermostat!$B$18)</f>
        <v>85</v>
      </c>
      <c r="G177" s="627">
        <f>IF((G165=1),Thermostat!$B$17,Thermostat!$B$18)</f>
        <v>85</v>
      </c>
      <c r="H177" s="627">
        <f>IF((H165=1),Thermostat!$B$17,Thermostat!$B$18)</f>
        <v>85</v>
      </c>
      <c r="I177" s="627">
        <f>IF((I165=1),Thermostat!$B$17,Thermostat!$B$18)</f>
        <v>85</v>
      </c>
      <c r="J177" s="627">
        <f>IF((J165=1),Thermostat!$B$17,Thermostat!$B$18)</f>
        <v>85</v>
      </c>
      <c r="K177" s="627">
        <f>IF((K165=1),Thermostat!$B$17,Thermostat!$B$18)</f>
        <v>85</v>
      </c>
      <c r="L177" s="627">
        <f>IF((L165=1),Thermostat!$B$17,Thermostat!$B$18)</f>
        <v>85</v>
      </c>
      <c r="M177" s="627">
        <f>IF((M165=1),Thermostat!$B$17,Thermostat!$B$18)</f>
        <v>85</v>
      </c>
      <c r="N177" s="627">
        <f>IF((N165=1),Thermostat!$B$17,Thermostat!$B$18)</f>
        <v>85</v>
      </c>
      <c r="O177" s="627">
        <f>IF((O165=1),Thermostat!$B$17,Thermostat!$B$18)</f>
        <v>85</v>
      </c>
      <c r="P177" s="627">
        <f>IF((P165=1),Thermostat!$B$17,Thermostat!$B$18)</f>
        <v>85</v>
      </c>
      <c r="Q177" s="627">
        <f>IF((Q165=1),Thermostat!$B$17,Thermostat!$B$18)</f>
        <v>85</v>
      </c>
      <c r="R177" s="627">
        <f>IF((R165=1),Thermostat!$B$17,Thermostat!$B$18)</f>
        <v>85</v>
      </c>
      <c r="S177" s="627">
        <f>IF((S165=1),Thermostat!$B$17,Thermostat!$B$18)</f>
        <v>85</v>
      </c>
      <c r="T177" s="627">
        <f>IF((T165=1),Thermostat!$B$17,Thermostat!$B$18)</f>
        <v>85</v>
      </c>
      <c r="U177" s="627">
        <f>IF((U165=1),Thermostat!$B$17,Thermostat!$B$18)</f>
        <v>85</v>
      </c>
      <c r="V177" s="627">
        <f>IF((V165=1),Thermostat!$B$17,Thermostat!$B$18)</f>
        <v>85</v>
      </c>
      <c r="W177" s="627">
        <f>IF((W165=1),Thermostat!$B$17,Thermostat!$B$18)</f>
        <v>85</v>
      </c>
      <c r="X177" s="627">
        <f>IF((X165=1),Thermostat!$B$17,Thermostat!$B$18)</f>
        <v>85</v>
      </c>
      <c r="Y177" s="627">
        <f>IF((Y165=1),Thermostat!$B$17,Thermostat!$B$18)</f>
        <v>85</v>
      </c>
      <c r="Z177" s="627">
        <f>IF((Z165=1),Thermostat!$B$17,Thermostat!$B$18)</f>
        <v>85</v>
      </c>
      <c r="AA177" s="627">
        <f>IF((AA165=1),Thermostat!$B$17,Thermostat!$B$18)</f>
        <v>85</v>
      </c>
      <c r="AB177" s="627">
        <f>IF((AB165=1),Thermostat!$B$17,Thermostat!$B$18)</f>
        <v>85</v>
      </c>
      <c r="AC177" s="562">
        <f>IF((AC165=1),Thermostat!$B$17,Thermostat!$B$18)</f>
        <v>85</v>
      </c>
    </row>
  </sheetData>
  <mergeCells count="237">
    <mergeCell ref="A172:A174"/>
    <mergeCell ref="B172:B174"/>
    <mergeCell ref="C172:C174"/>
    <mergeCell ref="D172:D174"/>
    <mergeCell ref="A175:A177"/>
    <mergeCell ref="B175:B177"/>
    <mergeCell ref="C175:C177"/>
    <mergeCell ref="D175:D177"/>
    <mergeCell ref="A163:A165"/>
    <mergeCell ref="B163:B165"/>
    <mergeCell ref="C163:C165"/>
    <mergeCell ref="D163:D165"/>
    <mergeCell ref="A166:A168"/>
    <mergeCell ref="B166:B168"/>
    <mergeCell ref="C166:C168"/>
    <mergeCell ref="D166:D168"/>
    <mergeCell ref="A169:A171"/>
    <mergeCell ref="B169:B171"/>
    <mergeCell ref="C169:C171"/>
    <mergeCell ref="D169:D171"/>
    <mergeCell ref="A154:A156"/>
    <mergeCell ref="B154:B156"/>
    <mergeCell ref="C154:C156"/>
    <mergeCell ref="D154:D156"/>
    <mergeCell ref="A157:A159"/>
    <mergeCell ref="B157:B159"/>
    <mergeCell ref="C157:C159"/>
    <mergeCell ref="D157:D159"/>
    <mergeCell ref="A160:A162"/>
    <mergeCell ref="B160:B162"/>
    <mergeCell ref="C160:C162"/>
    <mergeCell ref="D160:D162"/>
    <mergeCell ref="A147:A149"/>
    <mergeCell ref="B147:B149"/>
    <mergeCell ref="C147:C149"/>
    <mergeCell ref="D147:D149"/>
    <mergeCell ref="A150:A152"/>
    <mergeCell ref="B150:B152"/>
    <mergeCell ref="C150:C152"/>
    <mergeCell ref="D150:D152"/>
    <mergeCell ref="A153:AC153"/>
    <mergeCell ref="A138:A140"/>
    <mergeCell ref="B138:B140"/>
    <mergeCell ref="C138:C140"/>
    <mergeCell ref="D138:D140"/>
    <mergeCell ref="A141:A143"/>
    <mergeCell ref="B141:B143"/>
    <mergeCell ref="C141:C143"/>
    <mergeCell ref="D141:D143"/>
    <mergeCell ref="A144:A146"/>
    <mergeCell ref="B144:B146"/>
    <mergeCell ref="C144:C146"/>
    <mergeCell ref="D144:D146"/>
    <mergeCell ref="D129:D131"/>
    <mergeCell ref="A132:A134"/>
    <mergeCell ref="B132:B134"/>
    <mergeCell ref="C132:C134"/>
    <mergeCell ref="D132:D134"/>
    <mergeCell ref="A135:A137"/>
    <mergeCell ref="B135:B137"/>
    <mergeCell ref="C135:C137"/>
    <mergeCell ref="D135:D137"/>
    <mergeCell ref="C113:C115"/>
    <mergeCell ref="D113:D115"/>
    <mergeCell ref="C110:C112"/>
    <mergeCell ref="D110:D112"/>
    <mergeCell ref="C119:C121"/>
    <mergeCell ref="D119:D121"/>
    <mergeCell ref="C122:C124"/>
    <mergeCell ref="D122:D124"/>
    <mergeCell ref="C116:C118"/>
    <mergeCell ref="D116:D118"/>
    <mergeCell ref="A125:AC125"/>
    <mergeCell ref="A126:A128"/>
    <mergeCell ref="B126:B128"/>
    <mergeCell ref="C126:C128"/>
    <mergeCell ref="D126:D128"/>
    <mergeCell ref="A129:A131"/>
    <mergeCell ref="B129:B131"/>
    <mergeCell ref="C129:C131"/>
    <mergeCell ref="D44:D46"/>
    <mergeCell ref="C50:C52"/>
    <mergeCell ref="D50:D52"/>
    <mergeCell ref="C107:C109"/>
    <mergeCell ref="D107:D109"/>
    <mergeCell ref="C53:C55"/>
    <mergeCell ref="D53:D55"/>
    <mergeCell ref="C75:C77"/>
    <mergeCell ref="D75:D77"/>
    <mergeCell ref="C57:C59"/>
    <mergeCell ref="D57:D59"/>
    <mergeCell ref="C60:C62"/>
    <mergeCell ref="D60:D62"/>
    <mergeCell ref="C78:C80"/>
    <mergeCell ref="D78:D80"/>
    <mergeCell ref="C72:C74"/>
    <mergeCell ref="D72:D74"/>
    <mergeCell ref="C69:C71"/>
    <mergeCell ref="D69:D71"/>
    <mergeCell ref="A106:AC106"/>
    <mergeCell ref="A82:A84"/>
    <mergeCell ref="B82:B84"/>
    <mergeCell ref="C82:C84"/>
    <mergeCell ref="D82:D84"/>
    <mergeCell ref="F2:AC2"/>
    <mergeCell ref="E2:E3"/>
    <mergeCell ref="D2:D3"/>
    <mergeCell ref="D4:D6"/>
    <mergeCell ref="C10:C12"/>
    <mergeCell ref="A1:AC1"/>
    <mergeCell ref="C41:C43"/>
    <mergeCell ref="D41:D43"/>
    <mergeCell ref="C47:C49"/>
    <mergeCell ref="D47:D49"/>
    <mergeCell ref="C44:C46"/>
    <mergeCell ref="C13:C15"/>
    <mergeCell ref="D16:D18"/>
    <mergeCell ref="C19:C21"/>
    <mergeCell ref="D19:D21"/>
    <mergeCell ref="D13:D15"/>
    <mergeCell ref="C16:C18"/>
    <mergeCell ref="C32:C34"/>
    <mergeCell ref="D32:D34"/>
    <mergeCell ref="C35:C37"/>
    <mergeCell ref="D35:D37"/>
    <mergeCell ref="C38:C40"/>
    <mergeCell ref="D38:D40"/>
    <mergeCell ref="C25:C27"/>
    <mergeCell ref="B19:B21"/>
    <mergeCell ref="B22:B24"/>
    <mergeCell ref="B25:B27"/>
    <mergeCell ref="B28:B30"/>
    <mergeCell ref="C4:C6"/>
    <mergeCell ref="C7:C9"/>
    <mergeCell ref="C2:C3"/>
    <mergeCell ref="D10:D12"/>
    <mergeCell ref="D7:D9"/>
    <mergeCell ref="D25:D27"/>
    <mergeCell ref="C28:C30"/>
    <mergeCell ref="D28:D30"/>
    <mergeCell ref="D22:D24"/>
    <mergeCell ref="C22:C24"/>
    <mergeCell ref="A28:A30"/>
    <mergeCell ref="B2:B3"/>
    <mergeCell ref="A32:A34"/>
    <mergeCell ref="A35:A37"/>
    <mergeCell ref="A38:A40"/>
    <mergeCell ref="A41:A43"/>
    <mergeCell ref="A44:A46"/>
    <mergeCell ref="A47:A49"/>
    <mergeCell ref="A50:A52"/>
    <mergeCell ref="A31:AC31"/>
    <mergeCell ref="A2:A3"/>
    <mergeCell ref="A4:A6"/>
    <mergeCell ref="A7:A9"/>
    <mergeCell ref="A10:A12"/>
    <mergeCell ref="A13:A15"/>
    <mergeCell ref="A16:A18"/>
    <mergeCell ref="A19:A21"/>
    <mergeCell ref="A22:A24"/>
    <mergeCell ref="A25:A27"/>
    <mergeCell ref="B4:B6"/>
    <mergeCell ref="B7:B9"/>
    <mergeCell ref="B10:B12"/>
    <mergeCell ref="B13:B15"/>
    <mergeCell ref="B16:B18"/>
    <mergeCell ref="A53:A55"/>
    <mergeCell ref="A57:A59"/>
    <mergeCell ref="A60:A62"/>
    <mergeCell ref="A63:A65"/>
    <mergeCell ref="A66:A68"/>
    <mergeCell ref="A69:A71"/>
    <mergeCell ref="A72:A74"/>
    <mergeCell ref="A75:A77"/>
    <mergeCell ref="A78:A80"/>
    <mergeCell ref="A116:A118"/>
    <mergeCell ref="A119:A121"/>
    <mergeCell ref="A122:A124"/>
    <mergeCell ref="B116:B118"/>
    <mergeCell ref="B119:B121"/>
    <mergeCell ref="B122:B124"/>
    <mergeCell ref="A107:A109"/>
    <mergeCell ref="A110:A112"/>
    <mergeCell ref="A113:A115"/>
    <mergeCell ref="B107:B109"/>
    <mergeCell ref="B110:B112"/>
    <mergeCell ref="B113:B115"/>
    <mergeCell ref="B78:B80"/>
    <mergeCell ref="B72:B74"/>
    <mergeCell ref="B69:B71"/>
    <mergeCell ref="B66:B68"/>
    <mergeCell ref="B63:B65"/>
    <mergeCell ref="B60:B62"/>
    <mergeCell ref="B57:B59"/>
    <mergeCell ref="A56:AC56"/>
    <mergeCell ref="A81:AC81"/>
    <mergeCell ref="C63:C65"/>
    <mergeCell ref="D63:D65"/>
    <mergeCell ref="C66:C68"/>
    <mergeCell ref="D66:D68"/>
    <mergeCell ref="B53:B55"/>
    <mergeCell ref="B47:B49"/>
    <mergeCell ref="B50:B52"/>
    <mergeCell ref="B44:B46"/>
    <mergeCell ref="B41:B43"/>
    <mergeCell ref="B38:B40"/>
    <mergeCell ref="B35:B37"/>
    <mergeCell ref="B32:B34"/>
    <mergeCell ref="B75:B77"/>
    <mergeCell ref="A85:A87"/>
    <mergeCell ref="B85:B87"/>
    <mergeCell ref="C85:C87"/>
    <mergeCell ref="D85:D87"/>
    <mergeCell ref="A88:A90"/>
    <mergeCell ref="B88:B90"/>
    <mergeCell ref="C88:C90"/>
    <mergeCell ref="D88:D90"/>
    <mergeCell ref="A91:A93"/>
    <mergeCell ref="B91:B93"/>
    <mergeCell ref="C91:C93"/>
    <mergeCell ref="D91:D93"/>
    <mergeCell ref="A103:A105"/>
    <mergeCell ref="B103:B105"/>
    <mergeCell ref="C103:C105"/>
    <mergeCell ref="D103:D105"/>
    <mergeCell ref="A94:A96"/>
    <mergeCell ref="B94:B96"/>
    <mergeCell ref="C94:C96"/>
    <mergeCell ref="D94:D96"/>
    <mergeCell ref="A97:A99"/>
    <mergeCell ref="B97:B99"/>
    <mergeCell ref="C97:C99"/>
    <mergeCell ref="D97:D99"/>
    <mergeCell ref="A100:A102"/>
    <mergeCell ref="B100:B102"/>
    <mergeCell ref="C100:C102"/>
    <mergeCell ref="D100:D102"/>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22"/>
  <sheetViews>
    <sheetView zoomScale="85" zoomScaleNormal="85" workbookViewId="0">
      <selection sqref="A1:L1"/>
    </sheetView>
  </sheetViews>
  <sheetFormatPr defaultColWidth="8.6640625" defaultRowHeight="15" customHeight="1" x14ac:dyDescent="0.25"/>
  <cols>
    <col min="1" max="1" width="14.44140625" style="5" customWidth="1"/>
    <col min="2" max="2" width="9.33203125" style="5" customWidth="1"/>
    <col min="3" max="3" width="13.6640625" style="5" customWidth="1"/>
    <col min="4" max="4" width="15.33203125" style="5" customWidth="1"/>
    <col min="5" max="5" width="13.6640625" style="5" customWidth="1"/>
    <col min="6" max="6" width="20.5546875" style="5" customWidth="1"/>
    <col min="7" max="7" width="16.5546875" style="5" bestFit="1" customWidth="1"/>
    <col min="8" max="8" width="16.88671875" style="5" bestFit="1" customWidth="1"/>
    <col min="9" max="9" width="10.6640625" style="5" customWidth="1"/>
    <col min="10" max="11" width="13.44140625" style="5" bestFit="1" customWidth="1"/>
    <col min="12" max="12" width="19.44140625" style="5" bestFit="1" customWidth="1"/>
    <col min="13" max="13" width="8.6640625" style="5"/>
    <col min="14" max="14" width="21.6640625" style="5" customWidth="1"/>
    <col min="15" max="15" width="13.6640625" style="5" customWidth="1"/>
    <col min="16" max="16" width="17.88671875" style="5" customWidth="1"/>
    <col min="17" max="19" width="20.88671875" style="5" customWidth="1"/>
    <col min="20" max="23" width="12.44140625" style="5" customWidth="1"/>
    <col min="24" max="16384" width="8.6640625" style="5"/>
  </cols>
  <sheetData>
    <row r="1" spans="1:22" ht="27" customHeight="1" x14ac:dyDescent="0.25">
      <c r="A1" s="895" t="s">
        <v>834</v>
      </c>
      <c r="B1" s="895"/>
      <c r="C1" s="895"/>
      <c r="D1" s="895"/>
      <c r="E1" s="895"/>
      <c r="F1" s="895"/>
      <c r="G1" s="895"/>
      <c r="H1" s="895"/>
      <c r="I1" s="895"/>
      <c r="J1" s="895"/>
      <c r="K1" s="895"/>
      <c r="L1" s="895"/>
      <c r="N1" s="896" t="s">
        <v>835</v>
      </c>
      <c r="O1" s="896"/>
      <c r="P1" s="896"/>
      <c r="Q1" s="896"/>
      <c r="R1" s="896"/>
      <c r="S1" s="896"/>
      <c r="T1" s="896"/>
      <c r="U1" s="896"/>
      <c r="V1" s="896"/>
    </row>
    <row r="2" spans="1:22" ht="54" customHeight="1" x14ac:dyDescent="0.25">
      <c r="A2" s="337" t="s">
        <v>9</v>
      </c>
      <c r="B2" s="337" t="s">
        <v>836</v>
      </c>
      <c r="C2" s="342" t="s">
        <v>837</v>
      </c>
      <c r="D2" s="342" t="s">
        <v>838</v>
      </c>
      <c r="E2" s="342" t="s">
        <v>839</v>
      </c>
      <c r="F2" s="342" t="s">
        <v>840</v>
      </c>
      <c r="G2" s="342" t="s">
        <v>841</v>
      </c>
      <c r="H2" s="342" t="s">
        <v>842</v>
      </c>
      <c r="I2" s="343" t="s">
        <v>843</v>
      </c>
      <c r="J2" s="343" t="s">
        <v>844</v>
      </c>
      <c r="K2" s="343" t="s">
        <v>845</v>
      </c>
      <c r="L2" s="343" t="s">
        <v>846</v>
      </c>
      <c r="N2" s="337" t="s">
        <v>9</v>
      </c>
      <c r="O2" s="622" t="s">
        <v>836</v>
      </c>
      <c r="P2" s="622" t="s">
        <v>847</v>
      </c>
      <c r="Q2" s="340" t="s">
        <v>848</v>
      </c>
      <c r="R2" s="340" t="s">
        <v>849</v>
      </c>
      <c r="S2" s="340" t="s">
        <v>850</v>
      </c>
      <c r="T2" s="340" t="s">
        <v>844</v>
      </c>
      <c r="U2" s="340" t="s">
        <v>845</v>
      </c>
      <c r="V2" s="340" t="s">
        <v>851</v>
      </c>
    </row>
    <row r="3" spans="1:22" ht="19.2" customHeight="1" x14ac:dyDescent="0.25">
      <c r="A3" s="894" t="s">
        <v>60</v>
      </c>
      <c r="B3" s="628">
        <v>1</v>
      </c>
      <c r="C3" s="628"/>
      <c r="D3" s="628"/>
      <c r="E3" s="628"/>
      <c r="F3" s="339"/>
      <c r="G3" s="339"/>
      <c r="H3" s="339"/>
      <c r="I3" s="628">
        <v>63.9</v>
      </c>
      <c r="J3" s="339">
        <f>(I3*1.25)</f>
        <v>79.875</v>
      </c>
      <c r="K3" s="339">
        <f>(I3*0.75)</f>
        <v>47.924999999999997</v>
      </c>
      <c r="L3" s="339">
        <f>J3-K3</f>
        <v>31.950000000000003</v>
      </c>
      <c r="N3" s="704" t="s">
        <v>421</v>
      </c>
      <c r="O3" s="338">
        <v>1</v>
      </c>
      <c r="P3" s="341">
        <v>9588</v>
      </c>
      <c r="Q3" s="95">
        <v>10.07</v>
      </c>
      <c r="R3" s="95">
        <v>6.41</v>
      </c>
      <c r="S3" s="95">
        <f>(Q3+R3)*3.412</f>
        <v>56.229759999999999</v>
      </c>
      <c r="T3" s="95">
        <f>S3*1.25</f>
        <v>70.287199999999999</v>
      </c>
      <c r="U3" s="95">
        <f>S3*0.75</f>
        <v>42.172319999999999</v>
      </c>
      <c r="V3" s="344">
        <f>T3-U3</f>
        <v>28.114879999999999</v>
      </c>
    </row>
    <row r="4" spans="1:22" ht="19.2" customHeight="1" x14ac:dyDescent="0.25">
      <c r="A4" s="894"/>
      <c r="B4" s="628">
        <v>2</v>
      </c>
      <c r="C4" s="628"/>
      <c r="D4" s="628"/>
      <c r="E4" s="628"/>
      <c r="F4" s="339"/>
      <c r="G4" s="339"/>
      <c r="H4" s="339"/>
      <c r="I4" s="628">
        <v>59.3</v>
      </c>
      <c r="J4" s="339">
        <f t="shared" ref="J4:J18" si="0">(I4*1.25)</f>
        <v>74.125</v>
      </c>
      <c r="K4" s="339">
        <f t="shared" ref="K4:K18" si="1">(I4*0.75)</f>
        <v>44.474999999999994</v>
      </c>
      <c r="L4" s="339">
        <f t="shared" ref="L4:L18" si="2">J4-K4</f>
        <v>29.650000000000006</v>
      </c>
      <c r="N4" s="704"/>
      <c r="O4" s="338">
        <v>2</v>
      </c>
      <c r="P4" s="341">
        <v>42372</v>
      </c>
      <c r="Q4" s="95">
        <v>9.11</v>
      </c>
      <c r="R4" s="95">
        <v>5.42</v>
      </c>
      <c r="S4" s="95">
        <f t="shared" ref="S4:S18" si="3">(Q4+R4)*3.412</f>
        <v>49.576359999999994</v>
      </c>
      <c r="T4" s="95">
        <f t="shared" ref="T4:T18" si="4">S4*1.25</f>
        <v>61.970449999999992</v>
      </c>
      <c r="U4" s="95">
        <f t="shared" ref="U4:U18" si="5">S4*0.75</f>
        <v>37.182269999999995</v>
      </c>
      <c r="V4" s="344">
        <f t="shared" ref="V4:V18" si="6">T4-U4</f>
        <v>24.788179999999997</v>
      </c>
    </row>
    <row r="5" spans="1:22" ht="19.2" customHeight="1" x14ac:dyDescent="0.25">
      <c r="A5" s="894"/>
      <c r="B5" s="628">
        <v>3</v>
      </c>
      <c r="C5" s="628"/>
      <c r="D5" s="628"/>
      <c r="E5" s="628"/>
      <c r="F5" s="339"/>
      <c r="G5" s="339"/>
      <c r="H5" s="339"/>
      <c r="I5" s="628">
        <v>57.3</v>
      </c>
      <c r="J5" s="339">
        <f t="shared" si="0"/>
        <v>71.625</v>
      </c>
      <c r="K5" s="339">
        <f t="shared" si="1"/>
        <v>42.974999999999994</v>
      </c>
      <c r="L5" s="339">
        <f t="shared" si="2"/>
        <v>28.650000000000006</v>
      </c>
      <c r="N5" s="704"/>
      <c r="O5" s="338">
        <v>3</v>
      </c>
      <c r="P5" s="341">
        <v>61013</v>
      </c>
      <c r="Q5" s="95">
        <v>8.06</v>
      </c>
      <c r="R5" s="95">
        <v>8.35</v>
      </c>
      <c r="S5" s="95">
        <f t="shared" si="3"/>
        <v>55.990920000000003</v>
      </c>
      <c r="T5" s="95">
        <f t="shared" si="4"/>
        <v>69.988650000000007</v>
      </c>
      <c r="U5" s="95">
        <f t="shared" si="5"/>
        <v>41.993189999999998</v>
      </c>
      <c r="V5" s="344">
        <f t="shared" si="6"/>
        <v>27.995460000000008</v>
      </c>
    </row>
    <row r="6" spans="1:22" ht="19.2" customHeight="1" x14ac:dyDescent="0.25">
      <c r="A6" s="894"/>
      <c r="B6" s="628">
        <v>4</v>
      </c>
      <c r="C6" s="628"/>
      <c r="D6" s="628"/>
      <c r="E6" s="628"/>
      <c r="F6" s="339"/>
      <c r="G6" s="339"/>
      <c r="H6" s="339"/>
      <c r="I6" s="628">
        <v>61.3</v>
      </c>
      <c r="J6" s="339">
        <f t="shared" si="0"/>
        <v>76.625</v>
      </c>
      <c r="K6" s="339">
        <f t="shared" si="1"/>
        <v>45.974999999999994</v>
      </c>
      <c r="L6" s="339">
        <f t="shared" si="2"/>
        <v>30.650000000000006</v>
      </c>
      <c r="N6" s="704"/>
      <c r="O6" s="338">
        <v>4</v>
      </c>
      <c r="P6" s="341">
        <v>28798</v>
      </c>
      <c r="Q6" s="95">
        <v>7.94</v>
      </c>
      <c r="R6" s="95">
        <v>7.84</v>
      </c>
      <c r="S6" s="95">
        <f t="shared" si="3"/>
        <v>53.841360000000002</v>
      </c>
      <c r="T6" s="95">
        <f t="shared" si="4"/>
        <v>67.301699999999997</v>
      </c>
      <c r="U6" s="95">
        <f t="shared" si="5"/>
        <v>40.381019999999999</v>
      </c>
      <c r="V6" s="344">
        <f t="shared" si="6"/>
        <v>26.920679999999997</v>
      </c>
    </row>
    <row r="7" spans="1:22" ht="19.2" customHeight="1" x14ac:dyDescent="0.25">
      <c r="A7" s="894"/>
      <c r="B7" s="628">
        <v>5</v>
      </c>
      <c r="C7" s="628"/>
      <c r="D7" s="628"/>
      <c r="E7" s="628"/>
      <c r="F7" s="339"/>
      <c r="G7" s="339"/>
      <c r="H7" s="339"/>
      <c r="I7" s="628">
        <v>56.3</v>
      </c>
      <c r="J7" s="339">
        <f t="shared" si="0"/>
        <v>70.375</v>
      </c>
      <c r="K7" s="339">
        <f t="shared" si="1"/>
        <v>42.224999999999994</v>
      </c>
      <c r="L7" s="339">
        <f t="shared" si="2"/>
        <v>28.150000000000006</v>
      </c>
      <c r="N7" s="704"/>
      <c r="O7" s="338">
        <v>5</v>
      </c>
      <c r="P7" s="341">
        <v>9409</v>
      </c>
      <c r="Q7" s="95">
        <v>7.94</v>
      </c>
      <c r="R7" s="95">
        <v>11.86</v>
      </c>
      <c r="S7" s="95">
        <f t="shared" si="3"/>
        <v>67.557600000000008</v>
      </c>
      <c r="T7" s="95">
        <f t="shared" si="4"/>
        <v>84.447000000000003</v>
      </c>
      <c r="U7" s="95">
        <f t="shared" si="5"/>
        <v>50.668200000000006</v>
      </c>
      <c r="V7" s="344">
        <f t="shared" si="6"/>
        <v>33.778799999999997</v>
      </c>
    </row>
    <row r="8" spans="1:22" ht="19.2" customHeight="1" x14ac:dyDescent="0.25">
      <c r="A8" s="894"/>
      <c r="B8" s="628">
        <v>6</v>
      </c>
      <c r="C8" s="628"/>
      <c r="D8" s="628"/>
      <c r="E8" s="628"/>
      <c r="F8" s="339"/>
      <c r="G8" s="339"/>
      <c r="H8" s="339"/>
      <c r="I8" s="628">
        <v>55.7</v>
      </c>
      <c r="J8" s="339">
        <f t="shared" si="0"/>
        <v>69.625</v>
      </c>
      <c r="K8" s="339">
        <f t="shared" si="1"/>
        <v>41.775000000000006</v>
      </c>
      <c r="L8" s="339">
        <f t="shared" si="2"/>
        <v>27.849999999999994</v>
      </c>
      <c r="N8" s="704"/>
      <c r="O8" s="338">
        <v>6</v>
      </c>
      <c r="P8" s="341">
        <v>34023</v>
      </c>
      <c r="Q8" s="95">
        <v>9.0299999999999994</v>
      </c>
      <c r="R8" s="95">
        <v>10.6</v>
      </c>
      <c r="S8" s="95">
        <f t="shared" si="3"/>
        <v>66.977559999999997</v>
      </c>
      <c r="T8" s="95">
        <f t="shared" si="4"/>
        <v>83.721949999999993</v>
      </c>
      <c r="U8" s="95">
        <f t="shared" si="5"/>
        <v>50.233170000000001</v>
      </c>
      <c r="V8" s="344">
        <f t="shared" si="6"/>
        <v>33.488779999999991</v>
      </c>
    </row>
    <row r="9" spans="1:22" ht="19.2" customHeight="1" x14ac:dyDescent="0.25">
      <c r="A9" s="894"/>
      <c r="B9" s="628">
        <v>7</v>
      </c>
      <c r="C9" s="628"/>
      <c r="D9" s="628"/>
      <c r="E9" s="628"/>
      <c r="F9" s="339"/>
      <c r="G9" s="339"/>
      <c r="H9" s="339"/>
      <c r="I9" s="628">
        <v>55.9</v>
      </c>
      <c r="J9" s="339">
        <f t="shared" si="0"/>
        <v>69.875</v>
      </c>
      <c r="K9" s="339">
        <f t="shared" si="1"/>
        <v>41.924999999999997</v>
      </c>
      <c r="L9" s="339">
        <f t="shared" si="2"/>
        <v>27.950000000000003</v>
      </c>
      <c r="N9" s="704"/>
      <c r="O9" s="338">
        <v>7</v>
      </c>
      <c r="P9" s="341">
        <v>37336</v>
      </c>
      <c r="Q9" s="95">
        <v>11.69</v>
      </c>
      <c r="R9" s="95">
        <v>8.98</v>
      </c>
      <c r="S9" s="95">
        <f t="shared" si="3"/>
        <v>70.526040000000009</v>
      </c>
      <c r="T9" s="95">
        <f t="shared" si="4"/>
        <v>88.157550000000015</v>
      </c>
      <c r="U9" s="95">
        <f t="shared" si="5"/>
        <v>52.894530000000003</v>
      </c>
      <c r="V9" s="344">
        <f t="shared" si="6"/>
        <v>35.263020000000012</v>
      </c>
    </row>
    <row r="10" spans="1:22" ht="19.2" customHeight="1" x14ac:dyDescent="0.25">
      <c r="A10" s="894"/>
      <c r="B10" s="628">
        <v>8</v>
      </c>
      <c r="C10" s="628"/>
      <c r="D10" s="628"/>
      <c r="E10" s="628"/>
      <c r="F10" s="339"/>
      <c r="G10" s="339"/>
      <c r="H10" s="339"/>
      <c r="I10" s="628">
        <v>58.5</v>
      </c>
      <c r="J10" s="339">
        <f t="shared" si="0"/>
        <v>73.125</v>
      </c>
      <c r="K10" s="339">
        <f t="shared" si="1"/>
        <v>43.875</v>
      </c>
      <c r="L10" s="339">
        <f t="shared" si="2"/>
        <v>29.25</v>
      </c>
      <c r="N10" s="704"/>
      <c r="O10" s="338">
        <v>8</v>
      </c>
      <c r="P10" s="341">
        <v>50599</v>
      </c>
      <c r="Q10" s="95">
        <v>8.92</v>
      </c>
      <c r="R10" s="95">
        <v>10.37</v>
      </c>
      <c r="S10" s="95">
        <f t="shared" si="3"/>
        <v>65.817479999999989</v>
      </c>
      <c r="T10" s="95">
        <f t="shared" si="4"/>
        <v>82.271849999999986</v>
      </c>
      <c r="U10" s="95">
        <f t="shared" si="5"/>
        <v>49.363109999999992</v>
      </c>
      <c r="V10" s="344">
        <f t="shared" si="6"/>
        <v>32.908739999999995</v>
      </c>
    </row>
    <row r="11" spans="1:22" ht="19.2" customHeight="1" x14ac:dyDescent="0.25">
      <c r="A11" s="894"/>
      <c r="B11" s="628">
        <v>9</v>
      </c>
      <c r="C11" s="628"/>
      <c r="D11" s="628"/>
      <c r="E11" s="628"/>
      <c r="F11" s="339"/>
      <c r="G11" s="339"/>
      <c r="H11" s="339"/>
      <c r="I11" s="628">
        <v>58.9</v>
      </c>
      <c r="J11" s="339">
        <f t="shared" si="0"/>
        <v>73.625</v>
      </c>
      <c r="K11" s="339">
        <f t="shared" si="1"/>
        <v>44.174999999999997</v>
      </c>
      <c r="L11" s="339">
        <f t="shared" si="2"/>
        <v>29.450000000000003</v>
      </c>
      <c r="N11" s="704"/>
      <c r="O11" s="338">
        <v>9</v>
      </c>
      <c r="P11" s="341">
        <v>56761</v>
      </c>
      <c r="Q11" s="95">
        <v>8.94</v>
      </c>
      <c r="R11" s="95">
        <v>9.98</v>
      </c>
      <c r="S11" s="95">
        <f t="shared" si="3"/>
        <v>64.555040000000005</v>
      </c>
      <c r="T11" s="95">
        <f t="shared" si="4"/>
        <v>80.69380000000001</v>
      </c>
      <c r="U11" s="95">
        <f t="shared" si="5"/>
        <v>48.41628</v>
      </c>
      <c r="V11" s="344">
        <f t="shared" si="6"/>
        <v>32.27752000000001</v>
      </c>
    </row>
    <row r="12" spans="1:22" ht="19.2" customHeight="1" x14ac:dyDescent="0.25">
      <c r="A12" s="894"/>
      <c r="B12" s="628">
        <v>10</v>
      </c>
      <c r="C12" s="628"/>
      <c r="D12" s="628"/>
      <c r="E12" s="628"/>
      <c r="F12" s="339"/>
      <c r="G12" s="339"/>
      <c r="H12" s="339"/>
      <c r="I12" s="628">
        <v>60.6</v>
      </c>
      <c r="J12" s="339">
        <f t="shared" si="0"/>
        <v>75.75</v>
      </c>
      <c r="K12" s="339">
        <f t="shared" si="1"/>
        <v>45.45</v>
      </c>
      <c r="L12" s="339">
        <f t="shared" si="2"/>
        <v>30.299999999999997</v>
      </c>
      <c r="N12" s="704"/>
      <c r="O12" s="338">
        <v>10</v>
      </c>
      <c r="P12" s="341">
        <v>48383</v>
      </c>
      <c r="Q12" s="95">
        <v>10.61</v>
      </c>
      <c r="R12" s="95">
        <v>13.05</v>
      </c>
      <c r="S12" s="95">
        <f t="shared" si="3"/>
        <v>80.727919999999997</v>
      </c>
      <c r="T12" s="95">
        <f t="shared" si="4"/>
        <v>100.90989999999999</v>
      </c>
      <c r="U12" s="95">
        <f t="shared" si="5"/>
        <v>60.545940000000002</v>
      </c>
      <c r="V12" s="344">
        <f t="shared" si="6"/>
        <v>40.363959999999992</v>
      </c>
    </row>
    <row r="13" spans="1:22" ht="19.2" customHeight="1" x14ac:dyDescent="0.25">
      <c r="A13" s="894"/>
      <c r="B13" s="628">
        <v>11</v>
      </c>
      <c r="C13" s="628"/>
      <c r="D13" s="628"/>
      <c r="E13" s="628"/>
      <c r="F13" s="339"/>
      <c r="G13" s="339"/>
      <c r="H13" s="339"/>
      <c r="I13" s="628">
        <v>64.7</v>
      </c>
      <c r="J13" s="339">
        <f t="shared" si="0"/>
        <v>80.875</v>
      </c>
      <c r="K13" s="339">
        <f t="shared" si="1"/>
        <v>48.525000000000006</v>
      </c>
      <c r="L13" s="339">
        <f t="shared" si="2"/>
        <v>32.349999999999994</v>
      </c>
      <c r="N13" s="704"/>
      <c r="O13" s="338">
        <v>11</v>
      </c>
      <c r="P13" s="341">
        <v>13807</v>
      </c>
      <c r="Q13" s="95">
        <v>13.42</v>
      </c>
      <c r="R13" s="95">
        <v>12.06</v>
      </c>
      <c r="S13" s="95">
        <f t="shared" si="3"/>
        <v>86.937759999999997</v>
      </c>
      <c r="T13" s="95">
        <f t="shared" si="4"/>
        <v>108.6722</v>
      </c>
      <c r="U13" s="95">
        <f t="shared" si="5"/>
        <v>65.203319999999991</v>
      </c>
      <c r="V13" s="344">
        <f t="shared" si="6"/>
        <v>43.468880000000013</v>
      </c>
    </row>
    <row r="14" spans="1:22" ht="19.2" customHeight="1" x14ac:dyDescent="0.25">
      <c r="A14" s="894"/>
      <c r="B14" s="628">
        <v>12</v>
      </c>
      <c r="C14" s="628"/>
      <c r="D14" s="628"/>
      <c r="E14" s="628"/>
      <c r="F14" s="339"/>
      <c r="G14" s="339"/>
      <c r="H14" s="339"/>
      <c r="I14" s="628">
        <v>62</v>
      </c>
      <c r="J14" s="339">
        <f t="shared" si="0"/>
        <v>77.5</v>
      </c>
      <c r="K14" s="339">
        <f t="shared" si="1"/>
        <v>46.5</v>
      </c>
      <c r="L14" s="339">
        <f t="shared" si="2"/>
        <v>31</v>
      </c>
      <c r="N14" s="704"/>
      <c r="O14" s="338">
        <v>12</v>
      </c>
      <c r="P14" s="341">
        <v>54244</v>
      </c>
      <c r="Q14" s="95">
        <v>11.8</v>
      </c>
      <c r="R14" s="95">
        <v>11.49</v>
      </c>
      <c r="S14" s="95">
        <f t="shared" si="3"/>
        <v>79.465479999999999</v>
      </c>
      <c r="T14" s="95">
        <f t="shared" si="4"/>
        <v>99.331850000000003</v>
      </c>
      <c r="U14" s="95">
        <f t="shared" si="5"/>
        <v>59.599109999999996</v>
      </c>
      <c r="V14" s="344">
        <f t="shared" si="6"/>
        <v>39.732740000000007</v>
      </c>
    </row>
    <row r="15" spans="1:22" ht="19.2" customHeight="1" x14ac:dyDescent="0.25">
      <c r="A15" s="894"/>
      <c r="B15" s="628">
        <v>13</v>
      </c>
      <c r="C15" s="628"/>
      <c r="D15" s="628"/>
      <c r="E15" s="628"/>
      <c r="F15" s="339"/>
      <c r="G15" s="339"/>
      <c r="H15" s="339"/>
      <c r="I15" s="628">
        <v>65.099999999999994</v>
      </c>
      <c r="J15" s="339">
        <f t="shared" si="0"/>
        <v>81.375</v>
      </c>
      <c r="K15" s="339">
        <f t="shared" si="1"/>
        <v>48.824999999999996</v>
      </c>
      <c r="L15" s="339">
        <f t="shared" si="2"/>
        <v>32.550000000000004</v>
      </c>
      <c r="N15" s="704"/>
      <c r="O15" s="338">
        <v>13</v>
      </c>
      <c r="P15" s="341">
        <v>16296</v>
      </c>
      <c r="Q15" s="95">
        <v>11.83</v>
      </c>
      <c r="R15" s="95">
        <v>8.98</v>
      </c>
      <c r="S15" s="95">
        <f t="shared" si="3"/>
        <v>71.003720000000001</v>
      </c>
      <c r="T15" s="95">
        <f t="shared" si="4"/>
        <v>88.754649999999998</v>
      </c>
      <c r="U15" s="95">
        <f t="shared" si="5"/>
        <v>53.252790000000005</v>
      </c>
      <c r="V15" s="344">
        <f t="shared" si="6"/>
        <v>35.501859999999994</v>
      </c>
    </row>
    <row r="16" spans="1:22" ht="19.2" customHeight="1" x14ac:dyDescent="0.25">
      <c r="A16" s="894"/>
      <c r="B16" s="628">
        <v>14</v>
      </c>
      <c r="C16" s="628"/>
      <c r="D16" s="628"/>
      <c r="E16" s="628"/>
      <c r="F16" s="339"/>
      <c r="G16" s="339"/>
      <c r="H16" s="339"/>
      <c r="I16" s="628">
        <v>65.599999999999994</v>
      </c>
      <c r="J16" s="339">
        <f t="shared" si="0"/>
        <v>82</v>
      </c>
      <c r="K16" s="339">
        <f t="shared" si="1"/>
        <v>49.199999999999996</v>
      </c>
      <c r="L16" s="339">
        <f t="shared" si="2"/>
        <v>32.800000000000004</v>
      </c>
      <c r="N16" s="704"/>
      <c r="O16" s="338">
        <v>14</v>
      </c>
      <c r="P16" s="341">
        <v>9753</v>
      </c>
      <c r="Q16" s="95">
        <v>10.38</v>
      </c>
      <c r="R16" s="95">
        <v>13</v>
      </c>
      <c r="S16" s="95">
        <f t="shared" si="3"/>
        <v>79.772560000000013</v>
      </c>
      <c r="T16" s="95">
        <f t="shared" si="4"/>
        <v>99.715700000000012</v>
      </c>
      <c r="U16" s="95">
        <f t="shared" si="5"/>
        <v>59.829420000000013</v>
      </c>
      <c r="V16" s="344">
        <f t="shared" si="6"/>
        <v>39.886279999999999</v>
      </c>
    </row>
    <row r="17" spans="1:22" ht="19.2" customHeight="1" x14ac:dyDescent="0.25">
      <c r="A17" s="894"/>
      <c r="B17" s="628">
        <v>15</v>
      </c>
      <c r="C17" s="628"/>
      <c r="D17" s="628"/>
      <c r="E17" s="628"/>
      <c r="F17" s="339"/>
      <c r="G17" s="339"/>
      <c r="H17" s="339"/>
      <c r="I17" s="628">
        <v>70.400000000000006</v>
      </c>
      <c r="J17" s="339">
        <f t="shared" si="0"/>
        <v>88</v>
      </c>
      <c r="K17" s="339">
        <f t="shared" si="1"/>
        <v>52.800000000000004</v>
      </c>
      <c r="L17" s="339">
        <f t="shared" si="2"/>
        <v>35.199999999999996</v>
      </c>
      <c r="N17" s="704"/>
      <c r="O17" s="338">
        <v>15</v>
      </c>
      <c r="P17" s="341">
        <v>24241</v>
      </c>
      <c r="Q17" s="95">
        <v>8.52</v>
      </c>
      <c r="R17" s="95">
        <v>14.2</v>
      </c>
      <c r="S17" s="95">
        <f t="shared" si="3"/>
        <v>77.52064</v>
      </c>
      <c r="T17" s="95">
        <f t="shared" si="4"/>
        <v>96.900800000000004</v>
      </c>
      <c r="U17" s="95">
        <f t="shared" si="5"/>
        <v>58.140479999999997</v>
      </c>
      <c r="V17" s="344">
        <f t="shared" si="6"/>
        <v>38.760320000000007</v>
      </c>
    </row>
    <row r="18" spans="1:22" ht="19.2" customHeight="1" x14ac:dyDescent="0.25">
      <c r="A18" s="894"/>
      <c r="B18" s="628">
        <v>16</v>
      </c>
      <c r="C18" s="628"/>
      <c r="D18" s="628"/>
      <c r="E18" s="628"/>
      <c r="F18" s="339"/>
      <c r="G18" s="339"/>
      <c r="H18" s="339"/>
      <c r="I18" s="628">
        <v>66.599999999999994</v>
      </c>
      <c r="J18" s="339">
        <f t="shared" si="0"/>
        <v>83.25</v>
      </c>
      <c r="K18" s="339">
        <f t="shared" si="1"/>
        <v>49.949999999999996</v>
      </c>
      <c r="L18" s="339">
        <f t="shared" si="2"/>
        <v>33.300000000000004</v>
      </c>
      <c r="N18" s="704"/>
      <c r="O18" s="338">
        <v>16</v>
      </c>
      <c r="P18" s="341">
        <v>33483</v>
      </c>
      <c r="Q18" s="95">
        <v>12.32</v>
      </c>
      <c r="R18" s="95">
        <v>13.6</v>
      </c>
      <c r="S18" s="95">
        <f t="shared" si="3"/>
        <v>88.439040000000006</v>
      </c>
      <c r="T18" s="95">
        <f t="shared" si="4"/>
        <v>110.5488</v>
      </c>
      <c r="U18" s="95">
        <f t="shared" si="5"/>
        <v>66.329280000000011</v>
      </c>
      <c r="V18" s="344">
        <f t="shared" si="6"/>
        <v>44.219519999999989</v>
      </c>
    </row>
    <row r="20" spans="1:22" ht="13.2" x14ac:dyDescent="0.25">
      <c r="A20" s="5" t="s">
        <v>852</v>
      </c>
    </row>
    <row r="21" spans="1:22" ht="13.2" x14ac:dyDescent="0.25">
      <c r="A21" s="5" t="s">
        <v>853</v>
      </c>
    </row>
    <row r="22" spans="1:22" ht="13.2" x14ac:dyDescent="0.25">
      <c r="A22" s="5" t="s">
        <v>854</v>
      </c>
    </row>
  </sheetData>
  <mergeCells count="4">
    <mergeCell ref="A3:A18"/>
    <mergeCell ref="N3:N18"/>
    <mergeCell ref="A1:L1"/>
    <mergeCell ref="N1:V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74"/>
  <sheetViews>
    <sheetView zoomScaleNormal="100" workbookViewId="0">
      <selection sqref="A1:G1"/>
    </sheetView>
  </sheetViews>
  <sheetFormatPr defaultColWidth="8.6640625" defaultRowHeight="13.2" x14ac:dyDescent="0.25"/>
  <cols>
    <col min="1" max="2" width="12" style="5" customWidth="1"/>
    <col min="3" max="6" width="13.6640625" style="5" customWidth="1"/>
    <col min="7" max="7" width="13.33203125" style="5" customWidth="1"/>
    <col min="8" max="8" width="12.6640625" style="5" bestFit="1" customWidth="1"/>
    <col min="9" max="9" width="8.6640625" style="5"/>
    <col min="10" max="10" width="12" style="5" customWidth="1"/>
    <col min="11" max="11" width="14.109375" style="5" customWidth="1"/>
    <col min="12" max="12" width="10.33203125" style="5" customWidth="1"/>
    <col min="13" max="27" width="5.6640625" style="5" customWidth="1"/>
    <col min="28" max="16384" width="8.6640625" style="5"/>
  </cols>
  <sheetData>
    <row r="1" spans="1:28" ht="28.95" customHeight="1" x14ac:dyDescent="0.25">
      <c r="A1" s="897" t="s">
        <v>857</v>
      </c>
      <c r="B1" s="897"/>
      <c r="C1" s="897"/>
      <c r="D1" s="897"/>
      <c r="E1" s="897"/>
      <c r="F1" s="897"/>
      <c r="G1" s="897"/>
      <c r="J1" s="897" t="s">
        <v>857</v>
      </c>
      <c r="K1" s="897"/>
      <c r="L1" s="897"/>
      <c r="M1" s="897"/>
      <c r="N1" s="897"/>
      <c r="O1" s="897"/>
      <c r="P1" s="897"/>
      <c r="Q1" s="897"/>
      <c r="R1" s="897"/>
      <c r="S1" s="897"/>
      <c r="T1" s="897"/>
      <c r="U1" s="897"/>
      <c r="V1" s="897"/>
      <c r="W1" s="897"/>
      <c r="X1" s="897"/>
      <c r="Y1" s="897"/>
      <c r="Z1" s="897"/>
      <c r="AA1" s="897"/>
    </row>
    <row r="2" spans="1:28" ht="21" customHeight="1" x14ac:dyDescent="0.25">
      <c r="A2" s="901" t="s">
        <v>9</v>
      </c>
      <c r="B2" s="349" t="s">
        <v>836</v>
      </c>
      <c r="C2" s="898" t="s">
        <v>858</v>
      </c>
      <c r="D2" s="899"/>
      <c r="E2" s="899"/>
      <c r="F2" s="899"/>
      <c r="G2" s="900"/>
      <c r="J2" s="901" t="s">
        <v>9</v>
      </c>
      <c r="K2" s="901" t="s">
        <v>858</v>
      </c>
      <c r="L2" s="898" t="s">
        <v>836</v>
      </c>
      <c r="M2" s="899"/>
      <c r="N2" s="899"/>
      <c r="O2" s="899"/>
      <c r="P2" s="899"/>
      <c r="Q2" s="899"/>
      <c r="R2" s="899"/>
      <c r="S2" s="899"/>
      <c r="T2" s="899"/>
      <c r="U2" s="899"/>
      <c r="V2" s="899"/>
      <c r="W2" s="899"/>
      <c r="X2" s="899"/>
      <c r="Y2" s="899"/>
      <c r="Z2" s="899"/>
      <c r="AA2" s="900"/>
    </row>
    <row r="3" spans="1:28" ht="21" customHeight="1" x14ac:dyDescent="0.25">
      <c r="A3" s="902"/>
      <c r="B3" s="349"/>
      <c r="C3" s="629" t="s">
        <v>859</v>
      </c>
      <c r="D3" s="629" t="s">
        <v>309</v>
      </c>
      <c r="E3" s="629" t="s">
        <v>311</v>
      </c>
      <c r="F3" s="629" t="s">
        <v>313</v>
      </c>
      <c r="G3" s="629" t="s">
        <v>860</v>
      </c>
      <c r="J3" s="902"/>
      <c r="K3" s="902"/>
      <c r="L3" s="155">
        <v>1</v>
      </c>
      <c r="M3" s="155">
        <v>2</v>
      </c>
      <c r="N3" s="155">
        <v>3</v>
      </c>
      <c r="O3" s="155">
        <v>4</v>
      </c>
      <c r="P3" s="155">
        <v>5</v>
      </c>
      <c r="Q3" s="155">
        <v>6</v>
      </c>
      <c r="R3" s="155">
        <v>7</v>
      </c>
      <c r="S3" s="155">
        <v>8</v>
      </c>
      <c r="T3" s="155">
        <v>9</v>
      </c>
      <c r="U3" s="155">
        <v>10</v>
      </c>
      <c r="V3" s="155">
        <v>11</v>
      </c>
      <c r="W3" s="155">
        <v>12</v>
      </c>
      <c r="X3" s="155">
        <v>13</v>
      </c>
      <c r="Y3" s="155">
        <v>14</v>
      </c>
      <c r="Z3" s="155">
        <v>15</v>
      </c>
      <c r="AA3" s="155">
        <v>16</v>
      </c>
    </row>
    <row r="4" spans="1:28" ht="16.95" customHeight="1" x14ac:dyDescent="0.25">
      <c r="A4" s="907" t="s">
        <v>861</v>
      </c>
      <c r="B4" s="351">
        <v>1</v>
      </c>
      <c r="C4" s="352">
        <v>0.50693379999999999</v>
      </c>
      <c r="D4" s="352">
        <v>0.1660856</v>
      </c>
      <c r="E4" s="352">
        <v>0.257519</v>
      </c>
      <c r="F4" s="352">
        <v>6.9461700000000001E-2</v>
      </c>
      <c r="G4" s="353"/>
      <c r="H4" s="111">
        <f>SUM(C4:F4)</f>
        <v>1.0000001000000001</v>
      </c>
      <c r="J4" s="903" t="s">
        <v>861</v>
      </c>
      <c r="K4" s="154" t="s">
        <v>859</v>
      </c>
      <c r="L4" s="156">
        <v>3.0828000000000001E-2</v>
      </c>
      <c r="M4" s="156">
        <v>0.156162</v>
      </c>
      <c r="N4" s="156">
        <v>0.18479799999999999</v>
      </c>
      <c r="O4" s="156">
        <v>8.8985999999999996E-2</v>
      </c>
      <c r="P4" s="156">
        <v>2.3132E-2</v>
      </c>
      <c r="Q4" s="156">
        <v>5.6710000000000003E-2</v>
      </c>
      <c r="R4" s="156">
        <v>4.0355000000000002E-2</v>
      </c>
      <c r="S4" s="156">
        <v>7.9903000000000002E-2</v>
      </c>
      <c r="T4" s="156">
        <v>8.9247999999999994E-2</v>
      </c>
      <c r="U4" s="156">
        <v>3.6239E-2</v>
      </c>
      <c r="V4" s="156">
        <v>1.8978999999999999E-2</v>
      </c>
      <c r="W4" s="156">
        <v>0.102951</v>
      </c>
      <c r="X4" s="156">
        <v>3.3198999999999999E-2</v>
      </c>
      <c r="Y4" s="156">
        <v>1.009E-2</v>
      </c>
      <c r="Z4" s="156">
        <v>1.7041000000000001E-2</v>
      </c>
      <c r="AA4" s="156">
        <v>3.1380999999999999E-2</v>
      </c>
      <c r="AB4" s="111">
        <f>SUM(L4:AA4)</f>
        <v>1.0000020000000001</v>
      </c>
    </row>
    <row r="5" spans="1:28" ht="16.95" customHeight="1" x14ac:dyDescent="0.25">
      <c r="A5" s="908"/>
      <c r="B5" s="154">
        <v>2</v>
      </c>
      <c r="C5" s="156">
        <v>0.58106919999999995</v>
      </c>
      <c r="D5" s="156">
        <v>9.5946900000000002E-2</v>
      </c>
      <c r="E5" s="156">
        <v>0.28948669999999999</v>
      </c>
      <c r="F5" s="156">
        <v>3.3497199999999998E-2</v>
      </c>
      <c r="G5" s="157"/>
      <c r="H5" s="111">
        <f t="shared" ref="H5:H20" si="0">SUM(C5:F5)</f>
        <v>0.99999999999999989</v>
      </c>
      <c r="J5" s="904"/>
      <c r="K5" s="154" t="s">
        <v>309</v>
      </c>
      <c r="L5" s="156">
        <v>7.3429999999999997E-3</v>
      </c>
      <c r="M5" s="156">
        <v>1.8748000000000001E-2</v>
      </c>
      <c r="N5" s="156">
        <v>7.5939999999999994E-2</v>
      </c>
      <c r="O5" s="156">
        <v>3.4945999999999998E-2</v>
      </c>
      <c r="P5" s="156">
        <v>1.6955999999999999E-2</v>
      </c>
      <c r="Q5" s="156">
        <v>8.1610000000000002E-2</v>
      </c>
      <c r="R5" s="156">
        <v>7.1208999999999995E-2</v>
      </c>
      <c r="S5" s="156">
        <v>0.122909</v>
      </c>
      <c r="T5" s="156">
        <v>0.13883200000000001</v>
      </c>
      <c r="U5" s="156">
        <v>0.12062100000000001</v>
      </c>
      <c r="V5" s="156">
        <v>2.9749000000000001E-2</v>
      </c>
      <c r="W5" s="156">
        <v>8.3029000000000006E-2</v>
      </c>
      <c r="X5" s="156">
        <v>2.5736999999999999E-2</v>
      </c>
      <c r="Y5" s="156">
        <v>2.2329999999999999E-2</v>
      </c>
      <c r="Z5" s="156">
        <v>7.9735E-2</v>
      </c>
      <c r="AA5" s="156">
        <v>7.0305999999999993E-2</v>
      </c>
      <c r="AB5" s="111">
        <f>SUM(L5:AA5)</f>
        <v>1</v>
      </c>
    </row>
    <row r="6" spans="1:28" ht="16.95" customHeight="1" x14ac:dyDescent="0.25">
      <c r="A6" s="908"/>
      <c r="B6" s="154">
        <v>3</v>
      </c>
      <c r="C6" s="156">
        <v>0.47748030000000002</v>
      </c>
      <c r="D6" s="156">
        <v>0.26987169999999999</v>
      </c>
      <c r="E6" s="156">
        <v>0.20867140000000001</v>
      </c>
      <c r="F6" s="156">
        <v>4.3976599999999998E-2</v>
      </c>
      <c r="G6" s="157"/>
      <c r="H6" s="111">
        <f t="shared" si="0"/>
        <v>1</v>
      </c>
      <c r="J6" s="904"/>
      <c r="K6" s="154" t="s">
        <v>311</v>
      </c>
      <c r="L6" s="156">
        <v>2.5103E-2</v>
      </c>
      <c r="M6" s="156">
        <v>0.12471</v>
      </c>
      <c r="N6" s="156">
        <v>0.12945799999999999</v>
      </c>
      <c r="O6" s="156">
        <v>6.0623999999999997E-2</v>
      </c>
      <c r="P6" s="156">
        <v>1.6118E-2</v>
      </c>
      <c r="Q6" s="156">
        <v>3.2733999999999999E-2</v>
      </c>
      <c r="R6" s="156">
        <v>6.5154000000000004E-2</v>
      </c>
      <c r="S6" s="156">
        <v>4.6686999999999999E-2</v>
      </c>
      <c r="T6" s="156">
        <v>5.6459000000000002E-2</v>
      </c>
      <c r="U6" s="156">
        <v>0.103496</v>
      </c>
      <c r="V6" s="156">
        <v>2.869E-2</v>
      </c>
      <c r="W6" s="156">
        <v>0.135407</v>
      </c>
      <c r="X6" s="156">
        <v>2.6211000000000002E-2</v>
      </c>
      <c r="Y6" s="156">
        <v>2.3769999999999999E-2</v>
      </c>
      <c r="Z6" s="156">
        <v>2.7362999999999998E-2</v>
      </c>
      <c r="AA6" s="156">
        <v>9.8016000000000006E-2</v>
      </c>
      <c r="AB6" s="111">
        <f>SUM(L6:AA6)</f>
        <v>1</v>
      </c>
    </row>
    <row r="7" spans="1:28" ht="16.95" customHeight="1" x14ac:dyDescent="0.25">
      <c r="A7" s="908"/>
      <c r="B7" s="154">
        <v>4</v>
      </c>
      <c r="C7" s="156">
        <v>0.48710639999999999</v>
      </c>
      <c r="D7" s="156">
        <v>0.26310319999999998</v>
      </c>
      <c r="E7" s="156">
        <v>0.20702329999999999</v>
      </c>
      <c r="F7" s="156">
        <v>4.2767100000000002E-2</v>
      </c>
      <c r="G7" s="157"/>
      <c r="H7" s="111">
        <f t="shared" si="0"/>
        <v>1</v>
      </c>
      <c r="J7" s="904"/>
      <c r="K7" s="154" t="s">
        <v>313</v>
      </c>
      <c r="L7" s="156">
        <v>1.1627E-2</v>
      </c>
      <c r="M7" s="156">
        <v>2.4778999999999999E-2</v>
      </c>
      <c r="N7" s="156">
        <v>4.6848000000000001E-2</v>
      </c>
      <c r="O7" s="156">
        <v>2.1505E-2</v>
      </c>
      <c r="P7" s="156">
        <v>8.7399999999999995E-3</v>
      </c>
      <c r="Q7" s="156">
        <v>7.2797000000000001E-2</v>
      </c>
      <c r="R7" s="156">
        <v>0.15934499999999999</v>
      </c>
      <c r="S7" s="156">
        <v>0.11806700000000001</v>
      </c>
      <c r="T7" s="156">
        <v>0.122873</v>
      </c>
      <c r="U7" s="156">
        <v>0.110661</v>
      </c>
      <c r="V7" s="156">
        <v>2.6911999999999998E-2</v>
      </c>
      <c r="W7" s="156">
        <v>0.116815</v>
      </c>
      <c r="X7" s="156">
        <v>5.0657000000000001E-2</v>
      </c>
      <c r="Y7" s="156">
        <v>1.7156000000000001E-2</v>
      </c>
      <c r="Z7" s="156">
        <v>2.7498000000000002E-2</v>
      </c>
      <c r="AA7" s="156">
        <v>6.3723000000000002E-2</v>
      </c>
      <c r="AB7" s="111">
        <f>SUM(L7:AA7)</f>
        <v>1.000003</v>
      </c>
    </row>
    <row r="8" spans="1:28" ht="16.95" customHeight="1" x14ac:dyDescent="0.25">
      <c r="A8" s="908"/>
      <c r="B8" s="154">
        <v>5</v>
      </c>
      <c r="C8" s="156">
        <v>0.38757799999999998</v>
      </c>
      <c r="D8" s="156">
        <v>0.39074930000000002</v>
      </c>
      <c r="E8" s="156">
        <v>0.16847400000000001</v>
      </c>
      <c r="F8" s="156">
        <v>5.3198700000000002E-2</v>
      </c>
      <c r="G8" s="157"/>
      <c r="H8" s="111">
        <f t="shared" si="0"/>
        <v>1</v>
      </c>
      <c r="J8" s="904"/>
      <c r="K8" s="154"/>
      <c r="L8" s="156"/>
      <c r="M8" s="156"/>
      <c r="N8" s="156"/>
      <c r="O8" s="156"/>
      <c r="P8" s="156"/>
      <c r="Q8" s="156"/>
      <c r="R8" s="156"/>
      <c r="S8" s="156"/>
      <c r="T8" s="156"/>
      <c r="U8" s="156"/>
      <c r="V8" s="156"/>
      <c r="W8" s="156"/>
      <c r="X8" s="156"/>
      <c r="Y8" s="156"/>
      <c r="Z8" s="156"/>
      <c r="AA8" s="156"/>
      <c r="AB8" s="111"/>
    </row>
    <row r="9" spans="1:28" ht="16.95" customHeight="1" x14ac:dyDescent="0.25">
      <c r="A9" s="908"/>
      <c r="B9" s="154">
        <v>6</v>
      </c>
      <c r="C9" s="156">
        <v>0.26275860000000001</v>
      </c>
      <c r="D9" s="156">
        <v>0.52008220000000005</v>
      </c>
      <c r="E9" s="156">
        <v>9.4616500000000006E-2</v>
      </c>
      <c r="F9" s="156">
        <v>0.1225427</v>
      </c>
      <c r="G9" s="157"/>
      <c r="H9" s="111">
        <f t="shared" si="0"/>
        <v>1</v>
      </c>
      <c r="J9" s="905"/>
      <c r="K9" s="154" t="s">
        <v>486</v>
      </c>
      <c r="L9" s="156">
        <v>1.8085E-2</v>
      </c>
      <c r="M9" s="156">
        <v>7.9923999999999995E-2</v>
      </c>
      <c r="N9" s="156">
        <v>0.11509900000000001</v>
      </c>
      <c r="O9" s="156">
        <v>5.4328000000000001E-2</v>
      </c>
      <c r="P9" s="156">
        <v>1.7749999999999998E-2</v>
      </c>
      <c r="Q9" s="156">
        <v>6.4185000000000006E-2</v>
      </c>
      <c r="R9" s="156">
        <v>7.0431999999999995E-2</v>
      </c>
      <c r="S9" s="156">
        <v>9.5454999999999998E-2</v>
      </c>
      <c r="T9" s="156">
        <v>0.10707899999999999</v>
      </c>
      <c r="U9" s="156">
        <v>9.1273000000000007E-2</v>
      </c>
      <c r="V9" s="156">
        <v>2.6043E-2</v>
      </c>
      <c r="W9" s="156">
        <v>0.102322</v>
      </c>
      <c r="X9" s="156">
        <v>3.0737E-2</v>
      </c>
      <c r="Y9" s="156">
        <v>1.8398000000000001E-2</v>
      </c>
      <c r="Z9" s="156">
        <v>4.573E-2</v>
      </c>
      <c r="AA9" s="156">
        <v>6.3159999999999994E-2</v>
      </c>
      <c r="AB9" s="111">
        <f>SUM(L9:AA9)</f>
        <v>1.0000000000000002</v>
      </c>
    </row>
    <row r="10" spans="1:28" ht="16.95" customHeight="1" x14ac:dyDescent="0.25">
      <c r="A10" s="908"/>
      <c r="B10" s="154">
        <v>7</v>
      </c>
      <c r="C10" s="156">
        <v>0.17039489999999999</v>
      </c>
      <c r="D10" s="156">
        <v>0.41354439999999998</v>
      </c>
      <c r="E10" s="156">
        <v>0.17162179999999999</v>
      </c>
      <c r="F10" s="156">
        <v>0.24443889999999999</v>
      </c>
      <c r="G10" s="157"/>
      <c r="H10" s="111">
        <f t="shared" si="0"/>
        <v>1</v>
      </c>
      <c r="J10" s="8"/>
      <c r="K10" s="110"/>
      <c r="L10" s="38"/>
      <c r="M10" s="38"/>
      <c r="N10" s="38"/>
      <c r="O10" s="38"/>
      <c r="P10" s="92"/>
    </row>
    <row r="11" spans="1:28" ht="16.95" customHeight="1" x14ac:dyDescent="0.25">
      <c r="A11" s="908"/>
      <c r="B11" s="154">
        <v>8</v>
      </c>
      <c r="C11" s="156">
        <v>0.24894089999999999</v>
      </c>
      <c r="D11" s="156">
        <v>0.52667870000000006</v>
      </c>
      <c r="E11" s="156">
        <v>9.0740699999999994E-2</v>
      </c>
      <c r="F11" s="156">
        <v>0.1336398</v>
      </c>
      <c r="G11" s="157"/>
      <c r="H11" s="111">
        <f t="shared" si="0"/>
        <v>1.0000001000000001</v>
      </c>
      <c r="N11" s="38"/>
      <c r="O11" s="38"/>
      <c r="P11" s="92"/>
    </row>
    <row r="12" spans="1:28" ht="16.95" customHeight="1" x14ac:dyDescent="0.25">
      <c r="A12" s="908"/>
      <c r="B12" s="154">
        <v>9</v>
      </c>
      <c r="C12" s="156">
        <v>0.24787000000000001</v>
      </c>
      <c r="D12" s="156">
        <v>0.53032789999999996</v>
      </c>
      <c r="E12" s="156">
        <v>9.7821199999999997E-2</v>
      </c>
      <c r="F12" s="156">
        <v>0.1239809</v>
      </c>
      <c r="G12" s="157"/>
      <c r="H12" s="111">
        <f t="shared" si="0"/>
        <v>1</v>
      </c>
      <c r="J12" s="572"/>
      <c r="K12" s="572"/>
      <c r="L12" s="572"/>
      <c r="M12" s="572"/>
      <c r="N12" s="38"/>
      <c r="O12" s="38"/>
      <c r="P12" s="92"/>
      <c r="Q12" s="572"/>
      <c r="R12" s="572"/>
      <c r="S12" s="572"/>
      <c r="T12" s="572"/>
      <c r="U12" s="572"/>
      <c r="V12" s="572"/>
      <c r="W12" s="572"/>
      <c r="X12" s="572"/>
      <c r="Y12" s="572"/>
      <c r="Z12" s="572"/>
    </row>
    <row r="13" spans="1:28" ht="16.95" customHeight="1" x14ac:dyDescent="0.25">
      <c r="A13" s="908"/>
      <c r="B13" s="154">
        <v>10</v>
      </c>
      <c r="C13" s="156">
        <v>0.118076</v>
      </c>
      <c r="D13" s="156">
        <v>0.54055710000000001</v>
      </c>
      <c r="E13" s="156">
        <v>0.21037130000000001</v>
      </c>
      <c r="F13" s="156">
        <v>0.13099559999999999</v>
      </c>
      <c r="G13" s="157"/>
      <c r="H13" s="111">
        <f t="shared" si="0"/>
        <v>1</v>
      </c>
      <c r="J13" s="572"/>
      <c r="K13" s="572"/>
      <c r="L13" s="572"/>
      <c r="M13" s="572"/>
      <c r="N13" s="38"/>
      <c r="O13" s="38"/>
      <c r="P13" s="92"/>
      <c r="Q13" s="572"/>
      <c r="R13" s="572"/>
      <c r="S13" s="572"/>
      <c r="T13" s="572"/>
      <c r="U13" s="572"/>
      <c r="V13" s="572"/>
      <c r="W13" s="572"/>
      <c r="X13" s="572"/>
      <c r="Y13" s="572"/>
      <c r="Z13" s="572"/>
      <c r="AA13" s="572"/>
    </row>
    <row r="14" spans="1:28" ht="16.95" customHeight="1" x14ac:dyDescent="0.25">
      <c r="A14" s="908"/>
      <c r="B14" s="154">
        <v>11</v>
      </c>
      <c r="C14" s="156">
        <v>0.2167241</v>
      </c>
      <c r="D14" s="156">
        <v>0.46723989999999999</v>
      </c>
      <c r="E14" s="156">
        <v>0.2043865</v>
      </c>
      <c r="F14" s="156">
        <v>0.1116495</v>
      </c>
      <c r="G14" s="157"/>
      <c r="H14" s="111">
        <f t="shared" si="0"/>
        <v>1</v>
      </c>
      <c r="J14" s="572"/>
      <c r="K14" s="572"/>
      <c r="L14" s="572"/>
      <c r="M14" s="572"/>
      <c r="N14" s="38"/>
      <c r="O14" s="38"/>
      <c r="P14" s="92"/>
      <c r="Q14" s="572"/>
      <c r="R14" s="572"/>
      <c r="S14" s="572"/>
      <c r="T14" s="572"/>
      <c r="U14" s="572"/>
      <c r="V14" s="572"/>
      <c r="W14" s="572"/>
      <c r="X14" s="572"/>
      <c r="Y14" s="572"/>
      <c r="Z14" s="572"/>
      <c r="AA14" s="572"/>
    </row>
    <row r="15" spans="1:28" ht="16.95" customHeight="1" x14ac:dyDescent="0.25">
      <c r="A15" s="908"/>
      <c r="B15" s="154">
        <v>12</v>
      </c>
      <c r="C15" s="156">
        <v>0.29922179999999998</v>
      </c>
      <c r="D15" s="156">
        <v>0.33191359999999998</v>
      </c>
      <c r="E15" s="156">
        <v>0.24551539999999999</v>
      </c>
      <c r="F15" s="156">
        <v>0.1233491</v>
      </c>
      <c r="G15" s="157"/>
      <c r="H15" s="111">
        <f t="shared" si="0"/>
        <v>0.99999989999999994</v>
      </c>
      <c r="J15" s="572"/>
      <c r="K15" s="572"/>
      <c r="L15" s="572"/>
      <c r="M15" s="572"/>
      <c r="N15" s="38"/>
      <c r="O15" s="38"/>
      <c r="P15" s="92"/>
      <c r="Q15" s="572"/>
      <c r="R15" s="572"/>
      <c r="S15" s="572"/>
      <c r="T15" s="572"/>
      <c r="U15" s="572"/>
      <c r="V15" s="572"/>
      <c r="W15" s="572"/>
      <c r="X15" s="572"/>
      <c r="Y15" s="572"/>
      <c r="Z15" s="572"/>
      <c r="AA15" s="572"/>
    </row>
    <row r="16" spans="1:28" ht="16.95" customHeight="1" x14ac:dyDescent="0.25">
      <c r="A16" s="908"/>
      <c r="B16" s="154">
        <v>13</v>
      </c>
      <c r="C16" s="156">
        <v>0.32121820000000001</v>
      </c>
      <c r="D16" s="156">
        <v>0.34250229999999998</v>
      </c>
      <c r="E16" s="156">
        <v>0.15821009999999999</v>
      </c>
      <c r="F16" s="156">
        <v>0.17806939999999999</v>
      </c>
      <c r="G16" s="157"/>
      <c r="H16" s="111">
        <f t="shared" si="0"/>
        <v>1</v>
      </c>
      <c r="K16" s="572"/>
      <c r="L16" s="572"/>
      <c r="M16" s="572"/>
      <c r="N16" s="38"/>
      <c r="O16" s="38"/>
      <c r="P16" s="92"/>
      <c r="Q16" s="572"/>
      <c r="R16" s="572"/>
      <c r="S16" s="572"/>
      <c r="T16" s="572"/>
      <c r="U16" s="572"/>
      <c r="V16" s="572"/>
      <c r="W16" s="572"/>
      <c r="X16" s="572"/>
      <c r="Y16" s="572"/>
      <c r="Z16" s="572"/>
      <c r="AA16" s="572"/>
    </row>
    <row r="17" spans="1:16" ht="16.95" customHeight="1" x14ac:dyDescent="0.25">
      <c r="A17" s="908"/>
      <c r="B17" s="154">
        <v>14</v>
      </c>
      <c r="C17" s="156">
        <v>0.16310150000000001</v>
      </c>
      <c r="D17" s="156">
        <v>0.49644660000000002</v>
      </c>
      <c r="E17" s="156">
        <v>0.23969969999999999</v>
      </c>
      <c r="F17" s="156">
        <v>0.1007522</v>
      </c>
      <c r="G17" s="157"/>
      <c r="H17" s="111">
        <f t="shared" si="0"/>
        <v>1</v>
      </c>
      <c r="J17" s="572"/>
      <c r="K17" s="572"/>
      <c r="L17" s="572"/>
      <c r="M17" s="572"/>
      <c r="N17" s="38"/>
      <c r="O17" s="38"/>
      <c r="P17" s="92"/>
    </row>
    <row r="18" spans="1:16" ht="16.95" customHeight="1" x14ac:dyDescent="0.25">
      <c r="A18" s="908"/>
      <c r="B18" s="154">
        <v>15</v>
      </c>
      <c r="C18" s="156">
        <v>0.1108225</v>
      </c>
      <c r="D18" s="156">
        <v>0.71319710000000003</v>
      </c>
      <c r="E18" s="156">
        <v>0.1110121</v>
      </c>
      <c r="F18" s="156">
        <v>6.4968300000000007E-2</v>
      </c>
      <c r="G18" s="157"/>
      <c r="H18" s="111">
        <f t="shared" si="0"/>
        <v>1.0000000000000002</v>
      </c>
      <c r="J18" s="572"/>
      <c r="K18" s="572"/>
      <c r="L18" s="572"/>
      <c r="M18" s="572"/>
      <c r="N18" s="38"/>
      <c r="O18" s="38"/>
      <c r="P18" s="92"/>
    </row>
    <row r="19" spans="1:16" ht="16.95" customHeight="1" x14ac:dyDescent="0.25">
      <c r="A19" s="908"/>
      <c r="B19" s="154">
        <v>16</v>
      </c>
      <c r="C19" s="157">
        <v>0.1477591</v>
      </c>
      <c r="D19" s="157">
        <v>0.45531769999999999</v>
      </c>
      <c r="E19" s="157">
        <v>0.28791410000000001</v>
      </c>
      <c r="F19" s="157">
        <v>0.1090091</v>
      </c>
      <c r="G19" s="157"/>
      <c r="H19" s="111">
        <f t="shared" si="0"/>
        <v>1</v>
      </c>
      <c r="J19" s="572"/>
      <c r="K19" s="572"/>
      <c r="L19" s="572"/>
      <c r="M19" s="572"/>
      <c r="N19" s="38"/>
      <c r="O19" s="38"/>
      <c r="P19" s="92"/>
    </row>
    <row r="20" spans="1:16" x14ac:dyDescent="0.25">
      <c r="A20" s="908"/>
      <c r="B20" s="222" t="s">
        <v>856</v>
      </c>
      <c r="C20" s="157">
        <v>0.29739339999999997</v>
      </c>
      <c r="D20" s="157">
        <v>0.40903509999999998</v>
      </c>
      <c r="E20" s="157">
        <v>0.18552630000000001</v>
      </c>
      <c r="F20" s="157">
        <v>0.10804519999999999</v>
      </c>
      <c r="G20" s="157"/>
      <c r="H20" s="111">
        <f t="shared" si="0"/>
        <v>0.99999999999999989</v>
      </c>
      <c r="J20" s="572"/>
      <c r="K20" s="572"/>
      <c r="L20" s="572"/>
      <c r="M20" s="572"/>
    </row>
    <row r="21" spans="1:16" x14ac:dyDescent="0.25">
      <c r="J21" s="38"/>
      <c r="K21" s="38"/>
      <c r="L21" s="38"/>
      <c r="M21" s="38"/>
    </row>
    <row r="22" spans="1:16" x14ac:dyDescent="0.25">
      <c r="A22" s="5" t="s">
        <v>862</v>
      </c>
      <c r="J22" s="38"/>
      <c r="K22" s="38"/>
      <c r="L22" s="38"/>
      <c r="M22" s="38"/>
    </row>
    <row r="23" spans="1:16" x14ac:dyDescent="0.25">
      <c r="A23" s="5" t="s">
        <v>853</v>
      </c>
      <c r="J23" s="92"/>
      <c r="K23" s="92"/>
      <c r="L23" s="92"/>
      <c r="M23" s="92"/>
    </row>
    <row r="24" spans="1:16" x14ac:dyDescent="0.25">
      <c r="J24" s="572"/>
      <c r="K24" s="572"/>
      <c r="L24" s="572"/>
      <c r="M24" s="572"/>
    </row>
    <row r="25" spans="1:16" x14ac:dyDescent="0.25">
      <c r="J25" s="572"/>
      <c r="K25" s="572"/>
      <c r="L25" s="572"/>
      <c r="M25" s="572"/>
    </row>
    <row r="26" spans="1:16" x14ac:dyDescent="0.25">
      <c r="J26" s="572"/>
      <c r="K26" s="572"/>
      <c r="L26" s="572"/>
      <c r="M26" s="572"/>
    </row>
    <row r="27" spans="1:16" x14ac:dyDescent="0.25">
      <c r="J27" s="572"/>
      <c r="K27" s="572"/>
      <c r="L27" s="572"/>
      <c r="M27" s="572"/>
    </row>
    <row r="28" spans="1:16" x14ac:dyDescent="0.25">
      <c r="A28" s="565"/>
      <c r="B28" s="565"/>
      <c r="C28" s="909"/>
      <c r="D28" s="909"/>
      <c r="E28" s="909"/>
      <c r="F28" s="909"/>
      <c r="G28" s="909"/>
      <c r="J28" s="572"/>
      <c r="K28" s="572"/>
      <c r="L28" s="572"/>
      <c r="M28" s="572"/>
    </row>
    <row r="29" spans="1:16" x14ac:dyDescent="0.25">
      <c r="A29" s="565"/>
      <c r="B29" s="565"/>
      <c r="C29" s="630"/>
      <c r="D29" s="630"/>
      <c r="E29" s="630"/>
      <c r="F29" s="630"/>
      <c r="G29" s="630"/>
      <c r="I29" s="137"/>
      <c r="J29" s="572"/>
      <c r="K29" s="572"/>
      <c r="L29" s="572"/>
      <c r="M29" s="572"/>
      <c r="O29" s="566"/>
    </row>
    <row r="30" spans="1:16" x14ac:dyDescent="0.25">
      <c r="A30" s="159"/>
      <c r="B30" s="137"/>
      <c r="C30" s="567"/>
      <c r="D30" s="567"/>
      <c r="E30" s="567"/>
      <c r="F30" s="567"/>
      <c r="G30" s="568"/>
      <c r="I30" s="137"/>
      <c r="J30" s="572"/>
      <c r="K30" s="572"/>
      <c r="L30" s="572"/>
      <c r="M30" s="572"/>
      <c r="O30" s="566"/>
    </row>
    <row r="31" spans="1:16" x14ac:dyDescent="0.25">
      <c r="A31" s="159"/>
      <c r="B31" s="137"/>
      <c r="C31" s="567"/>
      <c r="D31" s="567"/>
      <c r="E31" s="567"/>
      <c r="F31" s="567"/>
      <c r="G31" s="568"/>
      <c r="I31" s="137"/>
      <c r="J31" s="572"/>
      <c r="K31" s="572"/>
      <c r="L31" s="572"/>
      <c r="M31" s="572"/>
      <c r="O31" s="566"/>
    </row>
    <row r="32" spans="1:16" x14ac:dyDescent="0.25">
      <c r="A32" s="159"/>
      <c r="B32" s="137"/>
      <c r="C32" s="567"/>
      <c r="D32" s="567"/>
      <c r="E32" s="567"/>
      <c r="F32" s="567"/>
      <c r="G32" s="568"/>
      <c r="I32" s="137"/>
      <c r="J32" s="572"/>
      <c r="K32" s="572"/>
      <c r="L32" s="572"/>
      <c r="M32" s="572"/>
      <c r="O32" s="566"/>
    </row>
    <row r="33" spans="1:15" x14ac:dyDescent="0.25">
      <c r="A33" s="159"/>
      <c r="B33" s="137"/>
      <c r="C33" s="567"/>
      <c r="D33" s="567"/>
      <c r="E33" s="567"/>
      <c r="F33" s="567"/>
      <c r="G33" s="568"/>
      <c r="I33" s="137"/>
      <c r="J33" s="572"/>
      <c r="K33" s="572"/>
      <c r="L33" s="572"/>
      <c r="M33" s="572"/>
      <c r="O33" s="566"/>
    </row>
    <row r="34" spans="1:15" x14ac:dyDescent="0.25">
      <c r="A34" s="159"/>
      <c r="B34" s="137"/>
      <c r="C34" s="567"/>
      <c r="D34" s="567"/>
      <c r="E34" s="567"/>
      <c r="F34" s="567"/>
      <c r="G34" s="568"/>
      <c r="I34" s="137"/>
      <c r="J34" s="566"/>
      <c r="K34" s="566"/>
      <c r="L34" s="566"/>
      <c r="M34" s="566"/>
      <c r="O34" s="566"/>
    </row>
    <row r="35" spans="1:15" x14ac:dyDescent="0.25">
      <c r="A35" s="159"/>
      <c r="B35" s="137"/>
      <c r="C35" s="567"/>
      <c r="D35" s="567"/>
      <c r="E35" s="567"/>
      <c r="F35" s="567"/>
      <c r="G35" s="568"/>
      <c r="I35" s="137"/>
      <c r="J35" s="566"/>
      <c r="K35" s="566"/>
      <c r="L35" s="566"/>
      <c r="M35" s="566"/>
      <c r="O35" s="566"/>
    </row>
    <row r="36" spans="1:15" x14ac:dyDescent="0.25">
      <c r="A36" s="159"/>
      <c r="B36" s="137"/>
      <c r="C36" s="567"/>
      <c r="D36" s="567"/>
      <c r="E36" s="567"/>
      <c r="F36" s="567"/>
      <c r="G36" s="568"/>
      <c r="I36" s="137"/>
      <c r="J36" s="566"/>
      <c r="K36" s="566"/>
      <c r="L36" s="566"/>
      <c r="M36" s="566"/>
      <c r="O36" s="566"/>
    </row>
    <row r="37" spans="1:15" x14ac:dyDescent="0.25">
      <c r="A37" s="159"/>
      <c r="B37" s="137"/>
      <c r="C37" s="567"/>
      <c r="D37" s="567"/>
      <c r="E37" s="567"/>
      <c r="F37" s="567"/>
      <c r="G37" s="568"/>
      <c r="I37" s="137"/>
      <c r="J37" s="566"/>
      <c r="K37" s="566"/>
      <c r="L37" s="566"/>
      <c r="M37" s="566"/>
      <c r="O37" s="566"/>
    </row>
    <row r="38" spans="1:15" x14ac:dyDescent="0.25">
      <c r="A38" s="159"/>
      <c r="B38" s="137"/>
      <c r="C38" s="567"/>
      <c r="D38" s="567"/>
      <c r="E38" s="567"/>
      <c r="F38" s="567"/>
      <c r="G38" s="568"/>
      <c r="I38" s="137"/>
      <c r="J38" s="566"/>
      <c r="K38" s="566"/>
      <c r="L38" s="566"/>
      <c r="M38" s="566"/>
      <c r="O38" s="566"/>
    </row>
    <row r="39" spans="1:15" x14ac:dyDescent="0.25">
      <c r="A39" s="159"/>
      <c r="B39" s="137"/>
      <c r="C39" s="567"/>
      <c r="D39" s="567"/>
      <c r="E39" s="567"/>
      <c r="F39" s="567"/>
      <c r="G39" s="568"/>
      <c r="I39" s="137"/>
      <c r="J39" s="566"/>
      <c r="K39" s="566"/>
      <c r="L39" s="566"/>
      <c r="M39" s="566"/>
      <c r="O39" s="566"/>
    </row>
    <row r="40" spans="1:15" x14ac:dyDescent="0.25">
      <c r="A40" s="159"/>
      <c r="B40" s="137"/>
      <c r="C40" s="567"/>
      <c r="D40" s="567"/>
      <c r="E40" s="567"/>
      <c r="F40" s="567"/>
      <c r="G40" s="568"/>
      <c r="I40" s="137"/>
      <c r="J40" s="566"/>
      <c r="K40" s="566"/>
      <c r="L40" s="566"/>
      <c r="M40" s="566"/>
      <c r="O40" s="566"/>
    </row>
    <row r="41" spans="1:15" x14ac:dyDescent="0.25">
      <c r="A41" s="159"/>
      <c r="B41" s="137"/>
      <c r="C41" s="567"/>
      <c r="D41" s="567"/>
      <c r="E41" s="567"/>
      <c r="F41" s="567"/>
      <c r="G41" s="568"/>
      <c r="I41" s="137"/>
      <c r="J41" s="566"/>
      <c r="K41" s="566"/>
      <c r="L41" s="566"/>
      <c r="M41" s="566"/>
      <c r="O41" s="566"/>
    </row>
    <row r="42" spans="1:15" x14ac:dyDescent="0.25">
      <c r="A42" s="159"/>
      <c r="B42" s="137"/>
      <c r="C42" s="567"/>
      <c r="D42" s="567"/>
      <c r="E42" s="567"/>
      <c r="F42" s="567"/>
      <c r="G42" s="568"/>
      <c r="I42" s="137"/>
      <c r="J42" s="566"/>
      <c r="K42" s="566"/>
      <c r="L42" s="566"/>
      <c r="M42" s="566"/>
      <c r="O42" s="566"/>
    </row>
    <row r="43" spans="1:15" x14ac:dyDescent="0.25">
      <c r="A43" s="159"/>
      <c r="B43" s="137"/>
      <c r="C43" s="567"/>
      <c r="D43" s="567"/>
      <c r="E43" s="567"/>
      <c r="F43" s="567"/>
      <c r="G43" s="568"/>
      <c r="I43" s="137"/>
      <c r="J43" s="566"/>
      <c r="K43" s="566"/>
      <c r="L43" s="566"/>
      <c r="M43" s="566"/>
      <c r="O43" s="566"/>
    </row>
    <row r="44" spans="1:15" x14ac:dyDescent="0.25">
      <c r="A44" s="159"/>
      <c r="B44" s="137"/>
      <c r="C44" s="567"/>
      <c r="D44" s="567"/>
      <c r="E44" s="567"/>
      <c r="F44" s="567"/>
      <c r="G44" s="568"/>
      <c r="I44" s="137"/>
      <c r="J44" s="566"/>
      <c r="K44" s="566"/>
      <c r="L44" s="566"/>
      <c r="M44" s="566"/>
      <c r="O44" s="566"/>
    </row>
    <row r="45" spans="1:15" x14ac:dyDescent="0.25">
      <c r="A45" s="159"/>
      <c r="B45" s="137"/>
      <c r="C45" s="568"/>
      <c r="D45" s="568"/>
      <c r="E45" s="568"/>
      <c r="F45" s="568"/>
      <c r="G45" s="568"/>
      <c r="I45" s="137"/>
      <c r="J45" s="566"/>
      <c r="K45" s="566"/>
      <c r="L45" s="566"/>
      <c r="M45" s="566"/>
      <c r="O45" s="566"/>
    </row>
    <row r="46" spans="1:15" x14ac:dyDescent="0.25">
      <c r="A46" s="159"/>
      <c r="B46" s="427"/>
      <c r="C46" s="568"/>
      <c r="D46" s="568"/>
      <c r="E46" s="568"/>
      <c r="F46" s="568"/>
      <c r="G46" s="568"/>
    </row>
    <row r="47" spans="1:15" hidden="1" x14ac:dyDescent="0.25"/>
    <row r="48" spans="1:15" s="30" customFormat="1" ht="12.75" hidden="1" customHeight="1" x14ac:dyDescent="0.25">
      <c r="A48" s="30" t="s">
        <v>278</v>
      </c>
    </row>
    <row r="49" spans="1:6" ht="12.75" hidden="1" customHeight="1" x14ac:dyDescent="0.25"/>
    <row r="50" spans="1:6" ht="12.75" hidden="1" customHeight="1" x14ac:dyDescent="0.25"/>
    <row r="51" spans="1:6" ht="12.75" hidden="1" customHeight="1" x14ac:dyDescent="0.25">
      <c r="E51" s="5" t="s">
        <v>863</v>
      </c>
    </row>
    <row r="52" spans="1:6" ht="12.75" hidden="1" customHeight="1" x14ac:dyDescent="0.25">
      <c r="A52" s="692" t="s">
        <v>2</v>
      </c>
      <c r="B52" s="906" t="s">
        <v>864</v>
      </c>
      <c r="C52" s="906"/>
      <c r="D52" s="906"/>
      <c r="E52" s="571">
        <v>61112.2</v>
      </c>
    </row>
    <row r="53" spans="1:6" ht="12.75" hidden="1" customHeight="1" x14ac:dyDescent="0.25">
      <c r="A53" s="692"/>
      <c r="B53" s="906" t="s">
        <v>865</v>
      </c>
      <c r="C53" s="906"/>
      <c r="D53" s="906"/>
      <c r="E53" s="570">
        <v>297298.7</v>
      </c>
    </row>
    <row r="54" spans="1:6" ht="12.75" hidden="1" customHeight="1" x14ac:dyDescent="0.25">
      <c r="A54" s="906" t="s">
        <v>419</v>
      </c>
      <c r="B54" s="5" t="s">
        <v>866</v>
      </c>
      <c r="E54" s="68">
        <v>771141.35002315126</v>
      </c>
    </row>
    <row r="55" spans="1:6" ht="12.75" hidden="1" customHeight="1" x14ac:dyDescent="0.25">
      <c r="A55" s="906"/>
      <c r="B55" s="5" t="s">
        <v>867</v>
      </c>
      <c r="E55" s="570">
        <f>F55*E54</f>
        <v>304706.35579540255</v>
      </c>
      <c r="F55" s="569">
        <v>0.3951368394215336</v>
      </c>
    </row>
    <row r="56" spans="1:6" ht="12.75" hidden="1" customHeight="1" x14ac:dyDescent="0.25"/>
    <row r="57" spans="1:6" ht="12.75" hidden="1" customHeight="1" x14ac:dyDescent="0.25">
      <c r="B57" s="5" t="s">
        <v>868</v>
      </c>
      <c r="E57" s="43">
        <f>E52/E55</f>
        <v>0.20056096250592903</v>
      </c>
    </row>
    <row r="58" spans="1:6" ht="12.75" hidden="1" customHeight="1" x14ac:dyDescent="0.25"/>
    <row r="59" spans="1:6" hidden="1" x14ac:dyDescent="0.25">
      <c r="A59" s="572"/>
      <c r="B59" s="572"/>
      <c r="C59" s="572"/>
      <c r="D59" s="572"/>
    </row>
    <row r="60" spans="1:6" x14ac:dyDescent="0.25">
      <c r="A60" s="572"/>
      <c r="B60" s="572"/>
      <c r="C60" s="572"/>
      <c r="D60" s="572"/>
    </row>
    <row r="61" spans="1:6" x14ac:dyDescent="0.25">
      <c r="A61" s="38"/>
      <c r="B61" s="38"/>
      <c r="C61" s="38"/>
      <c r="D61" s="38"/>
    </row>
    <row r="62" spans="1:6" x14ac:dyDescent="0.25">
      <c r="A62" s="38"/>
      <c r="B62" s="38"/>
      <c r="C62" s="38"/>
      <c r="D62" s="38"/>
    </row>
    <row r="63" spans="1:6" x14ac:dyDescent="0.25">
      <c r="A63" s="92"/>
      <c r="B63" s="92"/>
      <c r="C63" s="92"/>
      <c r="D63" s="92"/>
    </row>
    <row r="64" spans="1:6" x14ac:dyDescent="0.25">
      <c r="A64" s="572"/>
      <c r="B64" s="572"/>
      <c r="C64" s="572"/>
      <c r="D64" s="572"/>
    </row>
    <row r="65" spans="1:4" x14ac:dyDescent="0.25">
      <c r="A65" s="572"/>
      <c r="B65" s="572"/>
      <c r="C65" s="572"/>
      <c r="D65" s="572"/>
    </row>
    <row r="66" spans="1:4" x14ac:dyDescent="0.25">
      <c r="A66" s="572"/>
      <c r="B66" s="572"/>
      <c r="C66" s="572"/>
      <c r="D66" s="572"/>
    </row>
    <row r="67" spans="1:4" x14ac:dyDescent="0.25">
      <c r="A67" s="572"/>
      <c r="B67" s="572"/>
      <c r="C67" s="572"/>
      <c r="D67" s="572"/>
    </row>
    <row r="68" spans="1:4" x14ac:dyDescent="0.25">
      <c r="A68" s="572"/>
      <c r="B68" s="572"/>
      <c r="C68" s="572"/>
      <c r="D68" s="572"/>
    </row>
    <row r="69" spans="1:4" x14ac:dyDescent="0.25">
      <c r="A69" s="572"/>
      <c r="B69" s="572"/>
      <c r="C69" s="572"/>
      <c r="D69" s="572"/>
    </row>
    <row r="70" spans="1:4" x14ac:dyDescent="0.25">
      <c r="A70" s="572"/>
      <c r="B70" s="572"/>
      <c r="C70" s="572"/>
      <c r="D70" s="572"/>
    </row>
    <row r="71" spans="1:4" x14ac:dyDescent="0.25">
      <c r="A71" s="572"/>
      <c r="B71" s="572"/>
      <c r="C71" s="572"/>
      <c r="D71" s="572"/>
    </row>
    <row r="72" spans="1:4" x14ac:dyDescent="0.25">
      <c r="A72" s="572"/>
      <c r="B72" s="572"/>
      <c r="C72" s="572"/>
      <c r="D72" s="572"/>
    </row>
    <row r="73" spans="1:4" x14ac:dyDescent="0.25">
      <c r="A73" s="572"/>
      <c r="B73" s="572"/>
      <c r="C73" s="572"/>
      <c r="D73" s="572"/>
    </row>
    <row r="74" spans="1:4" x14ac:dyDescent="0.25">
      <c r="A74" s="572"/>
      <c r="B74" s="572"/>
      <c r="C74" s="572"/>
      <c r="D74" s="572"/>
    </row>
  </sheetData>
  <mergeCells count="14">
    <mergeCell ref="J4:J9"/>
    <mergeCell ref="A52:A53"/>
    <mergeCell ref="A54:A55"/>
    <mergeCell ref="B52:D52"/>
    <mergeCell ref="B53:D53"/>
    <mergeCell ref="A4:A20"/>
    <mergeCell ref="C28:G28"/>
    <mergeCell ref="J1:AA1"/>
    <mergeCell ref="C2:G2"/>
    <mergeCell ref="L2:AA2"/>
    <mergeCell ref="K2:K3"/>
    <mergeCell ref="J2:J3"/>
    <mergeCell ref="A1:G1"/>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sqref="A1:J1"/>
    </sheetView>
  </sheetViews>
  <sheetFormatPr defaultRowHeight="14.4" x14ac:dyDescent="0.3"/>
  <sheetData>
    <row r="1" spans="1:10" ht="15.6" customHeight="1" x14ac:dyDescent="0.3">
      <c r="A1" s="643" t="str">
        <f>"PV - "&amp;Prototype!A2</f>
        <v>PV - HotelSmall</v>
      </c>
      <c r="B1" s="643"/>
      <c r="C1" s="643"/>
      <c r="D1" s="643"/>
      <c r="E1" s="643"/>
      <c r="F1" s="643"/>
      <c r="G1" s="643"/>
      <c r="H1" s="643"/>
      <c r="I1" s="643"/>
      <c r="J1" s="643"/>
    </row>
    <row r="2" spans="1:10" x14ac:dyDescent="0.3">
      <c r="A2" s="3" t="s">
        <v>869</v>
      </c>
      <c r="B2" s="3"/>
      <c r="C2" s="3"/>
      <c r="D2" s="3"/>
      <c r="E2" s="3"/>
      <c r="F2" s="3"/>
      <c r="G2" s="3"/>
      <c r="H2" s="3"/>
      <c r="I2" s="3"/>
      <c r="J2" s="3"/>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BC34"/>
  <sheetViews>
    <sheetView zoomScaleNormal="70" workbookViewId="0">
      <selection activeCell="K36" sqref="K36"/>
    </sheetView>
  </sheetViews>
  <sheetFormatPr defaultColWidth="8.6640625" defaultRowHeight="13.2" x14ac:dyDescent="0.25"/>
  <cols>
    <col min="1" max="1" width="21" style="5" customWidth="1"/>
    <col min="2" max="2" width="14.33203125" style="5" customWidth="1"/>
    <col min="3" max="3" width="14.5546875" style="5" customWidth="1"/>
    <col min="4" max="8" width="8.6640625" style="5"/>
    <col min="9" max="9" width="13.6640625" style="5" customWidth="1"/>
    <col min="10" max="10" width="14.44140625" style="5" customWidth="1"/>
    <col min="11" max="16384" width="8.6640625" style="5"/>
  </cols>
  <sheetData>
    <row r="1" spans="1:55" ht="15.6" x14ac:dyDescent="0.25">
      <c r="A1" s="643" t="str">
        <f>"EV Charger - "&amp;Prototype!A2</f>
        <v>EV Charger - HotelSmall</v>
      </c>
      <c r="B1" s="643"/>
      <c r="C1" s="643"/>
      <c r="D1" s="643"/>
      <c r="E1" s="643"/>
      <c r="F1" s="643"/>
      <c r="G1" s="643"/>
      <c r="H1" s="643"/>
    </row>
    <row r="2" spans="1:55" x14ac:dyDescent="0.25">
      <c r="A2" s="5" t="s">
        <v>869</v>
      </c>
      <c r="B2" s="70"/>
      <c r="C2" s="71"/>
      <c r="D2" s="72"/>
      <c r="E2" s="72"/>
    </row>
    <row r="3" spans="1:55" x14ac:dyDescent="0.25">
      <c r="A3" s="599"/>
      <c r="B3" s="416"/>
      <c r="C3" s="612"/>
      <c r="D3" s="73"/>
      <c r="E3" s="73"/>
    </row>
    <row r="11" spans="1:55" s="30" customFormat="1" hidden="1" x14ac:dyDescent="0.25">
      <c r="A11" s="30" t="s">
        <v>278</v>
      </c>
      <c r="E11" s="31"/>
      <c r="F11" s="32"/>
      <c r="G11" s="33"/>
    </row>
    <row r="12" spans="1:55" hidden="1" x14ac:dyDescent="0.25"/>
    <row r="13" spans="1:55" hidden="1" x14ac:dyDescent="0.25"/>
    <row r="14" spans="1:55" s="75" customFormat="1" ht="13.8" hidden="1" thickBot="1" x14ac:dyDescent="0.35">
      <c r="A14" s="74" t="s">
        <v>870</v>
      </c>
      <c r="K14" s="75" t="s">
        <v>871</v>
      </c>
    </row>
    <row r="15" spans="1:55" ht="13.8" hidden="1" thickBot="1" x14ac:dyDescent="0.3">
      <c r="A15" s="6"/>
      <c r="B15" s="6"/>
      <c r="C15" s="6"/>
      <c r="D15" s="913" t="s">
        <v>872</v>
      </c>
      <c r="E15" s="914"/>
      <c r="F15" s="915"/>
      <c r="I15" s="69"/>
      <c r="J15" s="76"/>
      <c r="K15" s="910" t="s">
        <v>873</v>
      </c>
      <c r="L15" s="911"/>
      <c r="M15" s="911"/>
      <c r="N15" s="911"/>
      <c r="O15" s="911"/>
      <c r="P15" s="911"/>
      <c r="Q15" s="911"/>
      <c r="R15" s="911"/>
      <c r="S15" s="912"/>
      <c r="T15" s="911" t="s">
        <v>874</v>
      </c>
      <c r="U15" s="911"/>
      <c r="V15" s="911"/>
      <c r="W15" s="911"/>
      <c r="X15" s="911"/>
      <c r="Y15" s="911"/>
      <c r="Z15" s="911"/>
      <c r="AA15" s="911"/>
      <c r="AB15" s="912"/>
      <c r="AC15" s="910" t="s">
        <v>875</v>
      </c>
      <c r="AD15" s="911"/>
      <c r="AE15" s="911"/>
      <c r="AF15" s="911"/>
      <c r="AG15" s="911"/>
      <c r="AH15" s="911"/>
      <c r="AI15" s="911"/>
      <c r="AJ15" s="911"/>
      <c r="AK15" s="912"/>
      <c r="AL15" s="910" t="s">
        <v>876</v>
      </c>
      <c r="AM15" s="911"/>
      <c r="AN15" s="911"/>
      <c r="AO15" s="911"/>
      <c r="AP15" s="911"/>
      <c r="AQ15" s="911"/>
      <c r="AR15" s="911"/>
      <c r="AS15" s="911"/>
      <c r="AT15" s="912"/>
      <c r="AU15" s="910" t="s">
        <v>877</v>
      </c>
      <c r="AV15" s="911"/>
      <c r="AW15" s="911"/>
      <c r="AX15" s="911"/>
      <c r="AY15" s="911"/>
      <c r="AZ15" s="911"/>
      <c r="BA15" s="911"/>
      <c r="BB15" s="911"/>
      <c r="BC15" s="912"/>
    </row>
    <row r="16" spans="1:55" ht="39.6" hidden="1" x14ac:dyDescent="0.25">
      <c r="A16" s="44" t="s">
        <v>878</v>
      </c>
      <c r="B16" s="44" t="s">
        <v>879</v>
      </c>
      <c r="C16" s="45" t="s">
        <v>68</v>
      </c>
      <c r="D16" s="77" t="s">
        <v>880</v>
      </c>
      <c r="E16" s="77" t="s">
        <v>155</v>
      </c>
      <c r="F16" s="77" t="s">
        <v>486</v>
      </c>
      <c r="I16" s="78" t="s">
        <v>879</v>
      </c>
      <c r="J16" s="79" t="s">
        <v>68</v>
      </c>
      <c r="K16" s="80" t="s">
        <v>881</v>
      </c>
      <c r="L16" s="81" t="s">
        <v>882</v>
      </c>
      <c r="M16" s="81" t="s">
        <v>883</v>
      </c>
      <c r="N16" s="81" t="s">
        <v>884</v>
      </c>
      <c r="O16" s="81" t="s">
        <v>885</v>
      </c>
      <c r="P16" s="81" t="s">
        <v>886</v>
      </c>
      <c r="Q16" s="81" t="s">
        <v>887</v>
      </c>
      <c r="R16" s="81" t="s">
        <v>888</v>
      </c>
      <c r="S16" s="82" t="s">
        <v>889</v>
      </c>
      <c r="T16" s="83" t="s">
        <v>881</v>
      </c>
      <c r="U16" s="81" t="s">
        <v>882</v>
      </c>
      <c r="V16" s="81" t="s">
        <v>883</v>
      </c>
      <c r="W16" s="81" t="s">
        <v>884</v>
      </c>
      <c r="X16" s="81" t="s">
        <v>885</v>
      </c>
      <c r="Y16" s="81" t="s">
        <v>886</v>
      </c>
      <c r="Z16" s="81" t="s">
        <v>887</v>
      </c>
      <c r="AA16" s="81" t="s">
        <v>888</v>
      </c>
      <c r="AB16" s="81" t="s">
        <v>890</v>
      </c>
      <c r="AC16" s="81" t="s">
        <v>881</v>
      </c>
      <c r="AD16" s="81" t="s">
        <v>882</v>
      </c>
      <c r="AE16" s="81" t="s">
        <v>883</v>
      </c>
      <c r="AF16" s="81" t="s">
        <v>884</v>
      </c>
      <c r="AG16" s="81" t="s">
        <v>885</v>
      </c>
      <c r="AH16" s="81" t="s">
        <v>886</v>
      </c>
      <c r="AI16" s="81" t="s">
        <v>887</v>
      </c>
      <c r="AJ16" s="81" t="s">
        <v>888</v>
      </c>
      <c r="AK16" s="81" t="s">
        <v>891</v>
      </c>
      <c r="AL16" s="81" t="s">
        <v>881</v>
      </c>
      <c r="AM16" s="81" t="s">
        <v>882</v>
      </c>
      <c r="AN16" s="81" t="s">
        <v>883</v>
      </c>
      <c r="AO16" s="81" t="s">
        <v>884</v>
      </c>
      <c r="AP16" s="81" t="s">
        <v>885</v>
      </c>
      <c r="AQ16" s="81" t="s">
        <v>886</v>
      </c>
      <c r="AR16" s="81" t="s">
        <v>887</v>
      </c>
      <c r="AS16" s="81" t="s">
        <v>888</v>
      </c>
      <c r="AT16" s="81" t="s">
        <v>892</v>
      </c>
      <c r="AU16" s="81" t="s">
        <v>881</v>
      </c>
      <c r="AV16" s="81" t="s">
        <v>882</v>
      </c>
      <c r="AW16" s="81" t="s">
        <v>883</v>
      </c>
      <c r="AX16" s="81" t="s">
        <v>884</v>
      </c>
      <c r="AY16" s="81" t="s">
        <v>885</v>
      </c>
      <c r="AZ16" s="81" t="s">
        <v>886</v>
      </c>
      <c r="BA16" s="81" t="s">
        <v>887</v>
      </c>
      <c r="BB16" s="81" t="s">
        <v>888</v>
      </c>
      <c r="BC16" s="81" t="s">
        <v>486</v>
      </c>
    </row>
    <row r="17" spans="1:55" hidden="1" x14ac:dyDescent="0.25">
      <c r="A17" s="46" t="s">
        <v>893</v>
      </c>
      <c r="B17" s="47" t="s">
        <v>856</v>
      </c>
      <c r="C17" s="48" t="s">
        <v>855</v>
      </c>
      <c r="D17" s="50">
        <v>0.91629083545529211</v>
      </c>
      <c r="E17" s="49">
        <v>8.3709164544707934E-2</v>
      </c>
      <c r="F17" s="51">
        <v>1</v>
      </c>
      <c r="I17" s="47" t="s">
        <v>856</v>
      </c>
      <c r="J17" s="48" t="s">
        <v>855</v>
      </c>
      <c r="K17" s="84">
        <v>234.63109419938075</v>
      </c>
      <c r="L17" s="85">
        <v>257.26071009531398</v>
      </c>
      <c r="M17" s="85">
        <v>0</v>
      </c>
      <c r="N17" s="85">
        <v>514.26458157647869</v>
      </c>
      <c r="O17" s="85">
        <v>0</v>
      </c>
      <c r="P17" s="85">
        <v>22.221663997801063</v>
      </c>
      <c r="Q17" s="85">
        <v>197.98307335443729</v>
      </c>
      <c r="R17" s="85">
        <v>0</v>
      </c>
      <c r="S17" s="86">
        <v>1226.3611232234116</v>
      </c>
      <c r="T17" s="84">
        <v>108.94502133589977</v>
      </c>
      <c r="U17" s="85">
        <v>831.31991634954227</v>
      </c>
      <c r="V17" s="85">
        <v>0</v>
      </c>
      <c r="W17" s="85">
        <v>1332.4399257375558</v>
      </c>
      <c r="X17" s="85">
        <v>101.16411121740421</v>
      </c>
      <c r="Y17" s="85">
        <v>78.502372667385458</v>
      </c>
      <c r="Z17" s="85">
        <v>360.40603758226268</v>
      </c>
      <c r="AA17" s="85">
        <v>0</v>
      </c>
      <c r="AB17" s="86">
        <v>2812.7773848900501</v>
      </c>
      <c r="AC17" s="84">
        <v>21.375883128638311</v>
      </c>
      <c r="AD17" s="85">
        <v>0</v>
      </c>
      <c r="AE17" s="85">
        <v>0</v>
      </c>
      <c r="AF17" s="85">
        <v>15.713800739862089</v>
      </c>
      <c r="AG17" s="85">
        <v>0</v>
      </c>
      <c r="AH17" s="85">
        <v>0</v>
      </c>
      <c r="AI17" s="85">
        <v>0</v>
      </c>
      <c r="AJ17" s="85">
        <v>0</v>
      </c>
      <c r="AK17" s="86">
        <v>37.089683868500401</v>
      </c>
      <c r="AL17" s="84">
        <v>56.949890324869315</v>
      </c>
      <c r="AM17" s="85">
        <v>42.147584318104094</v>
      </c>
      <c r="AN17" s="85">
        <v>0</v>
      </c>
      <c r="AO17" s="85">
        <v>212.11012713552492</v>
      </c>
      <c r="AP17" s="85">
        <v>0</v>
      </c>
      <c r="AQ17" s="85">
        <v>25.7419607619861</v>
      </c>
      <c r="AR17" s="85">
        <v>0</v>
      </c>
      <c r="AS17" s="85">
        <v>0</v>
      </c>
      <c r="AT17" s="86">
        <v>336.94956254048441</v>
      </c>
      <c r="AU17" s="84">
        <v>421.90188898878813</v>
      </c>
      <c r="AV17" s="85">
        <v>1130.7282107629603</v>
      </c>
      <c r="AW17" s="85">
        <v>0</v>
      </c>
      <c r="AX17" s="85">
        <v>2074.5284351894215</v>
      </c>
      <c r="AY17" s="85">
        <v>101.16411121740421</v>
      </c>
      <c r="AZ17" s="85">
        <v>126.46599742717262</v>
      </c>
      <c r="BA17" s="85">
        <v>558.38911093670004</v>
      </c>
      <c r="BB17" s="85">
        <v>0</v>
      </c>
      <c r="BC17" s="86">
        <v>4413.1777545224468</v>
      </c>
    </row>
    <row r="18" spans="1:55" hidden="1" x14ac:dyDescent="0.25">
      <c r="A18" s="46" t="s">
        <v>893</v>
      </c>
      <c r="B18" s="47" t="s">
        <v>894</v>
      </c>
      <c r="C18" s="48" t="s">
        <v>855</v>
      </c>
      <c r="D18" s="50">
        <v>0.88474891999606764</v>
      </c>
      <c r="E18" s="49">
        <v>0.11525108000393226</v>
      </c>
      <c r="F18" s="51">
        <v>1</v>
      </c>
      <c r="I18" s="47" t="s">
        <v>894</v>
      </c>
      <c r="J18" s="48" t="s">
        <v>855</v>
      </c>
      <c r="K18" s="84">
        <v>0</v>
      </c>
      <c r="L18" s="85">
        <v>0</v>
      </c>
      <c r="M18" s="85">
        <v>0</v>
      </c>
      <c r="N18" s="85">
        <v>92.114773643401861</v>
      </c>
      <c r="O18" s="85">
        <v>0</v>
      </c>
      <c r="P18" s="85">
        <v>0</v>
      </c>
      <c r="Q18" s="85">
        <v>5.6273316566652944</v>
      </c>
      <c r="R18" s="85">
        <v>0</v>
      </c>
      <c r="S18" s="86">
        <v>97.742105300067152</v>
      </c>
      <c r="T18" s="84">
        <v>0</v>
      </c>
      <c r="U18" s="85">
        <v>290.15374486882479</v>
      </c>
      <c r="V18" s="85">
        <v>0</v>
      </c>
      <c r="W18" s="85">
        <v>73.027736781594768</v>
      </c>
      <c r="X18" s="85">
        <v>95.664638163310002</v>
      </c>
      <c r="Y18" s="85">
        <v>65.739866280452532</v>
      </c>
      <c r="Z18" s="85">
        <v>24.342578927198254</v>
      </c>
      <c r="AA18" s="85">
        <v>0</v>
      </c>
      <c r="AB18" s="86">
        <v>548.92856502138034</v>
      </c>
      <c r="AC18" s="84">
        <v>0</v>
      </c>
      <c r="AD18" s="85">
        <v>0</v>
      </c>
      <c r="AE18" s="85">
        <v>0</v>
      </c>
      <c r="AF18" s="85">
        <v>0</v>
      </c>
      <c r="AG18" s="85">
        <v>0</v>
      </c>
      <c r="AH18" s="85">
        <v>0</v>
      </c>
      <c r="AI18" s="85">
        <v>0</v>
      </c>
      <c r="AJ18" s="85">
        <v>0</v>
      </c>
      <c r="AK18" s="86">
        <v>0</v>
      </c>
      <c r="AL18" s="84">
        <v>0</v>
      </c>
      <c r="AM18" s="85">
        <v>0</v>
      </c>
      <c r="AN18" s="85">
        <v>0</v>
      </c>
      <c r="AO18" s="85">
        <v>27.974784997679031</v>
      </c>
      <c r="AP18" s="85">
        <v>0</v>
      </c>
      <c r="AQ18" s="85">
        <v>24.342578927198254</v>
      </c>
      <c r="AR18" s="85">
        <v>0</v>
      </c>
      <c r="AS18" s="85">
        <v>0</v>
      </c>
      <c r="AT18" s="86">
        <v>52.317363924877284</v>
      </c>
      <c r="AU18" s="84">
        <v>0</v>
      </c>
      <c r="AV18" s="85">
        <v>290.15374486882479</v>
      </c>
      <c r="AW18" s="85">
        <v>0</v>
      </c>
      <c r="AX18" s="85">
        <v>193.11729542267565</v>
      </c>
      <c r="AY18" s="85">
        <v>95.664638163310002</v>
      </c>
      <c r="AZ18" s="85">
        <v>90.082445207650778</v>
      </c>
      <c r="BA18" s="85">
        <v>29.969910583863548</v>
      </c>
      <c r="BB18" s="85">
        <v>0</v>
      </c>
      <c r="BC18" s="86">
        <v>698.98803424632479</v>
      </c>
    </row>
    <row r="19" spans="1:55" hidden="1" x14ac:dyDescent="0.25">
      <c r="A19" s="46" t="s">
        <v>893</v>
      </c>
      <c r="B19" s="47" t="s">
        <v>895</v>
      </c>
      <c r="C19" s="48" t="s">
        <v>855</v>
      </c>
      <c r="D19" s="50">
        <v>0.87664054902524069</v>
      </c>
      <c r="E19" s="49">
        <v>0.12335945097475935</v>
      </c>
      <c r="F19" s="51">
        <v>1</v>
      </c>
      <c r="I19" s="47" t="s">
        <v>895</v>
      </c>
      <c r="J19" s="48" t="s">
        <v>855</v>
      </c>
      <c r="K19" s="84">
        <v>0</v>
      </c>
      <c r="L19" s="85">
        <v>0</v>
      </c>
      <c r="M19" s="85">
        <v>0</v>
      </c>
      <c r="N19" s="85">
        <v>0</v>
      </c>
      <c r="O19" s="85">
        <v>0</v>
      </c>
      <c r="P19" s="85">
        <v>21.013652175205049</v>
      </c>
      <c r="Q19" s="85">
        <v>0</v>
      </c>
      <c r="R19" s="85">
        <v>0</v>
      </c>
      <c r="S19" s="86">
        <v>21.013652175205049</v>
      </c>
      <c r="T19" s="84">
        <v>0</v>
      </c>
      <c r="U19" s="85">
        <v>189.12286957684543</v>
      </c>
      <c r="V19" s="85">
        <v>0</v>
      </c>
      <c r="W19" s="85">
        <v>21.156124021741039</v>
      </c>
      <c r="X19" s="85">
        <v>0</v>
      </c>
      <c r="Y19" s="85">
        <v>0</v>
      </c>
      <c r="Z19" s="85">
        <v>0</v>
      </c>
      <c r="AA19" s="85">
        <v>0</v>
      </c>
      <c r="AB19" s="86">
        <v>210.27899359858648</v>
      </c>
      <c r="AC19" s="84">
        <v>0</v>
      </c>
      <c r="AD19" s="85">
        <v>0</v>
      </c>
      <c r="AE19" s="85">
        <v>0</v>
      </c>
      <c r="AF19" s="85">
        <v>0</v>
      </c>
      <c r="AG19" s="85">
        <v>0</v>
      </c>
      <c r="AH19" s="85">
        <v>0</v>
      </c>
      <c r="AI19" s="85">
        <v>0</v>
      </c>
      <c r="AJ19" s="85">
        <v>0</v>
      </c>
      <c r="AK19" s="86">
        <v>0</v>
      </c>
      <c r="AL19" s="84">
        <v>0</v>
      </c>
      <c r="AM19" s="85">
        <v>0</v>
      </c>
      <c r="AN19" s="85">
        <v>0</v>
      </c>
      <c r="AO19" s="85">
        <v>0</v>
      </c>
      <c r="AP19" s="85">
        <v>0</v>
      </c>
      <c r="AQ19" s="85">
        <v>0</v>
      </c>
      <c r="AR19" s="85">
        <v>0</v>
      </c>
      <c r="AS19" s="85">
        <v>0</v>
      </c>
      <c r="AT19" s="86">
        <v>0</v>
      </c>
      <c r="AU19" s="84">
        <v>0</v>
      </c>
      <c r="AV19" s="85">
        <v>189.12286957684543</v>
      </c>
      <c r="AW19" s="85">
        <v>0</v>
      </c>
      <c r="AX19" s="85">
        <v>21.156124021741039</v>
      </c>
      <c r="AY19" s="85">
        <v>0</v>
      </c>
      <c r="AZ19" s="85">
        <v>21.013652175205049</v>
      </c>
      <c r="BA19" s="85">
        <v>0</v>
      </c>
      <c r="BB19" s="85">
        <v>0</v>
      </c>
      <c r="BC19" s="86">
        <v>231.29264577379152</v>
      </c>
    </row>
    <row r="20" spans="1:55" hidden="1" x14ac:dyDescent="0.25">
      <c r="A20" s="46" t="s">
        <v>893</v>
      </c>
      <c r="B20" s="47" t="s">
        <v>896</v>
      </c>
      <c r="C20" s="48" t="s">
        <v>855</v>
      </c>
      <c r="D20" s="50">
        <v>0.93389783863693032</v>
      </c>
      <c r="E20" s="49">
        <v>6.6102161363069678E-2</v>
      </c>
      <c r="F20" s="51">
        <v>1</v>
      </c>
      <c r="I20" s="47" t="s">
        <v>896</v>
      </c>
      <c r="J20" s="48" t="s">
        <v>855</v>
      </c>
      <c r="K20" s="84">
        <v>0</v>
      </c>
      <c r="L20" s="85">
        <v>78.750981979029874</v>
      </c>
      <c r="M20" s="85">
        <v>0</v>
      </c>
      <c r="N20" s="85">
        <v>0</v>
      </c>
      <c r="O20" s="85">
        <v>0</v>
      </c>
      <c r="P20" s="85">
        <v>0</v>
      </c>
      <c r="Q20" s="85">
        <v>0</v>
      </c>
      <c r="R20" s="85">
        <v>0</v>
      </c>
      <c r="S20" s="86">
        <v>78.750981979029874</v>
      </c>
      <c r="T20" s="84">
        <v>0</v>
      </c>
      <c r="U20" s="85">
        <v>0</v>
      </c>
      <c r="V20" s="85">
        <v>0</v>
      </c>
      <c r="W20" s="85">
        <v>0</v>
      </c>
      <c r="X20" s="85">
        <v>0</v>
      </c>
      <c r="Y20" s="85">
        <v>0</v>
      </c>
      <c r="Z20" s="85">
        <v>0</v>
      </c>
      <c r="AA20" s="85">
        <v>0</v>
      </c>
      <c r="AB20" s="86">
        <v>0</v>
      </c>
      <c r="AC20" s="84">
        <v>0</v>
      </c>
      <c r="AD20" s="85">
        <v>0</v>
      </c>
      <c r="AE20" s="85">
        <v>0</v>
      </c>
      <c r="AF20" s="85">
        <v>0</v>
      </c>
      <c r="AG20" s="85">
        <v>0</v>
      </c>
      <c r="AH20" s="85">
        <v>0</v>
      </c>
      <c r="AI20" s="85">
        <v>0</v>
      </c>
      <c r="AJ20" s="85">
        <v>0</v>
      </c>
      <c r="AK20" s="86">
        <v>0</v>
      </c>
      <c r="AL20" s="84">
        <v>0</v>
      </c>
      <c r="AM20" s="85">
        <v>12.871851042494857</v>
      </c>
      <c r="AN20" s="85">
        <v>0</v>
      </c>
      <c r="AO20" s="85">
        <v>0</v>
      </c>
      <c r="AP20" s="85">
        <v>0</v>
      </c>
      <c r="AQ20" s="85">
        <v>0</v>
      </c>
      <c r="AR20" s="85">
        <v>0</v>
      </c>
      <c r="AS20" s="85">
        <v>0</v>
      </c>
      <c r="AT20" s="86">
        <v>12.871851042494857</v>
      </c>
      <c r="AU20" s="84">
        <v>0</v>
      </c>
      <c r="AV20" s="85">
        <v>91.622833021524727</v>
      </c>
      <c r="AW20" s="85">
        <v>0</v>
      </c>
      <c r="AX20" s="85">
        <v>0</v>
      </c>
      <c r="AY20" s="85">
        <v>0</v>
      </c>
      <c r="AZ20" s="85">
        <v>0</v>
      </c>
      <c r="BA20" s="85">
        <v>0</v>
      </c>
      <c r="BB20" s="85">
        <v>0</v>
      </c>
      <c r="BC20" s="86">
        <v>91.622833021524727</v>
      </c>
    </row>
    <row r="21" spans="1:55" hidden="1" x14ac:dyDescent="0.25">
      <c r="A21" s="46" t="s">
        <v>893</v>
      </c>
      <c r="B21" s="47" t="s">
        <v>897</v>
      </c>
      <c r="C21" s="48" t="s">
        <v>855</v>
      </c>
      <c r="D21" s="50">
        <v>0.82696528750038811</v>
      </c>
      <c r="E21" s="49">
        <v>0.1730347124996118</v>
      </c>
      <c r="F21" s="51">
        <v>1</v>
      </c>
      <c r="I21" s="47" t="s">
        <v>897</v>
      </c>
      <c r="J21" s="48" t="s">
        <v>855</v>
      </c>
      <c r="K21" s="84">
        <v>0</v>
      </c>
      <c r="L21" s="85">
        <v>0</v>
      </c>
      <c r="M21" s="85">
        <v>0</v>
      </c>
      <c r="N21" s="85">
        <v>0</v>
      </c>
      <c r="O21" s="85">
        <v>0</v>
      </c>
      <c r="P21" s="85">
        <v>0</v>
      </c>
      <c r="Q21" s="85">
        <v>0</v>
      </c>
      <c r="R21" s="85">
        <v>0</v>
      </c>
      <c r="S21" s="86">
        <v>0</v>
      </c>
      <c r="T21" s="84">
        <v>0</v>
      </c>
      <c r="U21" s="85">
        <v>0</v>
      </c>
      <c r="V21" s="85">
        <v>0</v>
      </c>
      <c r="W21" s="85">
        <v>44.110009786486408</v>
      </c>
      <c r="X21" s="85">
        <v>0</v>
      </c>
      <c r="Y21" s="85">
        <v>0</v>
      </c>
      <c r="Z21" s="85">
        <v>0</v>
      </c>
      <c r="AA21" s="85">
        <v>0</v>
      </c>
      <c r="AB21" s="86">
        <v>44.110009786486408</v>
      </c>
      <c r="AC21" s="84">
        <v>0</v>
      </c>
      <c r="AD21" s="85">
        <v>0</v>
      </c>
      <c r="AE21" s="85">
        <v>0</v>
      </c>
      <c r="AF21" s="85">
        <v>0</v>
      </c>
      <c r="AG21" s="85">
        <v>0</v>
      </c>
      <c r="AH21" s="85">
        <v>0</v>
      </c>
      <c r="AI21" s="85">
        <v>0</v>
      </c>
      <c r="AJ21" s="85">
        <v>0</v>
      </c>
      <c r="AK21" s="86">
        <v>0</v>
      </c>
      <c r="AL21" s="84">
        <v>0</v>
      </c>
      <c r="AM21" s="85">
        <v>26.98451061311329</v>
      </c>
      <c r="AN21" s="85">
        <v>0</v>
      </c>
      <c r="AO21" s="85">
        <v>0</v>
      </c>
      <c r="AP21" s="85">
        <v>0</v>
      </c>
      <c r="AQ21" s="85">
        <v>0</v>
      </c>
      <c r="AR21" s="85">
        <v>0</v>
      </c>
      <c r="AS21" s="85">
        <v>0</v>
      </c>
      <c r="AT21" s="86">
        <v>26.98451061311329</v>
      </c>
      <c r="AU21" s="84">
        <v>0</v>
      </c>
      <c r="AV21" s="85">
        <v>26.98451061311329</v>
      </c>
      <c r="AW21" s="85">
        <v>0</v>
      </c>
      <c r="AX21" s="85">
        <v>44.110009786486408</v>
      </c>
      <c r="AY21" s="85">
        <v>0</v>
      </c>
      <c r="AZ21" s="85">
        <v>0</v>
      </c>
      <c r="BA21" s="85">
        <v>0</v>
      </c>
      <c r="BB21" s="85">
        <v>0</v>
      </c>
      <c r="BC21" s="86">
        <v>71.094520399599702</v>
      </c>
    </row>
    <row r="22" spans="1:55" hidden="1" x14ac:dyDescent="0.25">
      <c r="A22" s="46" t="s">
        <v>893</v>
      </c>
      <c r="B22" s="47" t="s">
        <v>898</v>
      </c>
      <c r="C22" s="48" t="s">
        <v>855</v>
      </c>
      <c r="D22" s="50">
        <v>0.9639940765832945</v>
      </c>
      <c r="E22" s="49">
        <v>3.6005923416705561E-2</v>
      </c>
      <c r="F22" s="51">
        <v>1</v>
      </c>
      <c r="I22" s="47" t="s">
        <v>898</v>
      </c>
      <c r="J22" s="48" t="s">
        <v>855</v>
      </c>
      <c r="K22" s="84">
        <v>0</v>
      </c>
      <c r="L22" s="85">
        <v>0</v>
      </c>
      <c r="M22" s="85">
        <v>0</v>
      </c>
      <c r="N22" s="85">
        <v>0</v>
      </c>
      <c r="O22" s="85">
        <v>0</v>
      </c>
      <c r="P22" s="85">
        <v>0</v>
      </c>
      <c r="Q22" s="85">
        <v>0</v>
      </c>
      <c r="R22" s="85">
        <v>0</v>
      </c>
      <c r="S22" s="86">
        <v>0</v>
      </c>
      <c r="T22" s="84">
        <v>0</v>
      </c>
      <c r="U22" s="85">
        <v>0</v>
      </c>
      <c r="V22" s="85">
        <v>0</v>
      </c>
      <c r="W22" s="85">
        <v>19.634672986614149</v>
      </c>
      <c r="X22" s="85">
        <v>0</v>
      </c>
      <c r="Y22" s="85">
        <v>0</v>
      </c>
      <c r="Z22" s="85">
        <v>0</v>
      </c>
      <c r="AA22" s="85">
        <v>0</v>
      </c>
      <c r="AB22" s="86">
        <v>19.634672986614149</v>
      </c>
      <c r="AC22" s="84">
        <v>0</v>
      </c>
      <c r="AD22" s="85">
        <v>0</v>
      </c>
      <c r="AE22" s="85">
        <v>0</v>
      </c>
      <c r="AF22" s="85">
        <v>0</v>
      </c>
      <c r="AG22" s="85">
        <v>0</v>
      </c>
      <c r="AH22" s="85">
        <v>0</v>
      </c>
      <c r="AI22" s="85">
        <v>0</v>
      </c>
      <c r="AJ22" s="85">
        <v>0</v>
      </c>
      <c r="AK22" s="86">
        <v>0</v>
      </c>
      <c r="AL22" s="84">
        <v>0</v>
      </c>
      <c r="AM22" s="85">
        <v>0</v>
      </c>
      <c r="AN22" s="85">
        <v>0</v>
      </c>
      <c r="AO22" s="85">
        <v>0</v>
      </c>
      <c r="AP22" s="85">
        <v>0</v>
      </c>
      <c r="AQ22" s="85">
        <v>0</v>
      </c>
      <c r="AR22" s="85">
        <v>0</v>
      </c>
      <c r="AS22" s="85">
        <v>0</v>
      </c>
      <c r="AT22" s="86">
        <v>0</v>
      </c>
      <c r="AU22" s="84">
        <v>0</v>
      </c>
      <c r="AV22" s="85">
        <v>0</v>
      </c>
      <c r="AW22" s="85">
        <v>0</v>
      </c>
      <c r="AX22" s="85">
        <v>19.634672986614149</v>
      </c>
      <c r="AY22" s="85">
        <v>0</v>
      </c>
      <c r="AZ22" s="85">
        <v>0</v>
      </c>
      <c r="BA22" s="85">
        <v>0</v>
      </c>
      <c r="BB22" s="85">
        <v>0</v>
      </c>
      <c r="BC22" s="86">
        <v>19.634672986614149</v>
      </c>
    </row>
    <row r="23" spans="1:55" hidden="1" x14ac:dyDescent="0.25">
      <c r="A23" s="46" t="s">
        <v>893</v>
      </c>
      <c r="B23" s="47" t="s">
        <v>899</v>
      </c>
      <c r="C23" s="48" t="s">
        <v>855</v>
      </c>
      <c r="D23" s="50">
        <v>0.93408299941780015</v>
      </c>
      <c r="E23" s="49">
        <v>6.5917000582199917E-2</v>
      </c>
      <c r="F23" s="51">
        <v>1</v>
      </c>
      <c r="I23" s="47" t="s">
        <v>899</v>
      </c>
      <c r="J23" s="48" t="s">
        <v>855</v>
      </c>
      <c r="K23" s="84">
        <v>0</v>
      </c>
      <c r="L23" s="85">
        <v>0</v>
      </c>
      <c r="M23" s="85">
        <v>0</v>
      </c>
      <c r="N23" s="85">
        <v>0</v>
      </c>
      <c r="O23" s="85">
        <v>0</v>
      </c>
      <c r="P23" s="85">
        <v>0</v>
      </c>
      <c r="Q23" s="85">
        <v>0</v>
      </c>
      <c r="R23" s="85">
        <v>0</v>
      </c>
      <c r="S23" s="86">
        <v>0</v>
      </c>
      <c r="T23" s="84">
        <v>0</v>
      </c>
      <c r="U23" s="85">
        <v>0</v>
      </c>
      <c r="V23" s="85">
        <v>0</v>
      </c>
      <c r="W23" s="85">
        <v>0</v>
      </c>
      <c r="X23" s="85">
        <v>0</v>
      </c>
      <c r="Y23" s="85">
        <v>0</v>
      </c>
      <c r="Z23" s="85">
        <v>0</v>
      </c>
      <c r="AA23" s="85">
        <v>0</v>
      </c>
      <c r="AB23" s="86">
        <v>0</v>
      </c>
      <c r="AC23" s="84">
        <v>0</v>
      </c>
      <c r="AD23" s="85">
        <v>0</v>
      </c>
      <c r="AE23" s="85">
        <v>0</v>
      </c>
      <c r="AF23" s="85">
        <v>0</v>
      </c>
      <c r="AG23" s="85">
        <v>0</v>
      </c>
      <c r="AH23" s="85">
        <v>0</v>
      </c>
      <c r="AI23" s="85">
        <v>0</v>
      </c>
      <c r="AJ23" s="85">
        <v>0</v>
      </c>
      <c r="AK23" s="86">
        <v>0</v>
      </c>
      <c r="AL23" s="84">
        <v>0</v>
      </c>
      <c r="AM23" s="85">
        <v>0</v>
      </c>
      <c r="AN23" s="85">
        <v>0</v>
      </c>
      <c r="AO23" s="85">
        <v>50.284769574735037</v>
      </c>
      <c r="AP23" s="85">
        <v>0</v>
      </c>
      <c r="AQ23" s="85">
        <v>0</v>
      </c>
      <c r="AR23" s="85">
        <v>0</v>
      </c>
      <c r="AS23" s="85">
        <v>0</v>
      </c>
      <c r="AT23" s="86">
        <v>50.284769574735037</v>
      </c>
      <c r="AU23" s="84">
        <v>0</v>
      </c>
      <c r="AV23" s="85">
        <v>0</v>
      </c>
      <c r="AW23" s="85">
        <v>0</v>
      </c>
      <c r="AX23" s="85">
        <v>50.284769574735037</v>
      </c>
      <c r="AY23" s="85">
        <v>0</v>
      </c>
      <c r="AZ23" s="85">
        <v>0</v>
      </c>
      <c r="BA23" s="85">
        <v>0</v>
      </c>
      <c r="BB23" s="85">
        <v>0</v>
      </c>
      <c r="BC23" s="86">
        <v>50.284769574735037</v>
      </c>
    </row>
    <row r="24" spans="1:55" hidden="1" x14ac:dyDescent="0.25">
      <c r="A24" s="46" t="s">
        <v>893</v>
      </c>
      <c r="B24" s="47" t="s">
        <v>900</v>
      </c>
      <c r="C24" s="48" t="s">
        <v>855</v>
      </c>
      <c r="D24" s="50">
        <v>0.91769059534017872</v>
      </c>
      <c r="E24" s="49">
        <v>8.23094046598212E-2</v>
      </c>
      <c r="F24" s="51">
        <v>1</v>
      </c>
      <c r="I24" s="47" t="s">
        <v>900</v>
      </c>
      <c r="J24" s="48" t="s">
        <v>855</v>
      </c>
      <c r="K24" s="84">
        <v>0</v>
      </c>
      <c r="L24" s="85">
        <v>0</v>
      </c>
      <c r="M24" s="85">
        <v>0</v>
      </c>
      <c r="N24" s="85">
        <v>199.11719821988763</v>
      </c>
      <c r="O24" s="85">
        <v>0</v>
      </c>
      <c r="P24" s="85">
        <v>0</v>
      </c>
      <c r="Q24" s="85">
        <v>0</v>
      </c>
      <c r="R24" s="85">
        <v>0</v>
      </c>
      <c r="S24" s="86">
        <v>199.11719821988763</v>
      </c>
      <c r="T24" s="84">
        <v>0</v>
      </c>
      <c r="U24" s="85">
        <v>229.22224785316547</v>
      </c>
      <c r="V24" s="85">
        <v>0</v>
      </c>
      <c r="W24" s="85">
        <v>397.49954616357195</v>
      </c>
      <c r="X24" s="85">
        <v>0</v>
      </c>
      <c r="Y24" s="85">
        <v>0</v>
      </c>
      <c r="Z24" s="85">
        <v>0</v>
      </c>
      <c r="AA24" s="85">
        <v>0</v>
      </c>
      <c r="AB24" s="86">
        <v>626.72179401673748</v>
      </c>
      <c r="AC24" s="84">
        <v>0</v>
      </c>
      <c r="AD24" s="85">
        <v>0</v>
      </c>
      <c r="AE24" s="85">
        <v>0</v>
      </c>
      <c r="AF24" s="85">
        <v>0</v>
      </c>
      <c r="AG24" s="85">
        <v>0</v>
      </c>
      <c r="AH24" s="85">
        <v>0</v>
      </c>
      <c r="AI24" s="85">
        <v>0</v>
      </c>
      <c r="AJ24" s="85">
        <v>0</v>
      </c>
      <c r="AK24" s="86">
        <v>0</v>
      </c>
      <c r="AL24" s="84">
        <v>0</v>
      </c>
      <c r="AM24" s="85">
        <v>0</v>
      </c>
      <c r="AN24" s="85">
        <v>0</v>
      </c>
      <c r="AO24" s="85">
        <v>0</v>
      </c>
      <c r="AP24" s="85">
        <v>0</v>
      </c>
      <c r="AQ24" s="85">
        <v>0</v>
      </c>
      <c r="AR24" s="85">
        <v>0</v>
      </c>
      <c r="AS24" s="85">
        <v>0</v>
      </c>
      <c r="AT24" s="86">
        <v>0</v>
      </c>
      <c r="AU24" s="84">
        <v>0</v>
      </c>
      <c r="AV24" s="85">
        <v>229.22224785316547</v>
      </c>
      <c r="AW24" s="85">
        <v>0</v>
      </c>
      <c r="AX24" s="85">
        <v>596.6167443834596</v>
      </c>
      <c r="AY24" s="85">
        <v>0</v>
      </c>
      <c r="AZ24" s="85">
        <v>0</v>
      </c>
      <c r="BA24" s="85">
        <v>0</v>
      </c>
      <c r="BB24" s="85">
        <v>0</v>
      </c>
      <c r="BC24" s="86">
        <v>825.83899223662513</v>
      </c>
    </row>
    <row r="25" spans="1:55" hidden="1" x14ac:dyDescent="0.25">
      <c r="A25" s="46" t="s">
        <v>893</v>
      </c>
      <c r="B25" s="47" t="s">
        <v>901</v>
      </c>
      <c r="C25" s="48" t="s">
        <v>855</v>
      </c>
      <c r="D25" s="50">
        <v>0.86719579734784979</v>
      </c>
      <c r="E25" s="49">
        <v>0.13280420265215021</v>
      </c>
      <c r="F25" s="51">
        <v>1</v>
      </c>
      <c r="I25" s="47" t="s">
        <v>901</v>
      </c>
      <c r="J25" s="48" t="s">
        <v>855</v>
      </c>
      <c r="K25" s="84">
        <v>0</v>
      </c>
      <c r="L25" s="85">
        <v>0</v>
      </c>
      <c r="M25" s="85">
        <v>0</v>
      </c>
      <c r="N25" s="85">
        <v>0</v>
      </c>
      <c r="O25" s="85">
        <v>0</v>
      </c>
      <c r="P25" s="85">
        <v>0</v>
      </c>
      <c r="Q25" s="85">
        <v>0</v>
      </c>
      <c r="R25" s="85">
        <v>0</v>
      </c>
      <c r="S25" s="86">
        <v>0</v>
      </c>
      <c r="T25" s="84">
        <v>0</v>
      </c>
      <c r="U25" s="85">
        <v>77.628925891035308</v>
      </c>
      <c r="V25" s="85">
        <v>0</v>
      </c>
      <c r="W25" s="85">
        <v>0</v>
      </c>
      <c r="X25" s="85">
        <v>0</v>
      </c>
      <c r="Y25" s="85">
        <v>0</v>
      </c>
      <c r="Z25" s="85">
        <v>0</v>
      </c>
      <c r="AA25" s="85">
        <v>0</v>
      </c>
      <c r="AB25" s="86">
        <v>77.628925891035308</v>
      </c>
      <c r="AC25" s="84">
        <v>0</v>
      </c>
      <c r="AD25" s="85">
        <v>0</v>
      </c>
      <c r="AE25" s="85">
        <v>0</v>
      </c>
      <c r="AF25" s="85">
        <v>14.859568713243839</v>
      </c>
      <c r="AG25" s="85">
        <v>0</v>
      </c>
      <c r="AH25" s="85">
        <v>0</v>
      </c>
      <c r="AI25" s="85">
        <v>0</v>
      </c>
      <c r="AJ25" s="85">
        <v>0</v>
      </c>
      <c r="AK25" s="86">
        <v>14.859568713243839</v>
      </c>
      <c r="AL25" s="84">
        <v>0</v>
      </c>
      <c r="AM25" s="85">
        <v>0</v>
      </c>
      <c r="AN25" s="85">
        <v>0</v>
      </c>
      <c r="AO25" s="85">
        <v>0</v>
      </c>
      <c r="AP25" s="85">
        <v>0</v>
      </c>
      <c r="AQ25" s="85">
        <v>0</v>
      </c>
      <c r="AR25" s="85">
        <v>0</v>
      </c>
      <c r="AS25" s="85">
        <v>0</v>
      </c>
      <c r="AT25" s="86">
        <v>0</v>
      </c>
      <c r="AU25" s="84">
        <v>0</v>
      </c>
      <c r="AV25" s="85">
        <v>77.628925891035308</v>
      </c>
      <c r="AW25" s="85">
        <v>0</v>
      </c>
      <c r="AX25" s="85">
        <v>14.859568713243839</v>
      </c>
      <c r="AY25" s="85">
        <v>0</v>
      </c>
      <c r="AZ25" s="85">
        <v>0</v>
      </c>
      <c r="BA25" s="85">
        <v>0</v>
      </c>
      <c r="BB25" s="85">
        <v>0</v>
      </c>
      <c r="BC25" s="86">
        <v>92.48849460427914</v>
      </c>
    </row>
    <row r="26" spans="1:55" hidden="1" x14ac:dyDescent="0.25">
      <c r="A26" s="46" t="s">
        <v>893</v>
      </c>
      <c r="B26" s="47" t="s">
        <v>902</v>
      </c>
      <c r="C26" s="48" t="s">
        <v>855</v>
      </c>
      <c r="D26" s="50">
        <v>0.90936489436209378</v>
      </c>
      <c r="E26" s="49">
        <v>9.063510563790618E-2</v>
      </c>
      <c r="F26" s="51">
        <v>1</v>
      </c>
      <c r="I26" s="47" t="s">
        <v>902</v>
      </c>
      <c r="J26" s="48" t="s">
        <v>855</v>
      </c>
      <c r="K26" s="84">
        <v>0</v>
      </c>
      <c r="L26" s="85">
        <v>0</v>
      </c>
      <c r="M26" s="85">
        <v>0</v>
      </c>
      <c r="N26" s="85">
        <v>0</v>
      </c>
      <c r="O26" s="85">
        <v>0</v>
      </c>
      <c r="P26" s="85">
        <v>0</v>
      </c>
      <c r="Q26" s="85">
        <v>0</v>
      </c>
      <c r="R26" s="85">
        <v>0</v>
      </c>
      <c r="S26" s="86">
        <v>0</v>
      </c>
      <c r="T26" s="84">
        <v>0</v>
      </c>
      <c r="U26" s="85">
        <v>0</v>
      </c>
      <c r="V26" s="85">
        <v>0</v>
      </c>
      <c r="W26" s="85">
        <v>0</v>
      </c>
      <c r="X26" s="85">
        <v>0</v>
      </c>
      <c r="Y26" s="85">
        <v>0</v>
      </c>
      <c r="Z26" s="85">
        <v>0</v>
      </c>
      <c r="AA26" s="85">
        <v>0</v>
      </c>
      <c r="AB26" s="86">
        <v>0</v>
      </c>
      <c r="AC26" s="84">
        <v>0</v>
      </c>
      <c r="AD26" s="85">
        <v>0</v>
      </c>
      <c r="AE26" s="85">
        <v>0</v>
      </c>
      <c r="AF26" s="85">
        <v>0</v>
      </c>
      <c r="AG26" s="85">
        <v>0</v>
      </c>
      <c r="AH26" s="85">
        <v>0</v>
      </c>
      <c r="AI26" s="85">
        <v>0</v>
      </c>
      <c r="AJ26" s="85">
        <v>0</v>
      </c>
      <c r="AK26" s="86">
        <v>0</v>
      </c>
      <c r="AL26" s="84">
        <v>0</v>
      </c>
      <c r="AM26" s="85">
        <v>0</v>
      </c>
      <c r="AN26" s="85">
        <v>0</v>
      </c>
      <c r="AO26" s="85">
        <v>0</v>
      </c>
      <c r="AP26" s="85">
        <v>0</v>
      </c>
      <c r="AQ26" s="85">
        <v>0</v>
      </c>
      <c r="AR26" s="85">
        <v>0</v>
      </c>
      <c r="AS26" s="85">
        <v>0</v>
      </c>
      <c r="AT26" s="86">
        <v>0</v>
      </c>
      <c r="AU26" s="84">
        <v>0</v>
      </c>
      <c r="AV26" s="85">
        <v>0</v>
      </c>
      <c r="AW26" s="85">
        <v>0</v>
      </c>
      <c r="AX26" s="85">
        <v>0</v>
      </c>
      <c r="AY26" s="85">
        <v>0</v>
      </c>
      <c r="AZ26" s="85">
        <v>0</v>
      </c>
      <c r="BA26" s="85">
        <v>0</v>
      </c>
      <c r="BB26" s="85">
        <v>0</v>
      </c>
      <c r="BC26" s="86">
        <v>0</v>
      </c>
    </row>
    <row r="27" spans="1:55" hidden="1" x14ac:dyDescent="0.25">
      <c r="A27" s="46" t="s">
        <v>893</v>
      </c>
      <c r="B27" s="47" t="s">
        <v>903</v>
      </c>
      <c r="C27" s="48" t="s">
        <v>855</v>
      </c>
      <c r="D27" s="50">
        <v>0.95601441298306766</v>
      </c>
      <c r="E27" s="49">
        <v>4.3985587016932386E-2</v>
      </c>
      <c r="F27" s="51">
        <v>1</v>
      </c>
      <c r="I27" s="47" t="s">
        <v>903</v>
      </c>
      <c r="J27" s="48" t="s">
        <v>855</v>
      </c>
      <c r="K27" s="84">
        <v>0</v>
      </c>
      <c r="L27" s="85">
        <v>0</v>
      </c>
      <c r="M27" s="85">
        <v>0</v>
      </c>
      <c r="N27" s="85">
        <v>27.526762610065123</v>
      </c>
      <c r="O27" s="85">
        <v>0</v>
      </c>
      <c r="P27" s="85">
        <v>0</v>
      </c>
      <c r="Q27" s="85">
        <v>0</v>
      </c>
      <c r="R27" s="85">
        <v>0</v>
      </c>
      <c r="S27" s="86">
        <v>27.526762610065123</v>
      </c>
      <c r="T27" s="84">
        <v>0</v>
      </c>
      <c r="U27" s="85">
        <v>0</v>
      </c>
      <c r="V27" s="85">
        <v>0</v>
      </c>
      <c r="W27" s="85">
        <v>0</v>
      </c>
      <c r="X27" s="85">
        <v>0</v>
      </c>
      <c r="Y27" s="85">
        <v>0</v>
      </c>
      <c r="Z27" s="85">
        <v>0</v>
      </c>
      <c r="AA27" s="85">
        <v>0</v>
      </c>
      <c r="AB27" s="86">
        <v>0</v>
      </c>
      <c r="AC27" s="84">
        <v>0</v>
      </c>
      <c r="AD27" s="85">
        <v>0</v>
      </c>
      <c r="AE27" s="85">
        <v>0</v>
      </c>
      <c r="AF27" s="85">
        <v>0</v>
      </c>
      <c r="AG27" s="85">
        <v>0</v>
      </c>
      <c r="AH27" s="85">
        <v>0</v>
      </c>
      <c r="AI27" s="85">
        <v>0</v>
      </c>
      <c r="AJ27" s="85">
        <v>0</v>
      </c>
      <c r="AK27" s="86">
        <v>0</v>
      </c>
      <c r="AL27" s="84">
        <v>0</v>
      </c>
      <c r="AM27" s="85">
        <v>0</v>
      </c>
      <c r="AN27" s="85">
        <v>0</v>
      </c>
      <c r="AO27" s="85">
        <v>50.160792280915594</v>
      </c>
      <c r="AP27" s="85">
        <v>0</v>
      </c>
      <c r="AQ27" s="85">
        <v>0</v>
      </c>
      <c r="AR27" s="85">
        <v>0</v>
      </c>
      <c r="AS27" s="85">
        <v>0</v>
      </c>
      <c r="AT27" s="86">
        <v>50.160792280915594</v>
      </c>
      <c r="AU27" s="84">
        <v>0</v>
      </c>
      <c r="AV27" s="85">
        <v>0</v>
      </c>
      <c r="AW27" s="85">
        <v>0</v>
      </c>
      <c r="AX27" s="85">
        <v>77.687554890980721</v>
      </c>
      <c r="AY27" s="85">
        <v>0</v>
      </c>
      <c r="AZ27" s="85">
        <v>0</v>
      </c>
      <c r="BA27" s="85">
        <v>0</v>
      </c>
      <c r="BB27" s="85">
        <v>0</v>
      </c>
      <c r="BC27" s="86">
        <v>77.687554890980721</v>
      </c>
    </row>
    <row r="28" spans="1:55" hidden="1" x14ac:dyDescent="0.25">
      <c r="A28" s="46" t="s">
        <v>893</v>
      </c>
      <c r="B28" s="47" t="s">
        <v>904</v>
      </c>
      <c r="C28" s="48" t="s">
        <v>855</v>
      </c>
      <c r="D28" s="50">
        <v>0.87588518856182296</v>
      </c>
      <c r="E28" s="49">
        <v>0.124114811438177</v>
      </c>
      <c r="F28" s="51">
        <v>1</v>
      </c>
      <c r="I28" s="47" t="s">
        <v>904</v>
      </c>
      <c r="J28" s="48" t="s">
        <v>855</v>
      </c>
      <c r="K28" s="84">
        <v>0</v>
      </c>
      <c r="L28" s="85">
        <v>0</v>
      </c>
      <c r="M28" s="85">
        <v>0</v>
      </c>
      <c r="N28" s="85">
        <v>0</v>
      </c>
      <c r="O28" s="85">
        <v>0</v>
      </c>
      <c r="P28" s="85">
        <v>0</v>
      </c>
      <c r="Q28" s="85">
        <v>0</v>
      </c>
      <c r="R28" s="85">
        <v>0</v>
      </c>
      <c r="S28" s="86">
        <v>0</v>
      </c>
      <c r="T28" s="84">
        <v>0</v>
      </c>
      <c r="U28" s="85">
        <v>0</v>
      </c>
      <c r="V28" s="85">
        <v>0</v>
      </c>
      <c r="W28" s="85">
        <v>89.176218358381661</v>
      </c>
      <c r="X28" s="85">
        <v>0</v>
      </c>
      <c r="Y28" s="85">
        <v>0</v>
      </c>
      <c r="Z28" s="85">
        <v>0</v>
      </c>
      <c r="AA28" s="85">
        <v>0</v>
      </c>
      <c r="AB28" s="86">
        <v>89.176218358381661</v>
      </c>
      <c r="AC28" s="84">
        <v>0</v>
      </c>
      <c r="AD28" s="85">
        <v>0</v>
      </c>
      <c r="AE28" s="85">
        <v>0</v>
      </c>
      <c r="AF28" s="85">
        <v>0</v>
      </c>
      <c r="AG28" s="85">
        <v>0</v>
      </c>
      <c r="AH28" s="85">
        <v>0</v>
      </c>
      <c r="AI28" s="85">
        <v>0</v>
      </c>
      <c r="AJ28" s="85">
        <v>0</v>
      </c>
      <c r="AK28" s="86">
        <v>0</v>
      </c>
      <c r="AL28" s="84">
        <v>0</v>
      </c>
      <c r="AM28" s="85">
        <v>0</v>
      </c>
      <c r="AN28" s="85">
        <v>0</v>
      </c>
      <c r="AO28" s="85">
        <v>0</v>
      </c>
      <c r="AP28" s="85">
        <v>0</v>
      </c>
      <c r="AQ28" s="85">
        <v>0</v>
      </c>
      <c r="AR28" s="85">
        <v>0</v>
      </c>
      <c r="AS28" s="85">
        <v>0</v>
      </c>
      <c r="AT28" s="86">
        <v>0</v>
      </c>
      <c r="AU28" s="84">
        <v>0</v>
      </c>
      <c r="AV28" s="85">
        <v>0</v>
      </c>
      <c r="AW28" s="85">
        <v>0</v>
      </c>
      <c r="AX28" s="85">
        <v>89.176218358381661</v>
      </c>
      <c r="AY28" s="85">
        <v>0</v>
      </c>
      <c r="AZ28" s="85">
        <v>0</v>
      </c>
      <c r="BA28" s="85">
        <v>0</v>
      </c>
      <c r="BB28" s="85">
        <v>0</v>
      </c>
      <c r="BC28" s="86">
        <v>89.176218358381661</v>
      </c>
    </row>
    <row r="29" spans="1:55" hidden="1" x14ac:dyDescent="0.25">
      <c r="A29" s="46" t="s">
        <v>893</v>
      </c>
      <c r="B29" s="47" t="s">
        <v>905</v>
      </c>
      <c r="C29" s="48" t="s">
        <v>855</v>
      </c>
      <c r="D29" s="50">
        <v>0.84944115724381652</v>
      </c>
      <c r="E29" s="49">
        <v>0.15055884275618342</v>
      </c>
      <c r="F29" s="51">
        <v>1</v>
      </c>
      <c r="I29" s="47" t="s">
        <v>905</v>
      </c>
      <c r="J29" s="48" t="s">
        <v>855</v>
      </c>
      <c r="K29" s="84">
        <v>148.2735501254345</v>
      </c>
      <c r="L29" s="85">
        <v>164.52454773936284</v>
      </c>
      <c r="M29" s="85">
        <v>0</v>
      </c>
      <c r="N29" s="85">
        <v>144.74774163312946</v>
      </c>
      <c r="O29" s="85">
        <v>0</v>
      </c>
      <c r="P29" s="85">
        <v>0</v>
      </c>
      <c r="Q29" s="85">
        <v>181.59300613891733</v>
      </c>
      <c r="R29" s="85">
        <v>0</v>
      </c>
      <c r="S29" s="86">
        <v>639.13884563684417</v>
      </c>
      <c r="T29" s="84">
        <v>6.1824646651855133</v>
      </c>
      <c r="U29" s="85">
        <v>0</v>
      </c>
      <c r="V29" s="85">
        <v>0</v>
      </c>
      <c r="W29" s="85">
        <v>246.20211949089779</v>
      </c>
      <c r="X29" s="85">
        <v>0</v>
      </c>
      <c r="Y29" s="85">
        <v>8.4949684431757166</v>
      </c>
      <c r="Z29" s="85">
        <v>316.47110254809434</v>
      </c>
      <c r="AA29" s="85">
        <v>0</v>
      </c>
      <c r="AB29" s="86">
        <v>577.35065514735334</v>
      </c>
      <c r="AC29" s="84">
        <v>0</v>
      </c>
      <c r="AD29" s="85">
        <v>0</v>
      </c>
      <c r="AE29" s="85">
        <v>0</v>
      </c>
      <c r="AF29" s="85">
        <v>0</v>
      </c>
      <c r="AG29" s="85">
        <v>0</v>
      </c>
      <c r="AH29" s="85">
        <v>0</v>
      </c>
      <c r="AI29" s="85">
        <v>0</v>
      </c>
      <c r="AJ29" s="85">
        <v>0</v>
      </c>
      <c r="AK29" s="86">
        <v>0</v>
      </c>
      <c r="AL29" s="84">
        <v>0</v>
      </c>
      <c r="AM29" s="85">
        <v>0</v>
      </c>
      <c r="AN29" s="85">
        <v>0</v>
      </c>
      <c r="AO29" s="85">
        <v>49.357364321808859</v>
      </c>
      <c r="AP29" s="85">
        <v>0</v>
      </c>
      <c r="AQ29" s="85">
        <v>0</v>
      </c>
      <c r="AR29" s="85">
        <v>0</v>
      </c>
      <c r="AS29" s="85">
        <v>0</v>
      </c>
      <c r="AT29" s="86">
        <v>49.357364321808859</v>
      </c>
      <c r="AU29" s="84">
        <v>154.45601479062</v>
      </c>
      <c r="AV29" s="85">
        <v>164.52454773936284</v>
      </c>
      <c r="AW29" s="85">
        <v>0</v>
      </c>
      <c r="AX29" s="85">
        <v>440.30722544583614</v>
      </c>
      <c r="AY29" s="85">
        <v>0</v>
      </c>
      <c r="AZ29" s="85">
        <v>8.4949684431757166</v>
      </c>
      <c r="BA29" s="85">
        <v>498.06410868701164</v>
      </c>
      <c r="BB29" s="85">
        <v>0</v>
      </c>
      <c r="BC29" s="86">
        <v>1265.8468651060061</v>
      </c>
    </row>
    <row r="30" spans="1:55" hidden="1" x14ac:dyDescent="0.25">
      <c r="A30" s="46" t="s">
        <v>893</v>
      </c>
      <c r="B30" s="47" t="s">
        <v>906</v>
      </c>
      <c r="C30" s="48" t="s">
        <v>855</v>
      </c>
      <c r="D30" s="50">
        <v>0.94563669068213607</v>
      </c>
      <c r="E30" s="49">
        <v>5.436330931786388E-2</v>
      </c>
      <c r="F30" s="51">
        <v>1</v>
      </c>
      <c r="I30" s="47" t="s">
        <v>906</v>
      </c>
      <c r="J30" s="48" t="s">
        <v>855</v>
      </c>
      <c r="K30" s="84">
        <v>73.602552558930171</v>
      </c>
      <c r="L30" s="85">
        <v>0</v>
      </c>
      <c r="M30" s="85">
        <v>0</v>
      </c>
      <c r="N30" s="85">
        <v>0</v>
      </c>
      <c r="O30" s="85">
        <v>0</v>
      </c>
      <c r="P30" s="85">
        <v>0</v>
      </c>
      <c r="Q30" s="85">
        <v>0</v>
      </c>
      <c r="R30" s="85">
        <v>0</v>
      </c>
      <c r="S30" s="86">
        <v>73.602552558930171</v>
      </c>
      <c r="T30" s="84">
        <v>0</v>
      </c>
      <c r="U30" s="85">
        <v>0</v>
      </c>
      <c r="V30" s="85">
        <v>0</v>
      </c>
      <c r="W30" s="85">
        <v>369.19953535640911</v>
      </c>
      <c r="X30" s="85">
        <v>0</v>
      </c>
      <c r="Y30" s="85">
        <v>0</v>
      </c>
      <c r="Z30" s="85">
        <v>0</v>
      </c>
      <c r="AA30" s="85">
        <v>0</v>
      </c>
      <c r="AB30" s="86">
        <v>369.19953535640911</v>
      </c>
      <c r="AC30" s="84">
        <v>0</v>
      </c>
      <c r="AD30" s="85">
        <v>0</v>
      </c>
      <c r="AE30" s="85">
        <v>0</v>
      </c>
      <c r="AF30" s="85">
        <v>0</v>
      </c>
      <c r="AG30" s="85">
        <v>0</v>
      </c>
      <c r="AH30" s="85">
        <v>0</v>
      </c>
      <c r="AI30" s="85">
        <v>0</v>
      </c>
      <c r="AJ30" s="85">
        <v>0</v>
      </c>
      <c r="AK30" s="86">
        <v>0</v>
      </c>
      <c r="AL30" s="84">
        <v>53.853986219092349</v>
      </c>
      <c r="AM30" s="85">
        <v>0</v>
      </c>
      <c r="AN30" s="85">
        <v>0</v>
      </c>
      <c r="AO30" s="85">
        <v>0</v>
      </c>
      <c r="AP30" s="85">
        <v>0</v>
      </c>
      <c r="AQ30" s="85">
        <v>0</v>
      </c>
      <c r="AR30" s="85">
        <v>0</v>
      </c>
      <c r="AS30" s="85">
        <v>0</v>
      </c>
      <c r="AT30" s="86">
        <v>53.853986219092349</v>
      </c>
      <c r="AU30" s="84">
        <v>127.45653877802252</v>
      </c>
      <c r="AV30" s="85">
        <v>0</v>
      </c>
      <c r="AW30" s="85">
        <v>0</v>
      </c>
      <c r="AX30" s="85">
        <v>369.19953535640911</v>
      </c>
      <c r="AY30" s="85">
        <v>0</v>
      </c>
      <c r="AZ30" s="85">
        <v>0</v>
      </c>
      <c r="BA30" s="85">
        <v>0</v>
      </c>
      <c r="BB30" s="85">
        <v>0</v>
      </c>
      <c r="BC30" s="86">
        <v>496.65607413443161</v>
      </c>
    </row>
    <row r="31" spans="1:55" hidden="1" x14ac:dyDescent="0.25">
      <c r="A31" s="46" t="s">
        <v>893</v>
      </c>
      <c r="B31" s="47" t="s">
        <v>907</v>
      </c>
      <c r="C31" s="48" t="s">
        <v>855</v>
      </c>
      <c r="D31" s="50">
        <v>0.96480768386842664</v>
      </c>
      <c r="E31" s="49">
        <v>3.5192316131573469E-2</v>
      </c>
      <c r="F31" s="51">
        <v>1</v>
      </c>
      <c r="I31" s="47" t="s">
        <v>907</v>
      </c>
      <c r="J31" s="48" t="s">
        <v>855</v>
      </c>
      <c r="K31" s="84">
        <v>0</v>
      </c>
      <c r="L31" s="85">
        <v>0</v>
      </c>
      <c r="M31" s="85">
        <v>0</v>
      </c>
      <c r="N31" s="85">
        <v>22.8017069505925</v>
      </c>
      <c r="O31" s="85">
        <v>0</v>
      </c>
      <c r="P31" s="85">
        <v>0</v>
      </c>
      <c r="Q31" s="85">
        <v>0</v>
      </c>
      <c r="R31" s="85">
        <v>0</v>
      </c>
      <c r="S31" s="86">
        <v>22.8017069505925</v>
      </c>
      <c r="T31" s="84">
        <v>36.198549900463831</v>
      </c>
      <c r="U31" s="85">
        <v>0</v>
      </c>
      <c r="V31" s="85">
        <v>0</v>
      </c>
      <c r="W31" s="85">
        <v>0</v>
      </c>
      <c r="X31" s="85">
        <v>0</v>
      </c>
      <c r="Y31" s="85">
        <v>0</v>
      </c>
      <c r="Z31" s="85">
        <v>0</v>
      </c>
      <c r="AA31" s="85">
        <v>0</v>
      </c>
      <c r="AB31" s="86">
        <v>36.198549900463831</v>
      </c>
      <c r="AC31" s="84">
        <v>0</v>
      </c>
      <c r="AD31" s="85">
        <v>0</v>
      </c>
      <c r="AE31" s="85">
        <v>0</v>
      </c>
      <c r="AF31" s="85">
        <v>0</v>
      </c>
      <c r="AG31" s="85">
        <v>0</v>
      </c>
      <c r="AH31" s="85">
        <v>0</v>
      </c>
      <c r="AI31" s="85">
        <v>0</v>
      </c>
      <c r="AJ31" s="85">
        <v>0</v>
      </c>
      <c r="AK31" s="86">
        <v>0</v>
      </c>
      <c r="AL31" s="84">
        <v>0</v>
      </c>
      <c r="AM31" s="85">
        <v>0</v>
      </c>
      <c r="AN31" s="85">
        <v>0</v>
      </c>
      <c r="AO31" s="85">
        <v>22.8017069505925</v>
      </c>
      <c r="AP31" s="85">
        <v>0</v>
      </c>
      <c r="AQ31" s="85">
        <v>0</v>
      </c>
      <c r="AR31" s="85">
        <v>0</v>
      </c>
      <c r="AS31" s="85">
        <v>0</v>
      </c>
      <c r="AT31" s="86">
        <v>22.8017069505925</v>
      </c>
      <c r="AU31" s="84">
        <v>36.198549900463831</v>
      </c>
      <c r="AV31" s="85">
        <v>0</v>
      </c>
      <c r="AW31" s="85">
        <v>0</v>
      </c>
      <c r="AX31" s="85">
        <v>45.603413901185</v>
      </c>
      <c r="AY31" s="85">
        <v>0</v>
      </c>
      <c r="AZ31" s="85">
        <v>0</v>
      </c>
      <c r="BA31" s="85">
        <v>0</v>
      </c>
      <c r="BB31" s="85">
        <v>0</v>
      </c>
      <c r="BC31" s="86">
        <v>81.801963801648839</v>
      </c>
    </row>
    <row r="32" spans="1:55" hidden="1" x14ac:dyDescent="0.25">
      <c r="A32" s="46" t="s">
        <v>893</v>
      </c>
      <c r="B32" s="47" t="s">
        <v>908</v>
      </c>
      <c r="C32" s="48" t="s">
        <v>855</v>
      </c>
      <c r="D32" s="50">
        <v>0.99338694798732041</v>
      </c>
      <c r="E32" s="49">
        <v>6.6130520126795201E-3</v>
      </c>
      <c r="F32" s="51">
        <v>1</v>
      </c>
      <c r="I32" s="47" t="s">
        <v>908</v>
      </c>
      <c r="J32" s="48" t="s">
        <v>855</v>
      </c>
      <c r="K32" s="84">
        <v>0</v>
      </c>
      <c r="L32" s="85">
        <v>0</v>
      </c>
      <c r="M32" s="85">
        <v>0</v>
      </c>
      <c r="N32" s="85">
        <v>0</v>
      </c>
      <c r="O32" s="85">
        <v>0</v>
      </c>
      <c r="P32" s="85">
        <v>0</v>
      </c>
      <c r="Q32" s="85">
        <v>0</v>
      </c>
      <c r="R32" s="85">
        <v>0</v>
      </c>
      <c r="S32" s="86">
        <v>0</v>
      </c>
      <c r="T32" s="84">
        <v>60.64154867711369</v>
      </c>
      <c r="U32" s="85">
        <v>0</v>
      </c>
      <c r="V32" s="85">
        <v>0</v>
      </c>
      <c r="W32" s="85">
        <v>0</v>
      </c>
      <c r="X32" s="85">
        <v>0</v>
      </c>
      <c r="Y32" s="85">
        <v>0</v>
      </c>
      <c r="Z32" s="85">
        <v>0</v>
      </c>
      <c r="AA32" s="85">
        <v>0</v>
      </c>
      <c r="AB32" s="86">
        <v>60.64154867711369</v>
      </c>
      <c r="AC32" s="84">
        <v>20.213849559037897</v>
      </c>
      <c r="AD32" s="85">
        <v>0</v>
      </c>
      <c r="AE32" s="85">
        <v>0</v>
      </c>
      <c r="AF32" s="85">
        <v>0</v>
      </c>
      <c r="AG32" s="85">
        <v>0</v>
      </c>
      <c r="AH32" s="85">
        <v>0</v>
      </c>
      <c r="AI32" s="85">
        <v>0</v>
      </c>
      <c r="AJ32" s="85">
        <v>0</v>
      </c>
      <c r="AK32" s="86">
        <v>20.213849559037897</v>
      </c>
      <c r="AL32" s="84">
        <v>0</v>
      </c>
      <c r="AM32" s="85">
        <v>0</v>
      </c>
      <c r="AN32" s="85">
        <v>0</v>
      </c>
      <c r="AO32" s="85">
        <v>0</v>
      </c>
      <c r="AP32" s="85">
        <v>0</v>
      </c>
      <c r="AQ32" s="85">
        <v>0</v>
      </c>
      <c r="AR32" s="85">
        <v>0</v>
      </c>
      <c r="AS32" s="85">
        <v>0</v>
      </c>
      <c r="AT32" s="86">
        <v>0</v>
      </c>
      <c r="AU32" s="84">
        <v>80.855398236151586</v>
      </c>
      <c r="AV32" s="85">
        <v>0</v>
      </c>
      <c r="AW32" s="85">
        <v>0</v>
      </c>
      <c r="AX32" s="85">
        <v>0</v>
      </c>
      <c r="AY32" s="85">
        <v>0</v>
      </c>
      <c r="AZ32" s="85">
        <v>0</v>
      </c>
      <c r="BA32" s="85">
        <v>0</v>
      </c>
      <c r="BB32" s="85">
        <v>0</v>
      </c>
      <c r="BC32" s="86">
        <v>80.855398236151586</v>
      </c>
    </row>
    <row r="33" spans="1:55" hidden="1" x14ac:dyDescent="0.25">
      <c r="A33" s="46" t="s">
        <v>893</v>
      </c>
      <c r="B33" s="47" t="s">
        <v>909</v>
      </c>
      <c r="C33" s="48" t="s">
        <v>855</v>
      </c>
      <c r="D33" s="50">
        <v>0.98526125005623133</v>
      </c>
      <c r="E33" s="49">
        <v>1.4738749943768739E-2</v>
      </c>
      <c r="F33" s="51">
        <v>1</v>
      </c>
      <c r="I33" s="47" t="s">
        <v>909</v>
      </c>
      <c r="J33" s="48" t="s">
        <v>855</v>
      </c>
      <c r="K33" s="84">
        <v>0</v>
      </c>
      <c r="L33" s="85">
        <v>0</v>
      </c>
      <c r="M33" s="85">
        <v>0</v>
      </c>
      <c r="N33" s="85">
        <v>0</v>
      </c>
      <c r="O33" s="85">
        <v>0</v>
      </c>
      <c r="P33" s="85">
        <v>0</v>
      </c>
      <c r="Q33" s="85">
        <v>0</v>
      </c>
      <c r="R33" s="85">
        <v>0</v>
      </c>
      <c r="S33" s="86">
        <v>0</v>
      </c>
      <c r="T33" s="84">
        <v>0</v>
      </c>
      <c r="U33" s="85">
        <v>0</v>
      </c>
      <c r="V33" s="85">
        <v>0</v>
      </c>
      <c r="W33" s="85">
        <v>0</v>
      </c>
      <c r="X33" s="85">
        <v>0</v>
      </c>
      <c r="Y33" s="85">
        <v>0</v>
      </c>
      <c r="Z33" s="85">
        <v>0</v>
      </c>
      <c r="AA33" s="85">
        <v>0</v>
      </c>
      <c r="AB33" s="86">
        <v>0</v>
      </c>
      <c r="AC33" s="84">
        <v>0</v>
      </c>
      <c r="AD33" s="85">
        <v>0</v>
      </c>
      <c r="AE33" s="85">
        <v>0</v>
      </c>
      <c r="AF33" s="85">
        <v>0</v>
      </c>
      <c r="AG33" s="85">
        <v>0</v>
      </c>
      <c r="AH33" s="85">
        <v>0</v>
      </c>
      <c r="AI33" s="85">
        <v>0</v>
      </c>
      <c r="AJ33" s="85">
        <v>0</v>
      </c>
      <c r="AK33" s="86">
        <v>0</v>
      </c>
      <c r="AL33" s="84">
        <v>0</v>
      </c>
      <c r="AM33" s="85">
        <v>0</v>
      </c>
      <c r="AN33" s="85">
        <v>0</v>
      </c>
      <c r="AO33" s="85">
        <v>0</v>
      </c>
      <c r="AP33" s="85">
        <v>0</v>
      </c>
      <c r="AQ33" s="85">
        <v>0</v>
      </c>
      <c r="AR33" s="85">
        <v>0</v>
      </c>
      <c r="AS33" s="85">
        <v>0</v>
      </c>
      <c r="AT33" s="86">
        <v>0</v>
      </c>
      <c r="AU33" s="84">
        <v>0</v>
      </c>
      <c r="AV33" s="85">
        <v>0</v>
      </c>
      <c r="AW33" s="85">
        <v>0</v>
      </c>
      <c r="AX33" s="85">
        <v>0</v>
      </c>
      <c r="AY33" s="85">
        <v>0</v>
      </c>
      <c r="AZ33" s="85">
        <v>0</v>
      </c>
      <c r="BA33" s="85">
        <v>0</v>
      </c>
      <c r="BB33" s="85">
        <v>0</v>
      </c>
      <c r="BC33" s="86">
        <v>0</v>
      </c>
    </row>
    <row r="34" spans="1:55" hidden="1" x14ac:dyDescent="0.25"/>
  </sheetData>
  <mergeCells count="7">
    <mergeCell ref="A1:H1"/>
    <mergeCell ref="AU15:BC15"/>
    <mergeCell ref="D15:F15"/>
    <mergeCell ref="K15:S15"/>
    <mergeCell ref="T15:AB15"/>
    <mergeCell ref="AC15:AK15"/>
    <mergeCell ref="AL15:AT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FE9CE-8058-48E9-8425-F0C86C07BAAA}">
  <sheetPr codeName="Sheet16"/>
  <dimension ref="A1:G83"/>
  <sheetViews>
    <sheetView workbookViewId="0">
      <selection activeCell="A5" sqref="A5"/>
    </sheetView>
  </sheetViews>
  <sheetFormatPr defaultRowHeight="14.4" x14ac:dyDescent="0.3"/>
  <cols>
    <col min="1" max="1" width="58.6640625" customWidth="1"/>
    <col min="2" max="2" width="30.88671875" customWidth="1"/>
    <col min="3" max="3" width="30.33203125" customWidth="1"/>
  </cols>
  <sheetData>
    <row r="1" spans="1:7" x14ac:dyDescent="0.3">
      <c r="A1" t="s">
        <v>910</v>
      </c>
      <c r="B1" t="s">
        <v>911</v>
      </c>
      <c r="C1" t="s">
        <v>911</v>
      </c>
      <c r="D1" s="916" t="s">
        <v>912</v>
      </c>
      <c r="E1" s="916"/>
      <c r="F1" s="916"/>
      <c r="G1" s="916"/>
    </row>
    <row r="2" spans="1:7" x14ac:dyDescent="0.3">
      <c r="A2" s="598" t="s">
        <v>913</v>
      </c>
      <c r="D2">
        <v>2013</v>
      </c>
      <c r="E2">
        <v>2016</v>
      </c>
      <c r="F2">
        <v>2019</v>
      </c>
      <c r="G2">
        <v>2025</v>
      </c>
    </row>
    <row r="3" spans="1:7" x14ac:dyDescent="0.3">
      <c r="A3" s="598" t="s">
        <v>914</v>
      </c>
    </row>
    <row r="4" spans="1:7" x14ac:dyDescent="0.3">
      <c r="A4" t="s">
        <v>915</v>
      </c>
    </row>
    <row r="5" spans="1:7" x14ac:dyDescent="0.3">
      <c r="A5" t="s">
        <v>916</v>
      </c>
    </row>
    <row r="6" spans="1:7" x14ac:dyDescent="0.3">
      <c r="A6" t="s">
        <v>917</v>
      </c>
    </row>
    <row r="7" spans="1:7" x14ac:dyDescent="0.3">
      <c r="A7" t="s">
        <v>918</v>
      </c>
    </row>
    <row r="8" spans="1:7" x14ac:dyDescent="0.3">
      <c r="A8" t="s">
        <v>919</v>
      </c>
    </row>
    <row r="9" spans="1:7" x14ac:dyDescent="0.3">
      <c r="A9" t="s">
        <v>920</v>
      </c>
    </row>
    <row r="10" spans="1:7" x14ac:dyDescent="0.3">
      <c r="A10" t="s">
        <v>921</v>
      </c>
    </row>
    <row r="11" spans="1:7" x14ac:dyDescent="0.3">
      <c r="A11" t="s">
        <v>922</v>
      </c>
    </row>
    <row r="12" spans="1:7" x14ac:dyDescent="0.3">
      <c r="A12" t="s">
        <v>923</v>
      </c>
    </row>
    <row r="13" spans="1:7" x14ac:dyDescent="0.3">
      <c r="A13" t="s">
        <v>924</v>
      </c>
    </row>
    <row r="14" spans="1:7" x14ac:dyDescent="0.3">
      <c r="A14" t="s">
        <v>925</v>
      </c>
    </row>
    <row r="15" spans="1:7" x14ac:dyDescent="0.3">
      <c r="A15" t="s">
        <v>926</v>
      </c>
    </row>
    <row r="16" spans="1:7" x14ac:dyDescent="0.3">
      <c r="A16" t="s">
        <v>927</v>
      </c>
    </row>
    <row r="17" spans="1:1" x14ac:dyDescent="0.3">
      <c r="A17" t="s">
        <v>252</v>
      </c>
    </row>
    <row r="18" spans="1:1" x14ac:dyDescent="0.3">
      <c r="A18" t="s">
        <v>928</v>
      </c>
    </row>
    <row r="19" spans="1:1" x14ac:dyDescent="0.3">
      <c r="A19" t="s">
        <v>152</v>
      </c>
    </row>
    <row r="20" spans="1:1" x14ac:dyDescent="0.3">
      <c r="A20" t="s">
        <v>929</v>
      </c>
    </row>
    <row r="21" spans="1:1" x14ac:dyDescent="0.3">
      <c r="A21" t="s">
        <v>930</v>
      </c>
    </row>
    <row r="22" spans="1:1" x14ac:dyDescent="0.3">
      <c r="A22" t="s">
        <v>931</v>
      </c>
    </row>
    <row r="23" spans="1:1" x14ac:dyDescent="0.3">
      <c r="A23" t="s">
        <v>249</v>
      </c>
    </row>
    <row r="24" spans="1:1" x14ac:dyDescent="0.3">
      <c r="A24" t="s">
        <v>163</v>
      </c>
    </row>
    <row r="25" spans="1:1" x14ac:dyDescent="0.3">
      <c r="A25" t="s">
        <v>932</v>
      </c>
    </row>
    <row r="26" spans="1:1" x14ac:dyDescent="0.3">
      <c r="A26" t="s">
        <v>933</v>
      </c>
    </row>
    <row r="27" spans="1:1" x14ac:dyDescent="0.3">
      <c r="A27" t="s">
        <v>934</v>
      </c>
    </row>
    <row r="28" spans="1:1" x14ac:dyDescent="0.3">
      <c r="A28" t="s">
        <v>935</v>
      </c>
    </row>
    <row r="29" spans="1:1" x14ac:dyDescent="0.3">
      <c r="A29" t="s">
        <v>936</v>
      </c>
    </row>
    <row r="30" spans="1:1" x14ac:dyDescent="0.3">
      <c r="A30" t="s">
        <v>937</v>
      </c>
    </row>
    <row r="31" spans="1:1" x14ac:dyDescent="0.3">
      <c r="A31" t="s">
        <v>938</v>
      </c>
    </row>
    <row r="32" spans="1:1" x14ac:dyDescent="0.3">
      <c r="A32" t="s">
        <v>939</v>
      </c>
    </row>
    <row r="33" spans="1:1" x14ac:dyDescent="0.3">
      <c r="A33" t="s">
        <v>940</v>
      </c>
    </row>
    <row r="34" spans="1:1" x14ac:dyDescent="0.3">
      <c r="A34" t="s">
        <v>941</v>
      </c>
    </row>
    <row r="35" spans="1:1" x14ac:dyDescent="0.3">
      <c r="A35" t="s">
        <v>942</v>
      </c>
    </row>
    <row r="36" spans="1:1" x14ac:dyDescent="0.3">
      <c r="A36" t="s">
        <v>943</v>
      </c>
    </row>
    <row r="37" spans="1:1" x14ac:dyDescent="0.3">
      <c r="A37" t="s">
        <v>944</v>
      </c>
    </row>
    <row r="38" spans="1:1" x14ac:dyDescent="0.3">
      <c r="A38" t="s">
        <v>945</v>
      </c>
    </row>
    <row r="39" spans="1:1" x14ac:dyDescent="0.3">
      <c r="A39" t="s">
        <v>247</v>
      </c>
    </row>
    <row r="40" spans="1:1" x14ac:dyDescent="0.3">
      <c r="A40" t="s">
        <v>946</v>
      </c>
    </row>
    <row r="41" spans="1:1" x14ac:dyDescent="0.3">
      <c r="A41" t="s">
        <v>947</v>
      </c>
    </row>
    <row r="42" spans="1:1" x14ac:dyDescent="0.3">
      <c r="A42" t="s">
        <v>948</v>
      </c>
    </row>
    <row r="43" spans="1:1" x14ac:dyDescent="0.3">
      <c r="A43" t="s">
        <v>949</v>
      </c>
    </row>
    <row r="44" spans="1:1" x14ac:dyDescent="0.3">
      <c r="A44" t="s">
        <v>161</v>
      </c>
    </row>
    <row r="45" spans="1:1" x14ac:dyDescent="0.3">
      <c r="A45" t="s">
        <v>950</v>
      </c>
    </row>
    <row r="46" spans="1:1" x14ac:dyDescent="0.3">
      <c r="A46" t="s">
        <v>951</v>
      </c>
    </row>
    <row r="47" spans="1:1" x14ac:dyDescent="0.3">
      <c r="A47" t="s">
        <v>952</v>
      </c>
    </row>
    <row r="48" spans="1:1" x14ac:dyDescent="0.3">
      <c r="A48" t="s">
        <v>953</v>
      </c>
    </row>
    <row r="49" spans="1:1" x14ac:dyDescent="0.3">
      <c r="A49" t="s">
        <v>954</v>
      </c>
    </row>
    <row r="50" spans="1:1" x14ac:dyDescent="0.3">
      <c r="A50" t="s">
        <v>168</v>
      </c>
    </row>
    <row r="51" spans="1:1" x14ac:dyDescent="0.3">
      <c r="A51" t="s">
        <v>955</v>
      </c>
    </row>
    <row r="52" spans="1:1" x14ac:dyDescent="0.3">
      <c r="A52" t="s">
        <v>956</v>
      </c>
    </row>
    <row r="53" spans="1:1" x14ac:dyDescent="0.3">
      <c r="A53" t="s">
        <v>957</v>
      </c>
    </row>
    <row r="54" spans="1:1" x14ac:dyDescent="0.3">
      <c r="A54" t="s">
        <v>958</v>
      </c>
    </row>
    <row r="55" spans="1:1" x14ac:dyDescent="0.3">
      <c r="A55" t="s">
        <v>959</v>
      </c>
    </row>
    <row r="56" spans="1:1" x14ac:dyDescent="0.3">
      <c r="A56" t="s">
        <v>960</v>
      </c>
    </row>
    <row r="57" spans="1:1" x14ac:dyDescent="0.3">
      <c r="A57" t="s">
        <v>961</v>
      </c>
    </row>
    <row r="58" spans="1:1" x14ac:dyDescent="0.3">
      <c r="A58" t="s">
        <v>962</v>
      </c>
    </row>
    <row r="59" spans="1:1" x14ac:dyDescent="0.3">
      <c r="A59" t="s">
        <v>260</v>
      </c>
    </row>
    <row r="60" spans="1:1" x14ac:dyDescent="0.3">
      <c r="A60" t="s">
        <v>171</v>
      </c>
    </row>
    <row r="61" spans="1:1" x14ac:dyDescent="0.3">
      <c r="A61" t="s">
        <v>963</v>
      </c>
    </row>
    <row r="62" spans="1:1" x14ac:dyDescent="0.3">
      <c r="A62" t="s">
        <v>964</v>
      </c>
    </row>
    <row r="63" spans="1:1" x14ac:dyDescent="0.3">
      <c r="A63" t="s">
        <v>965</v>
      </c>
    </row>
    <row r="64" spans="1:1" x14ac:dyDescent="0.3">
      <c r="A64" t="s">
        <v>177</v>
      </c>
    </row>
    <row r="65" spans="1:1" x14ac:dyDescent="0.3">
      <c r="A65" t="s">
        <v>966</v>
      </c>
    </row>
    <row r="66" spans="1:1" x14ac:dyDescent="0.3">
      <c r="A66" t="s">
        <v>967</v>
      </c>
    </row>
    <row r="67" spans="1:1" x14ac:dyDescent="0.3">
      <c r="A67" t="s">
        <v>968</v>
      </c>
    </row>
    <row r="68" spans="1:1" x14ac:dyDescent="0.3">
      <c r="A68" t="s">
        <v>969</v>
      </c>
    </row>
    <row r="69" spans="1:1" x14ac:dyDescent="0.3">
      <c r="A69" t="s">
        <v>970</v>
      </c>
    </row>
    <row r="70" spans="1:1" x14ac:dyDescent="0.3">
      <c r="A70" t="s">
        <v>971</v>
      </c>
    </row>
    <row r="71" spans="1:1" x14ac:dyDescent="0.3">
      <c r="A71" t="s">
        <v>972</v>
      </c>
    </row>
    <row r="72" spans="1:1" x14ac:dyDescent="0.3">
      <c r="A72" t="s">
        <v>973</v>
      </c>
    </row>
    <row r="73" spans="1:1" x14ac:dyDescent="0.3">
      <c r="A73" t="s">
        <v>974</v>
      </c>
    </row>
    <row r="74" spans="1:1" x14ac:dyDescent="0.3">
      <c r="A74" t="s">
        <v>975</v>
      </c>
    </row>
    <row r="75" spans="1:1" x14ac:dyDescent="0.3">
      <c r="A75" t="s">
        <v>181</v>
      </c>
    </row>
    <row r="76" spans="1:1" x14ac:dyDescent="0.3">
      <c r="A76" t="s">
        <v>976</v>
      </c>
    </row>
    <row r="77" spans="1:1" x14ac:dyDescent="0.3">
      <c r="A77" t="s">
        <v>977</v>
      </c>
    </row>
    <row r="78" spans="1:1" x14ac:dyDescent="0.3">
      <c r="A78" t="s">
        <v>978</v>
      </c>
    </row>
    <row r="79" spans="1:1" x14ac:dyDescent="0.3">
      <c r="A79" t="s">
        <v>580</v>
      </c>
    </row>
    <row r="80" spans="1:1" x14ac:dyDescent="0.3">
      <c r="A80" t="s">
        <v>979</v>
      </c>
    </row>
    <row r="81" spans="1:1" x14ac:dyDescent="0.3">
      <c r="A81" t="s">
        <v>980</v>
      </c>
    </row>
    <row r="82" spans="1:1" x14ac:dyDescent="0.3">
      <c r="A82" t="s">
        <v>981</v>
      </c>
    </row>
    <row r="83" spans="1:1" x14ac:dyDescent="0.3">
      <c r="A83" t="s">
        <v>982</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2.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2C87273A-89B1-4911-B2DB-C5ACFEB0E2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2026-10-27T17:29:13Z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y fmtid="{D5CDD505-2E9C-101B-9397-08002B2CF9AE}" pid="24" name="MSIP_Label_aa7be39c-9e9f-446a-a199-286f73f56a3f_Tag">
    <vt:lpwstr>10, 3, 0, 2</vt:lpwstr>
  </property>
</Properties>
</file>