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0.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C:\Cursor\Scorecards cleanup- dictation and Spelling\V2.0-10272026\"/>
    </mc:Choice>
  </mc:AlternateContent>
  <xr:revisionPtr revIDLastSave="0" documentId="13_ncr:1_{6432CF51-F837-4CF7-BF9B-CB3CAC061CB9}" xr6:coauthVersionLast="47" xr6:coauthVersionMax="47" xr10:uidLastSave="{00000000-0000-0000-0000-000000000000}"/>
  <bookViews>
    <workbookView xWindow="-108" yWindow="-108" windowWidth="23256" windowHeight="13896" tabRatio="675" activeTab="1" xr2:uid="{EAC23EE3-0CA0-4FF8-990D-9B21A59FA3E0}"/>
  </bookViews>
  <sheets>
    <sheet name="Notes" sheetId="23" r:id="rId1"/>
    <sheet name="Prototype" sheetId="2" r:id="rId2"/>
    <sheet name="Zones" sheetId="13" r:id="rId3"/>
    <sheet name="Envelope" sheetId="1" r:id="rId4"/>
    <sheet name="HVAC System" sheetId="14" r:id="rId5"/>
    <sheet name="Thermostat" sheetId="30" r:id="rId6"/>
    <sheet name="Ventilation" sheetId="18" r:id="rId7"/>
    <sheet name="Water Heater" sheetId="32" r:id="rId8"/>
    <sheet name="Interior Lights" sheetId="25" r:id="rId9"/>
    <sheet name="Ext Lighting" sheetId="9" r:id="rId10"/>
    <sheet name="Equipment" sheetId="29" r:id="rId11"/>
    <sheet name="Energy Usage" sheetId="20" r:id="rId12"/>
    <sheet name="Schedules" sheetId="28" r:id="rId13"/>
    <sheet name="Weights" sheetId="21" r:id="rId14"/>
    <sheet name="EV Charger" sheetId="22" state="hidden" r:id="rId15"/>
    <sheet name="PV" sheetId="27" state="hidden" r:id="rId16"/>
    <sheet name="Data" sheetId="31" state="hidden" r:id="rId17"/>
  </sheets>
  <definedNames>
    <definedName name="_xlnm._FilterDatabase" localSheetId="16" hidden="1">Data!$D$1:$G$1</definedName>
    <definedName name="_xlnm._FilterDatabase" localSheetId="12" hidden="1">Schedules!$A$1:$AC$21</definedName>
    <definedName name="nonparticipating_forecastzone_scale_factor" localSheetId="7">#REF!</definedName>
    <definedName name="nonparticipating_forecastzone_scale_factor">'Energy Usage'!#REF!</definedName>
    <definedName name="Space_Function">Data!$A$2:$A$76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1" l="1"/>
  <c r="K3" i="1"/>
  <c r="L3" i="1"/>
  <c r="M3" i="1"/>
  <c r="N3" i="1"/>
  <c r="O3" i="1"/>
  <c r="P3" i="1"/>
  <c r="Q3" i="1"/>
  <c r="R3" i="1"/>
  <c r="S3" i="1"/>
  <c r="T3" i="1"/>
  <c r="U3" i="1"/>
  <c r="V3" i="1"/>
  <c r="W3" i="1"/>
  <c r="X3" i="1"/>
  <c r="I3" i="1" l="1"/>
  <c r="H5" i="21"/>
  <c r="H6" i="21"/>
  <c r="H7" i="21"/>
  <c r="H8" i="21"/>
  <c r="H9" i="21"/>
  <c r="H10" i="21"/>
  <c r="H11" i="21"/>
  <c r="H12" i="21"/>
  <c r="H13" i="21"/>
  <c r="H14" i="21"/>
  <c r="H15" i="21"/>
  <c r="H16" i="21"/>
  <c r="H17" i="21"/>
  <c r="H18" i="21"/>
  <c r="H19" i="21"/>
  <c r="H20" i="21"/>
  <c r="H4" i="21"/>
  <c r="AA30" i="1"/>
  <c r="AA31" i="1"/>
  <c r="AA32" i="1" s="1"/>
  <c r="D104" i="28"/>
  <c r="E104" i="28"/>
  <c r="H109" i="28"/>
  <c r="E111" i="28" s="1"/>
  <c r="G141" i="28"/>
  <c r="S141" i="28"/>
  <c r="A144" i="28"/>
  <c r="A145" i="28" s="1"/>
  <c r="A146" i="28" s="1"/>
  <c r="A147" i="28" s="1"/>
  <c r="A148" i="28" s="1"/>
  <c r="A149" i="28" s="1"/>
  <c r="A150" i="28" s="1"/>
  <c r="A151" i="28" s="1"/>
  <c r="A152" i="28" s="1"/>
  <c r="A153" i="28" s="1"/>
  <c r="A154" i="28" s="1"/>
  <c r="A155" i="28" s="1"/>
  <c r="A156" i="28" s="1"/>
  <c r="A157" i="28" s="1"/>
  <c r="A158" i="28" s="1"/>
  <c r="A159" i="28" s="1"/>
  <c r="A160" i="28" s="1"/>
  <c r="A161" i="28" s="1"/>
  <c r="A162" i="28" s="1"/>
  <c r="A163" i="28" s="1"/>
  <c r="A164" i="28" s="1"/>
  <c r="A165" i="28" s="1"/>
  <c r="A166" i="28" s="1"/>
  <c r="B167" i="28"/>
  <c r="C167" i="28"/>
  <c r="E167" i="28"/>
  <c r="F167" i="28"/>
  <c r="G167" i="28"/>
  <c r="Q167" i="28"/>
  <c r="R167" i="28"/>
  <c r="M261" i="28" s="1"/>
  <c r="S167" i="28"/>
  <c r="N261" i="28" s="1"/>
  <c r="F168" i="28"/>
  <c r="S268" i="28"/>
  <c r="J284" i="28"/>
  <c r="J285" i="28" s="1"/>
  <c r="J286" i="28" s="1"/>
  <c r="J287" i="28" s="1"/>
  <c r="J288" i="28" s="1"/>
  <c r="J289" i="28" s="1"/>
  <c r="J290" i="28" s="1"/>
  <c r="J291" i="28" s="1"/>
  <c r="J292" i="28" s="1"/>
  <c r="J293" i="28" s="1"/>
  <c r="J294" i="28" s="1"/>
  <c r="J295" i="28" s="1"/>
  <c r="J296" i="28" s="1"/>
  <c r="J297" i="28" s="1"/>
  <c r="J298" i="28" s="1"/>
  <c r="J299" i="28" s="1"/>
  <c r="J300" i="28" s="1"/>
  <c r="J301" i="28" s="1"/>
  <c r="J302" i="28" s="1"/>
  <c r="J303" i="28" s="1"/>
  <c r="J304" i="28" s="1"/>
  <c r="J305" i="28" s="1"/>
  <c r="J306" i="28" s="1"/>
  <c r="AA33" i="1" l="1"/>
  <c r="AA35" i="1"/>
  <c r="I31" i="1" l="1"/>
  <c r="I32" i="1"/>
  <c r="I34" i="1" s="1"/>
  <c r="I33" i="1"/>
  <c r="I35" i="1"/>
  <c r="I30" i="1"/>
  <c r="D24" i="32"/>
  <c r="E9" i="32"/>
  <c r="G4" i="32"/>
  <c r="F4" i="32"/>
  <c r="E4" i="32"/>
  <c r="C10" i="32"/>
  <c r="A10" i="32"/>
  <c r="C9" i="32"/>
  <c r="A9" i="32"/>
  <c r="A1" i="32"/>
  <c r="I69" i="32"/>
  <c r="E141" i="2"/>
  <c r="D141" i="2"/>
  <c r="C141" i="2"/>
  <c r="B141" i="2"/>
  <c r="E140" i="2"/>
  <c r="D140" i="2"/>
  <c r="C140" i="2"/>
  <c r="B140" i="2"/>
  <c r="E137" i="2"/>
  <c r="D137" i="2"/>
  <c r="C137" i="2"/>
  <c r="B137" i="2"/>
  <c r="E135" i="2"/>
  <c r="D135" i="2"/>
  <c r="C135" i="2"/>
  <c r="B135" i="2"/>
  <c r="E133" i="2"/>
  <c r="D133" i="2"/>
  <c r="C133" i="2"/>
  <c r="B133" i="2"/>
  <c r="J21" i="1"/>
  <c r="K21" i="1"/>
  <c r="L21" i="1"/>
  <c r="M21" i="1"/>
  <c r="N21" i="1"/>
  <c r="O21" i="1"/>
  <c r="P21" i="1"/>
  <c r="Q21" i="1"/>
  <c r="R21" i="1"/>
  <c r="S21" i="1"/>
  <c r="T21" i="1"/>
  <c r="U21" i="1"/>
  <c r="V21" i="1"/>
  <c r="W21" i="1"/>
  <c r="X21" i="1"/>
  <c r="I21" i="1"/>
  <c r="J15" i="1"/>
  <c r="K15" i="1"/>
  <c r="L15" i="1"/>
  <c r="M15" i="1"/>
  <c r="N15" i="1"/>
  <c r="O15" i="1"/>
  <c r="P15" i="1"/>
  <c r="Q15" i="1"/>
  <c r="R15" i="1"/>
  <c r="S15" i="1"/>
  <c r="T15" i="1"/>
  <c r="U15" i="1"/>
  <c r="V15" i="1"/>
  <c r="W15" i="1"/>
  <c r="X15" i="1"/>
  <c r="I15" i="1"/>
  <c r="J1" i="21"/>
  <c r="A1" i="21"/>
  <c r="E4" i="29"/>
  <c r="A1" i="20"/>
  <c r="S18" i="20"/>
  <c r="U18" i="20" s="1"/>
  <c r="S17" i="20"/>
  <c r="U17" i="20" s="1"/>
  <c r="S16" i="20"/>
  <c r="T16" i="20" s="1"/>
  <c r="S15" i="20"/>
  <c r="U15" i="20" s="1"/>
  <c r="S14" i="20"/>
  <c r="U14" i="20" s="1"/>
  <c r="S13" i="20"/>
  <c r="T13" i="20" s="1"/>
  <c r="S12" i="20"/>
  <c r="T12" i="20" s="1"/>
  <c r="S11" i="20"/>
  <c r="U11" i="20" s="1"/>
  <c r="S10" i="20"/>
  <c r="U10" i="20" s="1"/>
  <c r="S9" i="20"/>
  <c r="U9" i="20" s="1"/>
  <c r="S8" i="20"/>
  <c r="U8" i="20" s="1"/>
  <c r="S7" i="20"/>
  <c r="U7" i="20" s="1"/>
  <c r="S6" i="20"/>
  <c r="U6" i="20" s="1"/>
  <c r="S5" i="20"/>
  <c r="U5" i="20" s="1"/>
  <c r="S4" i="20"/>
  <c r="T4" i="20" s="1"/>
  <c r="S3" i="20"/>
  <c r="U3" i="20" s="1"/>
  <c r="K18" i="20"/>
  <c r="J18" i="20"/>
  <c r="K17" i="20"/>
  <c r="J17" i="20"/>
  <c r="L17" i="20" s="1"/>
  <c r="K16" i="20"/>
  <c r="J16" i="20"/>
  <c r="K15" i="20"/>
  <c r="J15" i="20"/>
  <c r="L15" i="20" s="1"/>
  <c r="K14" i="20"/>
  <c r="J14" i="20"/>
  <c r="K13" i="20"/>
  <c r="J13" i="20"/>
  <c r="K12" i="20"/>
  <c r="J12" i="20"/>
  <c r="L12" i="20" s="1"/>
  <c r="K11" i="20"/>
  <c r="J11" i="20"/>
  <c r="L11" i="20" s="1"/>
  <c r="K10" i="20"/>
  <c r="J10" i="20"/>
  <c r="L10" i="20" s="1"/>
  <c r="K9" i="20"/>
  <c r="J9" i="20"/>
  <c r="L9" i="20" s="1"/>
  <c r="K8" i="20"/>
  <c r="J8" i="20"/>
  <c r="K7" i="20"/>
  <c r="J7" i="20"/>
  <c r="L7" i="20" s="1"/>
  <c r="K6" i="20"/>
  <c r="J6" i="20"/>
  <c r="L6" i="20" s="1"/>
  <c r="K5" i="20"/>
  <c r="J5" i="20"/>
  <c r="L5" i="20" s="1"/>
  <c r="K4" i="20"/>
  <c r="J4" i="20"/>
  <c r="K3" i="20"/>
  <c r="J3" i="20"/>
  <c r="I22" i="1" l="1"/>
  <c r="F10" i="32"/>
  <c r="G10" i="32" s="1"/>
  <c r="D27" i="32"/>
  <c r="D28" i="32" s="1"/>
  <c r="U13" i="20"/>
  <c r="L16" i="20"/>
  <c r="L13" i="20"/>
  <c r="V13" i="20"/>
  <c r="T18" i="20"/>
  <c r="L3" i="20"/>
  <c r="V18" i="20"/>
  <c r="T9" i="20"/>
  <c r="V9" i="20" s="1"/>
  <c r="T15" i="20"/>
  <c r="V15" i="20" s="1"/>
  <c r="U4" i="20"/>
  <c r="V4" i="20" s="1"/>
  <c r="T10" i="20"/>
  <c r="V10" i="20" s="1"/>
  <c r="U16" i="20"/>
  <c r="V16" i="20" s="1"/>
  <c r="T11" i="20"/>
  <c r="V11" i="20" s="1"/>
  <c r="T6" i="20"/>
  <c r="V6" i="20" s="1"/>
  <c r="U12" i="20"/>
  <c r="V12" i="20" s="1"/>
  <c r="T8" i="20"/>
  <c r="V8" i="20" s="1"/>
  <c r="T3" i="20"/>
  <c r="V3" i="20" s="1"/>
  <c r="T14" i="20"/>
  <c r="V14" i="20" s="1"/>
  <c r="T5" i="20"/>
  <c r="V5" i="20" s="1"/>
  <c r="T17" i="20"/>
  <c r="V17" i="20" s="1"/>
  <c r="T7" i="20"/>
  <c r="V7" i="20" s="1"/>
  <c r="L14" i="20"/>
  <c r="L4" i="20"/>
  <c r="L18" i="20"/>
  <c r="L8" i="20"/>
  <c r="F62" i="28" l="1"/>
  <c r="F63" i="28"/>
  <c r="F64" i="28"/>
  <c r="G62" i="28"/>
  <c r="H62" i="28"/>
  <c r="I62" i="28"/>
  <c r="J62" i="28"/>
  <c r="K62" i="28"/>
  <c r="L62" i="28"/>
  <c r="M62" i="28"/>
  <c r="N62" i="28"/>
  <c r="O62" i="28"/>
  <c r="P62" i="28"/>
  <c r="Q62" i="28"/>
  <c r="R62" i="28"/>
  <c r="S62" i="28"/>
  <c r="T62" i="28"/>
  <c r="U62" i="28"/>
  <c r="V62" i="28"/>
  <c r="W62" i="28"/>
  <c r="X62" i="28"/>
  <c r="Y62" i="28"/>
  <c r="Z62" i="28"/>
  <c r="AA62" i="28"/>
  <c r="AB62" i="28"/>
  <c r="AC62" i="28"/>
  <c r="G63" i="28"/>
  <c r="H63" i="28"/>
  <c r="I63" i="28"/>
  <c r="J63" i="28"/>
  <c r="K63" i="28"/>
  <c r="L63" i="28"/>
  <c r="M63" i="28"/>
  <c r="N63" i="28"/>
  <c r="O63" i="28"/>
  <c r="P63" i="28"/>
  <c r="Q63" i="28"/>
  <c r="R63" i="28"/>
  <c r="S63" i="28"/>
  <c r="T63" i="28"/>
  <c r="U63" i="28"/>
  <c r="V63" i="28"/>
  <c r="W63" i="28"/>
  <c r="X63" i="28"/>
  <c r="Y63" i="28"/>
  <c r="Z63" i="28"/>
  <c r="AA63" i="28"/>
  <c r="AB63" i="28"/>
  <c r="AC63" i="28"/>
  <c r="G64" i="28"/>
  <c r="H64" i="28"/>
  <c r="I64" i="28"/>
  <c r="J64" i="28"/>
  <c r="K64" i="28"/>
  <c r="L64" i="28"/>
  <c r="M64" i="28"/>
  <c r="N64" i="28"/>
  <c r="O64" i="28"/>
  <c r="P64" i="28"/>
  <c r="Q64" i="28"/>
  <c r="R64" i="28"/>
  <c r="S64" i="28"/>
  <c r="T64" i="28"/>
  <c r="U64" i="28"/>
  <c r="V64" i="28"/>
  <c r="W64" i="28"/>
  <c r="X64" i="28"/>
  <c r="Y64" i="28"/>
  <c r="Z64" i="28"/>
  <c r="AA64" i="28"/>
  <c r="AB64" i="28"/>
  <c r="AC64" i="28"/>
  <c r="G65" i="28"/>
  <c r="H65" i="28"/>
  <c r="I65" i="28"/>
  <c r="J65" i="28"/>
  <c r="K65" i="28"/>
  <c r="L65" i="28"/>
  <c r="M65" i="28"/>
  <c r="N65" i="28"/>
  <c r="O65" i="28"/>
  <c r="P65" i="28"/>
  <c r="Q65" i="28"/>
  <c r="R65" i="28"/>
  <c r="S65" i="28"/>
  <c r="T65" i="28"/>
  <c r="U65" i="28"/>
  <c r="V65" i="28"/>
  <c r="W65" i="28"/>
  <c r="X65" i="28"/>
  <c r="Y65" i="28"/>
  <c r="Z65" i="28"/>
  <c r="AA65" i="28"/>
  <c r="AB65" i="28"/>
  <c r="AC65" i="28"/>
  <c r="G66" i="28"/>
  <c r="H66" i="28"/>
  <c r="I66" i="28"/>
  <c r="J66" i="28"/>
  <c r="K66" i="28"/>
  <c r="L66" i="28"/>
  <c r="M66" i="28"/>
  <c r="N66" i="28"/>
  <c r="O66" i="28"/>
  <c r="P66" i="28"/>
  <c r="Q66" i="28"/>
  <c r="R66" i="28"/>
  <c r="S66" i="28"/>
  <c r="T66" i="28"/>
  <c r="U66" i="28"/>
  <c r="V66" i="28"/>
  <c r="W66" i="28"/>
  <c r="X66" i="28"/>
  <c r="Y66" i="28"/>
  <c r="Z66" i="28"/>
  <c r="AA66" i="28"/>
  <c r="AB66" i="28"/>
  <c r="AC66" i="28"/>
  <c r="G67" i="28"/>
  <c r="H67" i="28"/>
  <c r="I67" i="28"/>
  <c r="J67" i="28"/>
  <c r="K67" i="28"/>
  <c r="L67" i="28"/>
  <c r="M67" i="28"/>
  <c r="N67" i="28"/>
  <c r="O67" i="28"/>
  <c r="P67" i="28"/>
  <c r="Q67" i="28"/>
  <c r="R67" i="28"/>
  <c r="S67" i="28"/>
  <c r="T67" i="28"/>
  <c r="U67" i="28"/>
  <c r="V67" i="28"/>
  <c r="W67" i="28"/>
  <c r="X67" i="28"/>
  <c r="Y67" i="28"/>
  <c r="Z67" i="28"/>
  <c r="AA67" i="28"/>
  <c r="AB67" i="28"/>
  <c r="AC67" i="28"/>
  <c r="F66" i="28"/>
  <c r="F67" i="28"/>
  <c r="F65" i="28"/>
  <c r="A62" i="28"/>
  <c r="B62" i="28"/>
  <c r="A65" i="28"/>
  <c r="B65" i="28"/>
  <c r="M35" i="28"/>
  <c r="N35" i="28"/>
  <c r="O35" i="28"/>
  <c r="P35" i="28"/>
  <c r="Q35" i="28"/>
  <c r="R35" i="28"/>
  <c r="S35" i="28"/>
  <c r="T35" i="28"/>
  <c r="U35" i="28"/>
  <c r="V35" i="28"/>
  <c r="W35" i="28"/>
  <c r="X35" i="28"/>
  <c r="Y35" i="28"/>
  <c r="Z35" i="28"/>
  <c r="AA35" i="28"/>
  <c r="AB35" i="28"/>
  <c r="F36" i="28"/>
  <c r="K36" i="28"/>
  <c r="M36" i="28"/>
  <c r="N36" i="28"/>
  <c r="O36" i="28"/>
  <c r="P36" i="28"/>
  <c r="Q36" i="28"/>
  <c r="R36" i="28"/>
  <c r="S36" i="28"/>
  <c r="T36" i="28"/>
  <c r="U36" i="28"/>
  <c r="V36" i="28"/>
  <c r="W36" i="28"/>
  <c r="X36" i="28"/>
  <c r="Y36" i="28"/>
  <c r="Z36" i="28"/>
  <c r="AA36" i="28"/>
  <c r="AB36" i="28"/>
  <c r="M37" i="28"/>
  <c r="N37" i="28"/>
  <c r="O37" i="28"/>
  <c r="P37" i="28"/>
  <c r="Q37" i="28"/>
  <c r="R37" i="28"/>
  <c r="S37" i="28"/>
  <c r="T37" i="28"/>
  <c r="U37" i="28"/>
  <c r="V37" i="28"/>
  <c r="W37" i="28"/>
  <c r="X37" i="28"/>
  <c r="Y37" i="28"/>
  <c r="Z37" i="28"/>
  <c r="AA37" i="28"/>
  <c r="AB37" i="28"/>
  <c r="G28" i="28" l="1"/>
  <c r="H28" i="28"/>
  <c r="I28" i="28"/>
  <c r="J28" i="28"/>
  <c r="K28" i="28"/>
  <c r="L28" i="28"/>
  <c r="M28" i="28"/>
  <c r="N28" i="28"/>
  <c r="O28" i="28"/>
  <c r="P28" i="28"/>
  <c r="Q28" i="28"/>
  <c r="R28" i="28"/>
  <c r="S28" i="28"/>
  <c r="T28" i="28"/>
  <c r="U28" i="28"/>
  <c r="V28" i="28"/>
  <c r="W28" i="28"/>
  <c r="X28" i="28"/>
  <c r="Y28" i="28"/>
  <c r="Z28" i="28"/>
  <c r="AA28" i="28"/>
  <c r="AB28" i="28"/>
  <c r="AC28" i="28"/>
  <c r="G29" i="28"/>
  <c r="H29" i="28"/>
  <c r="I29" i="28"/>
  <c r="J29" i="28"/>
  <c r="K29" i="28"/>
  <c r="L29" i="28"/>
  <c r="M29" i="28"/>
  <c r="N29" i="28"/>
  <c r="O29" i="28"/>
  <c r="P29" i="28"/>
  <c r="Q29" i="28"/>
  <c r="R29" i="28"/>
  <c r="S29" i="28"/>
  <c r="T29" i="28"/>
  <c r="U29" i="28"/>
  <c r="V29" i="28"/>
  <c r="W29" i="28"/>
  <c r="X29" i="28"/>
  <c r="Y29" i="28"/>
  <c r="Z29" i="28"/>
  <c r="AA29" i="28"/>
  <c r="AB29" i="28"/>
  <c r="AC29" i="28"/>
  <c r="G30" i="28"/>
  <c r="H30" i="28"/>
  <c r="I30" i="28"/>
  <c r="J30" i="28"/>
  <c r="K30" i="28"/>
  <c r="L30" i="28"/>
  <c r="M30" i="28"/>
  <c r="N30" i="28"/>
  <c r="O30" i="28"/>
  <c r="P30" i="28"/>
  <c r="Q30" i="28"/>
  <c r="R30" i="28"/>
  <c r="S30" i="28"/>
  <c r="T30" i="28"/>
  <c r="U30" i="28"/>
  <c r="V30" i="28"/>
  <c r="W30" i="28"/>
  <c r="X30" i="28"/>
  <c r="Y30" i="28"/>
  <c r="Z30" i="28"/>
  <c r="AA30" i="28"/>
  <c r="AB30" i="28"/>
  <c r="AC30" i="28"/>
  <c r="F29" i="28"/>
  <c r="F30" i="28"/>
  <c r="F28" i="28"/>
  <c r="F25" i="28"/>
  <c r="G25" i="28"/>
  <c r="F26" i="28"/>
  <c r="G26" i="28"/>
  <c r="F27" i="28"/>
  <c r="G27" i="28"/>
  <c r="H25" i="28"/>
  <c r="I25" i="28"/>
  <c r="J25" i="28"/>
  <c r="K25" i="28"/>
  <c r="L25" i="28"/>
  <c r="M25" i="28"/>
  <c r="N25" i="28"/>
  <c r="O25" i="28"/>
  <c r="P25" i="28"/>
  <c r="Q25" i="28"/>
  <c r="R25" i="28"/>
  <c r="S25" i="28"/>
  <c r="T25" i="28"/>
  <c r="U25" i="28"/>
  <c r="V25" i="28"/>
  <c r="W25" i="28"/>
  <c r="X25" i="28"/>
  <c r="Y25" i="28"/>
  <c r="Z25" i="28"/>
  <c r="AA25" i="28"/>
  <c r="AB25" i="28"/>
  <c r="AC25" i="28"/>
  <c r="H26" i="28"/>
  <c r="I26" i="28"/>
  <c r="J26" i="28"/>
  <c r="K26" i="28"/>
  <c r="L26" i="28"/>
  <c r="M26" i="28"/>
  <c r="N26" i="28"/>
  <c r="O26" i="28"/>
  <c r="P26" i="28"/>
  <c r="Q26" i="28"/>
  <c r="R26" i="28"/>
  <c r="S26" i="28"/>
  <c r="T26" i="28"/>
  <c r="U26" i="28"/>
  <c r="V26" i="28"/>
  <c r="W26" i="28"/>
  <c r="X26" i="28"/>
  <c r="Y26" i="28"/>
  <c r="Z26" i="28"/>
  <c r="AA26" i="28"/>
  <c r="AB26" i="28"/>
  <c r="AC26" i="28"/>
  <c r="H27" i="28"/>
  <c r="I27" i="28"/>
  <c r="J27" i="28"/>
  <c r="K27" i="28"/>
  <c r="L27" i="28"/>
  <c r="M27" i="28"/>
  <c r="N27" i="28"/>
  <c r="O27" i="28"/>
  <c r="P27" i="28"/>
  <c r="Q27" i="28"/>
  <c r="R27" i="28"/>
  <c r="S27" i="28"/>
  <c r="T27" i="28"/>
  <c r="U27" i="28"/>
  <c r="V27" i="28"/>
  <c r="W27" i="28"/>
  <c r="X27" i="28"/>
  <c r="Y27" i="28"/>
  <c r="Z27" i="28"/>
  <c r="AA27" i="28"/>
  <c r="AB27" i="28"/>
  <c r="AC27" i="28"/>
  <c r="B28" i="28"/>
  <c r="A28" i="28"/>
  <c r="B25" i="28"/>
  <c r="A25" i="28"/>
  <c r="A19" i="28"/>
  <c r="A13" i="28"/>
  <c r="A10" i="28"/>
  <c r="AB9" i="28"/>
  <c r="AA9" i="28"/>
  <c r="Z9" i="28"/>
  <c r="Y9" i="28"/>
  <c r="X9" i="28"/>
  <c r="W9" i="28"/>
  <c r="V9" i="28"/>
  <c r="U9" i="28"/>
  <c r="T9" i="28"/>
  <c r="S9" i="28"/>
  <c r="R9" i="28"/>
  <c r="Q9" i="28"/>
  <c r="P9" i="28"/>
  <c r="O9" i="28"/>
  <c r="N9" i="28"/>
  <c r="M9" i="28"/>
  <c r="AB8" i="28"/>
  <c r="AA8" i="28"/>
  <c r="Z8" i="28"/>
  <c r="Y8" i="28"/>
  <c r="X8" i="28"/>
  <c r="W8" i="28"/>
  <c r="V8" i="28"/>
  <c r="U8" i="28"/>
  <c r="T8" i="28"/>
  <c r="S8" i="28"/>
  <c r="R8" i="28"/>
  <c r="Q8" i="28"/>
  <c r="P8" i="28"/>
  <c r="O8" i="28"/>
  <c r="N8" i="28"/>
  <c r="M8" i="28"/>
  <c r="K8" i="28"/>
  <c r="F8" i="28"/>
  <c r="AB7" i="28"/>
  <c r="AA7" i="28"/>
  <c r="Z7" i="28"/>
  <c r="Y7" i="28"/>
  <c r="X7" i="28"/>
  <c r="W7" i="28"/>
  <c r="V7" i="28"/>
  <c r="U7" i="28"/>
  <c r="T7" i="28"/>
  <c r="S7" i="28"/>
  <c r="R7" i="28"/>
  <c r="Q7" i="28"/>
  <c r="P7" i="28"/>
  <c r="O7" i="28"/>
  <c r="N7" i="28"/>
  <c r="M7" i="28"/>
  <c r="A7" i="28"/>
  <c r="A16" i="28" l="1"/>
  <c r="A22" i="28"/>
  <c r="A5" i="18"/>
  <c r="A5" i="29"/>
  <c r="A6" i="25"/>
  <c r="H6" i="13"/>
  <c r="A5" i="25"/>
  <c r="A4" i="25"/>
  <c r="A4" i="29"/>
  <c r="A3" i="29"/>
  <c r="C76" i="2"/>
  <c r="E76" i="2"/>
  <c r="A1" i="18"/>
  <c r="I3" i="18" l="1"/>
  <c r="I4" i="1" l="1"/>
  <c r="B23" i="18" l="1"/>
  <c r="B24" i="18" s="1"/>
  <c r="D12" i="18"/>
  <c r="E12" i="18" s="1"/>
  <c r="Q16" i="1" l="1"/>
  <c r="R16" i="1"/>
  <c r="S16" i="1"/>
  <c r="T16" i="1"/>
  <c r="U16" i="1"/>
  <c r="V16" i="1"/>
  <c r="W16" i="1"/>
  <c r="X16" i="1"/>
  <c r="J16" i="1"/>
  <c r="K16" i="1"/>
  <c r="L16" i="1"/>
  <c r="M16" i="1"/>
  <c r="N16" i="1"/>
  <c r="O16" i="1"/>
  <c r="P16" i="1"/>
  <c r="I16" i="1"/>
  <c r="I19" i="1" s="1" a="1"/>
  <c r="I19" i="1" s="1"/>
  <c r="J22" i="1"/>
  <c r="P22" i="1"/>
  <c r="Q22" i="1"/>
  <c r="R22" i="1"/>
  <c r="S22" i="1"/>
  <c r="T22" i="1"/>
  <c r="U22" i="1"/>
  <c r="V22" i="1"/>
  <c r="W22" i="1"/>
  <c r="X22" i="1"/>
  <c r="K22" i="1"/>
  <c r="L22" i="1"/>
  <c r="M22" i="1"/>
  <c r="N22" i="1"/>
  <c r="O22" i="1"/>
  <c r="I25" i="1" l="1" a="1"/>
  <c r="I25" i="1" s="1"/>
  <c r="J4" i="1"/>
  <c r="K4" i="1"/>
  <c r="L4" i="1"/>
  <c r="M4" i="1"/>
  <c r="N4" i="1"/>
  <c r="O4" i="1"/>
  <c r="P4" i="1"/>
  <c r="Q4" i="1"/>
  <c r="R4" i="1"/>
  <c r="S4" i="1"/>
  <c r="T4" i="1"/>
  <c r="U4" i="1"/>
  <c r="V4" i="1"/>
  <c r="W4" i="1"/>
  <c r="X4" i="1"/>
  <c r="B57" i="1"/>
  <c r="I7" i="1" l="1" a="1"/>
  <c r="I7" i="1" s="1"/>
  <c r="B59" i="1"/>
  <c r="B58" i="1"/>
  <c r="G12" i="9"/>
  <c r="B23" i="9"/>
  <c r="C14" i="9" s="1"/>
  <c r="E55" i="1" l="1"/>
  <c r="E56" i="1"/>
  <c r="G3" i="13"/>
  <c r="K4" i="13"/>
  <c r="D10" i="32" s="1"/>
  <c r="K5" i="13"/>
  <c r="K3" i="13"/>
  <c r="D9" i="32" s="1"/>
  <c r="F9" i="32" s="1"/>
  <c r="F11" i="32" s="1"/>
  <c r="I4" i="13"/>
  <c r="I5" i="13"/>
  <c r="I3" i="13"/>
  <c r="F50" i="32" l="1"/>
  <c r="F51" i="32"/>
  <c r="F52" i="32"/>
  <c r="F53" i="32"/>
  <c r="F54" i="32"/>
  <c r="F55" i="32"/>
  <c r="F56" i="32"/>
  <c r="F57" i="32"/>
  <c r="F58" i="32"/>
  <c r="F59" i="32"/>
  <c r="F60" i="32"/>
  <c r="F61" i="32"/>
  <c r="F62" i="32"/>
  <c r="F63" i="32"/>
  <c r="F64" i="32"/>
  <c r="C50" i="32"/>
  <c r="C51" i="32"/>
  <c r="C52" i="32"/>
  <c r="C53" i="32"/>
  <c r="C54" i="32"/>
  <c r="C55" i="32"/>
  <c r="C56" i="32"/>
  <c r="C57" i="32"/>
  <c r="C58" i="32"/>
  <c r="C59" i="32"/>
  <c r="C60" i="32"/>
  <c r="C61" i="32"/>
  <c r="C62" i="32"/>
  <c r="C63" i="32"/>
  <c r="C64" i="32"/>
  <c r="F49" i="32"/>
  <c r="C49" i="32"/>
  <c r="F12" i="32"/>
  <c r="G9" i="32"/>
  <c r="I6" i="13"/>
  <c r="G4" i="13"/>
  <c r="G6" i="13" s="1"/>
  <c r="D56" i="32" l="1"/>
  <c r="E56" i="32" s="1"/>
  <c r="G56" i="32" s="1"/>
  <c r="I56" i="32" s="1"/>
  <c r="D57" i="32"/>
  <c r="E57" i="32" s="1"/>
  <c r="G57" i="32" s="1"/>
  <c r="I57" i="32" s="1"/>
  <c r="D54" i="32"/>
  <c r="E54" i="32" s="1"/>
  <c r="G54" i="32" s="1"/>
  <c r="I54" i="32" s="1"/>
  <c r="D63" i="32"/>
  <c r="E63" i="32" s="1"/>
  <c r="G63" i="32" s="1"/>
  <c r="I63" i="32" s="1"/>
  <c r="D53" i="32"/>
  <c r="E53" i="32" s="1"/>
  <c r="G53" i="32" s="1"/>
  <c r="I53" i="32" s="1"/>
  <c r="D52" i="32"/>
  <c r="E52" i="32" s="1"/>
  <c r="G52" i="32" s="1"/>
  <c r="I52" i="32" s="1"/>
  <c r="D59" i="32"/>
  <c r="E59" i="32" s="1"/>
  <c r="G59" i="32" s="1"/>
  <c r="I59" i="32" s="1"/>
  <c r="D49" i="32"/>
  <c r="E49" i="32" s="1"/>
  <c r="G49" i="32" s="1"/>
  <c r="I49" i="32" s="1"/>
  <c r="D55" i="32"/>
  <c r="E55" i="32" s="1"/>
  <c r="G55" i="32" s="1"/>
  <c r="I55" i="32" s="1"/>
  <c r="D62" i="32"/>
  <c r="E62" i="32" s="1"/>
  <c r="G62" i="32" s="1"/>
  <c r="I62" i="32" s="1"/>
  <c r="D51" i="32"/>
  <c r="E51" i="32" s="1"/>
  <c r="G51" i="32" s="1"/>
  <c r="I51" i="32" s="1"/>
  <c r="D61" i="32"/>
  <c r="E61" i="32" s="1"/>
  <c r="G61" i="32" s="1"/>
  <c r="I61" i="32" s="1"/>
  <c r="D64" i="32"/>
  <c r="E64" i="32" s="1"/>
  <c r="G64" i="32" s="1"/>
  <c r="I64" i="32" s="1"/>
  <c r="D60" i="32"/>
  <c r="E60" i="32" s="1"/>
  <c r="G60" i="32" s="1"/>
  <c r="I60" i="32" s="1"/>
  <c r="D50" i="32"/>
  <c r="E50" i="32" s="1"/>
  <c r="G50" i="32" s="1"/>
  <c r="I50" i="32" s="1"/>
  <c r="D58" i="32"/>
  <c r="E58" i="32" s="1"/>
  <c r="G58" i="32" s="1"/>
  <c r="I58" i="32" s="1"/>
  <c r="A1" i="14"/>
  <c r="D13" i="25"/>
  <c r="E58" i="1" l="1"/>
  <c r="A1" i="13" l="1"/>
  <c r="J9" i="1" l="1"/>
  <c r="K9" i="1"/>
  <c r="L9" i="1"/>
  <c r="M9" i="1"/>
  <c r="N9" i="1"/>
  <c r="O9" i="1"/>
  <c r="P9" i="1"/>
  <c r="Q9" i="1"/>
  <c r="R9" i="1"/>
  <c r="S9" i="1"/>
  <c r="T9" i="1"/>
  <c r="U9" i="1"/>
  <c r="V9" i="1"/>
  <c r="W9" i="1"/>
  <c r="X9" i="1"/>
  <c r="I9" i="1"/>
  <c r="I13" i="1" s="1" a="1"/>
  <c r="I13" i="1" s="1"/>
  <c r="A1" i="28"/>
  <c r="C4" i="18" l="1"/>
  <c r="B4" i="18"/>
  <c r="G4" i="18" s="1"/>
  <c r="H4" i="18" l="1"/>
  <c r="I4" i="18"/>
  <c r="G10" i="9"/>
  <c r="G14" i="9"/>
  <c r="J4" i="18" l="1"/>
  <c r="B24" i="9"/>
  <c r="A1" i="22"/>
  <c r="A1" i="27"/>
  <c r="A1" i="29"/>
  <c r="A1" i="9"/>
  <c r="A1" i="25"/>
  <c r="A1" i="30"/>
  <c r="A1" i="1"/>
  <c r="C11" i="9" l="1"/>
  <c r="G11" i="9" s="1"/>
  <c r="C15" i="9"/>
  <c r="G15" i="9" s="1"/>
  <c r="C16" i="9"/>
  <c r="G16" i="9" s="1"/>
  <c r="C13" i="9"/>
  <c r="G13" i="9" s="1"/>
  <c r="G18" i="9" l="1"/>
  <c r="B3" i="9" s="1"/>
  <c r="G17" i="9"/>
  <c r="A3" i="9" s="1"/>
  <c r="G19" i="9" l="1"/>
  <c r="C3" i="9"/>
  <c r="C3" i="18"/>
  <c r="H3" i="18" s="1"/>
  <c r="D12" i="25"/>
  <c r="D14" i="25" l="1"/>
  <c r="A4" i="18"/>
  <c r="A3" i="18"/>
  <c r="B3" i="18" l="1"/>
  <c r="G3" i="18" s="1"/>
  <c r="J3" i="1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<sst xmlns="http://schemas.openxmlformats.org/spreadsheetml/2006/main" count="1950" uniqueCount="1014">
  <si>
    <t>Data Sources</t>
  </si>
  <si>
    <t>Dataset</t>
  </si>
  <si>
    <t>Dodge 2023</t>
  </si>
  <si>
    <t xml:space="preserve"> </t>
  </si>
  <si>
    <t>CEUS 2022</t>
  </si>
  <si>
    <t>CBECS 2018</t>
  </si>
  <si>
    <t>ComStock 2023</t>
  </si>
  <si>
    <t>Prototype</t>
  </si>
  <si>
    <r>
      <t>CEC prototype</t>
    </r>
    <r>
      <rPr>
        <sz val="10"/>
        <rFont val="Arial"/>
        <family val="2"/>
      </rPr>
      <t xml:space="preserve"> (CBECC 2022.3.1)</t>
    </r>
  </si>
  <si>
    <t>https://bees.noresco.com/software2022.html</t>
  </si>
  <si>
    <t>PNNL prototype (90.1-2022)</t>
  </si>
  <si>
    <t>https://www.energycodes.gov/prototype-building-models#Commercial</t>
  </si>
  <si>
    <t>DEER prototype (June 2023)</t>
  </si>
  <si>
    <t>https://github.com/sound-data/DEER-Prototypes-EnergyPlus</t>
  </si>
  <si>
    <t>Codes</t>
  </si>
  <si>
    <t>Title 24, part 6, referred to as T24 (1986, 1992, 2001, 2007, 2013, 2016, 2019, 2022, 2025)</t>
  </si>
  <si>
    <t>ASHRAE 90.1 (2022)</t>
  </si>
  <si>
    <t>CFR Title 10 (2009)</t>
  </si>
  <si>
    <t>https://www.govinfo.gov/content/pkg/FR-2009-03-23/pdf/FR-2009-03-23.pdf</t>
  </si>
  <si>
    <t>CFR Title 10 ( 2013)</t>
  </si>
  <si>
    <t>https://www.govinfo.gov/content/pkg/CFR-2013-title10-vol3/pdf/CFR-2013-title10-vol3-part431.pdf</t>
  </si>
  <si>
    <t>CFR Title 10 ( 2024)</t>
  </si>
  <si>
    <t>https://www.govinfo.gov/content/pkg/CFR-2024-title10-vol3/pdf/CFR-2024-title10-vol3-part431-subpartF.pdf</t>
  </si>
  <si>
    <t>Others</t>
  </si>
  <si>
    <t>ACM (2013, 2019, 2022, 2025)</t>
  </si>
  <si>
    <t>Title 24, 2022 - Appendix 5.4A and Appendix 5.4B</t>
  </si>
  <si>
    <t>https://www.energy.ca.gov/publications/2022/2022-nonresidential-and-multifamily-alternative-calculation-method-reference</t>
  </si>
  <si>
    <t xml:space="preserve">2022 Reduced infiltration CASE report </t>
  </si>
  <si>
    <t>https://title24stakeholders.com/wp-content/uploads/2020/10/2022-T24-Final-CASE-Report_Reduce-Infiltration.pdf</t>
  </si>
  <si>
    <t>2019 Outdoor Lighting CASE Report</t>
  </si>
  <si>
    <t>https://title24stakeholders.com/wp-content/uploads/2016/10/T24-2019-CASE-Study-Results-Report-Outdoor-Sources_Final_with-Attachments.pdf</t>
  </si>
  <si>
    <t>PNNL 20405, 2011</t>
  </si>
  <si>
    <t>https://www.pnnl.gov/main/publications/external/technical_reports/PNNL-20405.pdf</t>
  </si>
  <si>
    <t>Air leakage Memo, NORESCO, 2025</t>
  </si>
  <si>
    <t>https://2050partners.sharepoint.com/:w:/r/sites/CalBEMCollaborativeEfforts/_layouts/15/Doc.aspx?sourcedoc=%7B3BEF8F74-7FAC-44F2-A70C-D76617660066%7D&amp;file=Infiltration_rate_report_14May2025-Short-Version.docx&amp;action=default&amp;mobileredirect=true</t>
  </si>
  <si>
    <t>Yousefi, F., Athalye, R., (2025), "Determining Vintage Bins for Prototype Development: An Analysis of California Commercial Buildings," ASHRAE Annual Conference</t>
  </si>
  <si>
    <t>https://www.thefreelibrary.com/Determining+Vintage+Bins+for+Prototype+Development%3a+An+Analysis+of...-a0879271125</t>
  </si>
  <si>
    <t>Design Guide: Advanced Water Heating for Foodservice (20232) (by GTI and Frontier funded by SoCalGas and Pacific Gas and Electric Company</t>
  </si>
  <si>
    <t>https://caenergywise.com/design-guides/hot-water/Technical_Design_Guide.pdf</t>
  </si>
  <si>
    <t>Design Guide 1 : Improving Commercial Kitchen Ventilation System Performance : Selecting &amp; Sizing Exhaust Hoods referred as CKV (2004) (by SCE)</t>
  </si>
  <si>
    <t>https://www.streivor.com/wp-content/uploads/2020/11/CKV-Design-Guide-1-Selecting-and-Sizing-Exhaust-Hoods.pdf</t>
  </si>
  <si>
    <t>Proposed Updates to Equipment Power Densities and Building Schedules for the 2028 Energy Code, referred to as "Plug load and schedules project with CEC, 2025" (Docket Number =25-BSTD-03  &amp; TN=265693)</t>
  </si>
  <si>
    <t>https://efiling.energy.ca.gov/GetDocument.aspx?tn=265693&amp;DocumentContentId=102545</t>
  </si>
  <si>
    <t xml:space="preserve">ENERGY STAR certified commercial water heaters </t>
  </si>
  <si>
    <t>https://www.energystar.gov/productfinder/product/certified-commercial-water-heaters/results?fuel_filter=Gas&amp;markets_filter=United+States</t>
  </si>
  <si>
    <t>Grainger gas tank water heaters (sizes below commercial, e.g. 30–75 kBtu/h)</t>
  </si>
  <si>
    <t>https://www.grainger.com/category/plumbing/water-heaters/gas-tank-water-heaters</t>
  </si>
  <si>
    <t xml:space="preserve">Grainger electric tank water heaters </t>
  </si>
  <si>
    <t>https://www.grainger.com/category/plumbing/water-heaters/electric-tank-water-heaters</t>
  </si>
  <si>
    <t>Notes</t>
  </si>
  <si>
    <t>RestaurantFastFood</t>
  </si>
  <si>
    <t>Is a subcategory of food service building used for prepared-food sales. These places are often quick-service operations (e.g., drive-throughs, counter-service eateries,...).</t>
  </si>
  <si>
    <t>EIS, 2018:</t>
  </si>
  <si>
    <t>U.S. Energy Information Administration - EIA - Independent Statistics and Analysis</t>
  </si>
  <si>
    <t xml:space="preserve">RestaurantFastFood (STC:3) </t>
  </si>
  <si>
    <t>Year</t>
  </si>
  <si>
    <t>Total floor area (k ft2)</t>
  </si>
  <si>
    <t>Count</t>
  </si>
  <si>
    <t>Dodge Construction data , 2023</t>
  </si>
  <si>
    <t>Characteristic</t>
  </si>
  <si>
    <t>Value</t>
  </si>
  <si>
    <t>Building Type</t>
  </si>
  <si>
    <t>Fast Food Restaurant</t>
  </si>
  <si>
    <t>Building Category</t>
  </si>
  <si>
    <t>Nonresidential</t>
  </si>
  <si>
    <t>Version</t>
  </si>
  <si>
    <t>v2-0</t>
  </si>
  <si>
    <t>Vintages</t>
  </si>
  <si>
    <t>4 Vintages: Pre-1978 , 1978-1997 ,1998-2007 , 2008-2018
New Construction (2019+)</t>
  </si>
  <si>
    <r>
      <t xml:space="preserve">Based on the vintage bin analysis. 
</t>
    </r>
    <r>
      <rPr>
        <sz val="10"/>
        <color rgb="FF000000"/>
        <rFont val="Arial"/>
        <family val="2"/>
      </rPr>
      <t>A summary of the findings is presented in the following paper:
Yousefi, F., Athalye, R. (2025). “Determining Vintage Bins for Prototype Development: An Analysis of California Commercial Buildings.” ASHRAE Annual Conference.</t>
    </r>
  </si>
  <si>
    <t>NonRes-Vintage bins-Draft Report-30Nov2023-Final.docx</t>
  </si>
  <si>
    <t>Shape</t>
  </si>
  <si>
    <t>Assumption; same as CEC Prototype 2022</t>
  </si>
  <si>
    <t>Total Floor Area (ft²)</t>
  </si>
  <si>
    <r>
      <rPr>
        <sz val="10"/>
        <color rgb="FF000000"/>
        <rFont val="Arial"/>
        <family val="2"/>
      </rPr>
      <t>250</t>
    </r>
    <r>
      <rPr>
        <sz val="10"/>
        <color rgb="FF000000"/>
        <rFont val="Arial"/>
        <family val="2"/>
      </rPr>
      <t>1</t>
    </r>
    <r>
      <rPr>
        <sz val="10"/>
        <color rgb="FF000000"/>
        <rFont val="Arial"/>
        <family val="2"/>
      </rPr>
      <t xml:space="preserve"> (50 ft * 50 ft)</t>
    </r>
  </si>
  <si>
    <t>Aspect Ratio</t>
  </si>
  <si>
    <t>Number of Floors</t>
  </si>
  <si>
    <t>Roof type</t>
  </si>
  <si>
    <t>Attic (17°)</t>
  </si>
  <si>
    <t>WWR</t>
  </si>
  <si>
    <t>Average 14% 
(South: 28% , East: 14% ,North: 0% ,West: 14%</t>
  </si>
  <si>
    <t>Shading Geometry</t>
  </si>
  <si>
    <t>No shades</t>
  </si>
  <si>
    <t>Floor to floor height (ft)</t>
  </si>
  <si>
    <t>N/A</t>
  </si>
  <si>
    <t>Floor to ceiling height (ft)</t>
  </si>
  <si>
    <t>Glazing sill height (ft)</t>
  </si>
  <si>
    <t>3.5 (top of the window is 6.5 ft high with 3 ft high glass)</t>
  </si>
  <si>
    <t>Background Data [To be deleted prior to publication]</t>
  </si>
  <si>
    <t>According to CBECS 2018, small restaurants mostly have flat or shallow pitch roofs.</t>
  </si>
  <si>
    <t>Existing public prototypes</t>
  </si>
  <si>
    <t> </t>
  </si>
  <si>
    <t>PNNL (Fast Food)</t>
  </si>
  <si>
    <t>CEC (Small Restaurant)</t>
  </si>
  <si>
    <t>CPUC  (Fast Food)</t>
  </si>
  <si>
    <t>Geometry</t>
  </si>
  <si>
    <t>Whole building</t>
  </si>
  <si>
    <t>Floor area (ft²)</t>
  </si>
  <si>
    <t>Total</t>
  </si>
  <si>
    <t>Height (ft)</t>
  </si>
  <si>
    <t xml:space="preserve">All </t>
  </si>
  <si>
    <t>Zones</t>
  </si>
  <si>
    <t>Dining 50%, Kitchen 50%, Attic (NOT conditioned)</t>
  </si>
  <si>
    <t>Dining 50% , Kitchen 50%, Attic (NOT conditioned)</t>
  </si>
  <si>
    <t xml:space="preserve">Dining 40% , Kitchen 40% , Waiting Area 15% , Restroom 5% (100 sf) </t>
  </si>
  <si>
    <t>Internal Load</t>
  </si>
  <si>
    <t>People (person/ft²)</t>
  </si>
  <si>
    <t>Dining</t>
  </si>
  <si>
    <t>Kitchen</t>
  </si>
  <si>
    <t>0.005   (6.3 people)</t>
  </si>
  <si>
    <t>Other zones (if any)</t>
  </si>
  <si>
    <t>-</t>
  </si>
  <si>
    <t>0.033 Lobby &amp; 0.005 Restroom</t>
  </si>
  <si>
    <t>Lights (W/ft²)</t>
  </si>
  <si>
    <t>0.7 Lobby, 0.65 Restroom</t>
  </si>
  <si>
    <t>Ext lights (W)</t>
  </si>
  <si>
    <t>952        (209 and 743)</t>
  </si>
  <si>
    <t>Gas Equipment (Btu/h-ft2)</t>
  </si>
  <si>
    <r>
      <t>237.4</t>
    </r>
    <r>
      <rPr>
        <sz val="10"/>
        <color rgb="FF000000"/>
        <rFont val="Arial"/>
        <family val="2"/>
      </rPr>
      <t xml:space="preserve">     (296,748 Btu/h)</t>
    </r>
  </si>
  <si>
    <t>Electric Equipment (W/ft²)</t>
  </si>
  <si>
    <r>
      <t xml:space="preserve">10.3 </t>
    </r>
    <r>
      <rPr>
        <sz val="10"/>
        <color rgb="FF000000"/>
        <rFont val="Arial"/>
        <family val="2"/>
      </rPr>
      <t xml:space="preserve">      (12,835  W)</t>
    </r>
  </si>
  <si>
    <t>0.75     (0.5 receptacle &amp; 0.25 refrigerator )</t>
  </si>
  <si>
    <t>0.75     (0.5 &amp; 0.25)</t>
  </si>
  <si>
    <r>
      <t>24.29</t>
    </r>
    <r>
      <rPr>
        <sz val="10"/>
        <color rgb="FF000000"/>
        <rFont val="Arial"/>
        <family val="2"/>
      </rPr>
      <t xml:space="preserve">      (29,769 W receptacle &amp; 313 W ReachIn Refrigerator &amp;  277 W ReachInFreezer)</t>
    </r>
  </si>
  <si>
    <t>2.62      (1.5 receptacle &amp; 1.12 refrigerator)</t>
  </si>
  <si>
    <t>2.62     (1.5 &amp; 1.12)</t>
  </si>
  <si>
    <t>0.5 Lobby</t>
  </si>
  <si>
    <t xml:space="preserve">Refrigerator </t>
  </si>
  <si>
    <t xml:space="preserve">In addition to the Reachin freezer and refrigerator load defined as electric load, it has :
2 Case refrigerator : 716 and 763 Btu/hr-ft for 8 and 10 ft cases
2.5 COP for design compressor rack
1126 Btu/h for fan power of design compressor </t>
  </si>
  <si>
    <t>Two refrigerator loads is defined as electric equipment load for dining and kitchen</t>
  </si>
  <si>
    <t>expected to simulate the Refrigerator loads as electric equipment load ( like CEC)</t>
  </si>
  <si>
    <t>HVAC System</t>
  </si>
  <si>
    <t>Heating Sizing Factor</t>
  </si>
  <si>
    <t>All</t>
  </si>
  <si>
    <t>H&amp;C: 1.2</t>
  </si>
  <si>
    <t>H&amp;C:1</t>
  </si>
  <si>
    <t>H: 2.5 , C: 2.3</t>
  </si>
  <si>
    <t>HVAC</t>
  </si>
  <si>
    <t>PSZ AC: CAV no reheat, DX cooling coil: multi speed, Gas heating coil</t>
  </si>
  <si>
    <t>(BaseAirSys 13): VAV no Reheat +DX cooling coil:two speed,  Gas Heating coil</t>
  </si>
  <si>
    <t xml:space="preserve">Single Zone VAV no  Reheat , DX cooling coil:multi speed, Gas heating coil </t>
  </si>
  <si>
    <t>PSZ AC : CAV no reheat, DX cooling coil: multi speed, Gas heating coil</t>
  </si>
  <si>
    <t>(sys7or3a): CAV no Reheat+DX cooling coil: single speed+ Gas Heating coil</t>
  </si>
  <si>
    <t xml:space="preserve">Single Zone VAV no  Reheat , DX cooling coil:single speed, Gas heating coil </t>
  </si>
  <si>
    <t xml:space="preserve">For each Lobby and Restroom: Single Zone VAV no  Reheat, DX cooling coil:multi speed , Gas heating coil </t>
  </si>
  <si>
    <t>Exhaust Fan</t>
  </si>
  <si>
    <t>881 cfm with efficiency of 1</t>
  </si>
  <si>
    <t>3300 cfm with efficiency of 0.385</t>
  </si>
  <si>
    <t>2400 cfm with efficiency of 0.43</t>
  </si>
  <si>
    <t>Thermostat Setpoint (F)</t>
  </si>
  <si>
    <t>Dining Heating</t>
  </si>
  <si>
    <t>70 (setback: 60)</t>
  </si>
  <si>
    <t>Dining Cooling</t>
  </si>
  <si>
    <t>75 (setback: 86)</t>
  </si>
  <si>
    <t>75 (setback: 85)</t>
  </si>
  <si>
    <t>Kitchen Heating</t>
  </si>
  <si>
    <r>
      <t>66</t>
    </r>
    <r>
      <rPr>
        <sz val="10"/>
        <color rgb="FF000000"/>
        <rFont val="Arial"/>
        <family val="2"/>
      </rPr>
      <t xml:space="preserve"> (setback: 60)</t>
    </r>
  </si>
  <si>
    <t>Kitchen Cooling</t>
  </si>
  <si>
    <r>
      <t>79</t>
    </r>
    <r>
      <rPr>
        <sz val="10"/>
        <color rgb="FF000000"/>
        <rFont val="Arial"/>
        <family val="2"/>
      </rPr>
      <t xml:space="preserve"> (setback: 86)</t>
    </r>
  </si>
  <si>
    <t>Water Heater</t>
  </si>
  <si>
    <t>Tank Volume (gal</t>
  </si>
  <si>
    <t>Autosize (Nominal tank volume for autosizing: 39.6)
Output file :69 gal</t>
  </si>
  <si>
    <t>Peak Flow Rate (gpm)</t>
  </si>
  <si>
    <t>0.03 Lobby</t>
  </si>
  <si>
    <t>Loop Max and Min Temperature (F)</t>
  </si>
  <si>
    <r>
      <rPr>
        <sz val="10"/>
        <color rgb="FF000000"/>
        <rFont val="Arial"/>
        <family val="2"/>
      </rPr>
      <t>140</t>
    </r>
    <r>
      <rPr>
        <sz val="10"/>
        <color theme="1"/>
        <rFont val="Arial"/>
        <family val="2"/>
      </rPr>
      <t>, 50</t>
    </r>
  </si>
  <si>
    <r>
      <t xml:space="preserve">212, </t>
    </r>
    <r>
      <rPr>
        <sz val="10"/>
        <color rgb="FF000000"/>
        <rFont val="Arial"/>
        <family val="2"/>
      </rPr>
      <t>32</t>
    </r>
  </si>
  <si>
    <t>212 , 50</t>
  </si>
  <si>
    <t>Tank Max Temperature (F)</t>
  </si>
  <si>
    <t>Yealy Water Usage (gal) from the output files</t>
  </si>
  <si>
    <t>ASHRAE DOE</t>
  </si>
  <si>
    <t>Kitchen loads are included in the EnergyPlus Electric Equipment and Gas Equipment objects</t>
  </si>
  <si>
    <t>Prototype Comparison</t>
  </si>
  <si>
    <t>Program</t>
  </si>
  <si>
    <t>CalBEM (RestaurantFastFood)</t>
  </si>
  <si>
    <t>CEC (RestaurantSmall)</t>
  </si>
  <si>
    <t>DEER (Restaurant-FastFood)</t>
  </si>
  <si>
    <t>PNNL (RestaurantFastFood)</t>
  </si>
  <si>
    <t>Envelope</t>
  </si>
  <si>
    <t>Floor Area (ft2)</t>
  </si>
  <si>
    <t>Roof Area (ft2)</t>
  </si>
  <si>
    <t>Gross Exterior Wall Area (ft2)</t>
  </si>
  <si>
    <t>Window Area (ft2)</t>
  </si>
  <si>
    <t>Skylight Area (ft2)</t>
  </si>
  <si>
    <t>Window-to-Wall Ratio (%)</t>
  </si>
  <si>
    <t>Loads</t>
  </si>
  <si>
    <t>Occupants</t>
  </si>
  <si>
    <t>Occupancy Density (people/1000 ft2)</t>
  </si>
  <si>
    <t>Interior Lighting Power (W)</t>
  </si>
  <si>
    <t>Interior LPD (W/ft2)</t>
  </si>
  <si>
    <t>Equipment Power (W)</t>
  </si>
  <si>
    <t>Equipment Density (W/ft2)</t>
  </si>
  <si>
    <t>Ventilation</t>
  </si>
  <si>
    <t>Design OA Sum (cfm)</t>
  </si>
  <si>
    <t>Design OA Density (cfm/ft2)</t>
  </si>
  <si>
    <t>Design OA per Person (cfm/person)</t>
  </si>
  <si>
    <t>HVAC and Water Heater</t>
  </si>
  <si>
    <t>HVAC System Type</t>
  </si>
  <si>
    <t>System: central air loops
Distribution: 2 air loops; constant-volume no-reheat terminal; DX cooling; natural-gas heating
Plant: 1 heat exchanger</t>
  </si>
  <si>
    <t>System: central VAV air loops
Distribution: 2 air loops; VAV no-reheat and constant-volume no-reheat terminals; DX cooling; natural-gas heating</t>
  </si>
  <si>
    <t>System: unitary/package systems + central VAV air loops
Distribution: 4 air loops; VAV no-reheat terminal; DX cooling; natural-gas heating</t>
  </si>
  <si>
    <t>System: unitary/package systems + central air loops
Distribution: 2 air loops; constant-volume no-reheat terminal; DX cooling; natural-gas heating</t>
  </si>
  <si>
    <t>1 water heater: 1 natural-gas
1 service water loop</t>
  </si>
  <si>
    <t>Building</t>
  </si>
  <si>
    <t>Space/Thermal Zone</t>
  </si>
  <si>
    <r>
      <rPr>
        <b/>
        <sz val="10"/>
        <color rgb="FF000000"/>
        <rFont val="Arial"/>
        <family val="2"/>
      </rPr>
      <t xml:space="preserve">Space Type 
</t>
    </r>
    <r>
      <rPr>
        <b/>
        <sz val="10"/>
        <color rgb="FF000000"/>
        <rFont val="Arial"/>
        <family val="2"/>
      </rPr>
      <t>Primarily from [T24, 2022 Appendix 5.4A] -  See Notes column</t>
    </r>
  </si>
  <si>
    <t>HVAC zone</t>
  </si>
  <si>
    <t>Schedule Category</t>
  </si>
  <si>
    <t>Conditioned (Y/N)</t>
  </si>
  <si>
    <t>Area Fraction</t>
  </si>
  <si>
    <t>Area (ft²)</t>
  </si>
  <si>
    <t>Volume (ft³)</t>
  </si>
  <si>
    <t>Multipliers</t>
  </si>
  <si>
    <t>Number of People</t>
  </si>
  <si>
    <t xml:space="preserve">People 
(Persons/1,000 ft²)
[T24, 2025,Table 120.1-A] </t>
  </si>
  <si>
    <t>Dining Area (Cafeteria/Fast Food)</t>
  </si>
  <si>
    <t>AHU_1</t>
  </si>
  <si>
    <t>Restaurant</t>
  </si>
  <si>
    <t>Y</t>
  </si>
  <si>
    <t>Kitchen/Food Preparation Area</t>
  </si>
  <si>
    <t>AHU_2</t>
  </si>
  <si>
    <t>Attic</t>
  </si>
  <si>
    <t>n/a</t>
  </si>
  <si>
    <t>N</t>
  </si>
  <si>
    <t>Total (1 Building)</t>
  </si>
  <si>
    <t>Total (3 Space)</t>
  </si>
  <si>
    <t>Total (3 space type)</t>
  </si>
  <si>
    <t>Total ( 2 HVAC Zones)</t>
  </si>
  <si>
    <t xml:space="preserve"> Total (2 category)</t>
  </si>
  <si>
    <t xml:space="preserve"> Total (2 Conditioned zones)</t>
  </si>
  <si>
    <t>Element</t>
  </si>
  <si>
    <t xml:space="preserve"> Assembly Type</t>
  </si>
  <si>
    <t>Construction</t>
  </si>
  <si>
    <t>Thermal properties</t>
  </si>
  <si>
    <t>Vintage</t>
  </si>
  <si>
    <t>Selected T24</t>
  </si>
  <si>
    <t>CZ1</t>
  </si>
  <si>
    <t>CZ2</t>
  </si>
  <si>
    <t>CZ3</t>
  </si>
  <si>
    <t>CZ4</t>
  </si>
  <si>
    <t>CZ5</t>
  </si>
  <si>
    <t>CZ6</t>
  </si>
  <si>
    <t>CZ7</t>
  </si>
  <si>
    <t>CZ8</t>
  </si>
  <si>
    <t>CZ9</t>
  </si>
  <si>
    <t>CZ10</t>
  </si>
  <si>
    <t>CZ11</t>
  </si>
  <si>
    <t>CZ12</t>
  </si>
  <si>
    <t>CZ13</t>
  </si>
  <si>
    <t>CZ14</t>
  </si>
  <si>
    <t>CZ15</t>
  </si>
  <si>
    <t>CZ16</t>
  </si>
  <si>
    <t xml:space="preserve">External Wall </t>
  </si>
  <si>
    <t xml:space="preserve">ExtWall_WoodFramed_NonRes </t>
  </si>
  <si>
    <t>Wood framed wall:
stucco + insulation + wood framing + gypsum board</t>
  </si>
  <si>
    <t>U-factor IP</t>
  </si>
  <si>
    <t>Pre 1978</t>
  </si>
  <si>
    <t>Using ASHRAE 90.1, 2022 Table A3.4.3.1, 3.5", R-1.5 U-values and a 9.6% cumulative wall renovation rate through 2028, based on the average annual rate from CBECS 2003 and 2012 projected over 48 years.</t>
  </si>
  <si>
    <t>1978-1997</t>
  </si>
  <si>
    <t xml:space="preserve">Copied from low-rise office alternative table: Package A with heat capacity of 0.0-3.99 (Btu/F-ft²) </t>
  </si>
  <si>
    <t>1998-2007</t>
  </si>
  <si>
    <t xml:space="preserve"> Table 1-H</t>
  </si>
  <si>
    <t>2008-2018</t>
  </si>
  <si>
    <t>Table 140.3-B</t>
  </si>
  <si>
    <t>Existing</t>
  </si>
  <si>
    <t>Weighted average of all 4 vintages</t>
  </si>
  <si>
    <t>2019+</t>
  </si>
  <si>
    <t>Table 140.3-C</t>
  </si>
  <si>
    <t>Ceiling/Roof</t>
  </si>
  <si>
    <t>AtticFloor Reversed</t>
  </si>
  <si>
    <t>Attic roof (no insulation): asphalt shingles + gypsum board
 Ceiling (wood-joist): insulation + gypsum board</t>
  </si>
  <si>
    <t>Considering 30 years for roof/ insulation replacement.</t>
  </si>
  <si>
    <t>Table 1-H</t>
  </si>
  <si>
    <r>
      <t xml:space="preserve">Table 140.3-B </t>
    </r>
    <r>
      <rPr>
        <sz val="10"/>
        <color rgb="FF000000"/>
        <rFont val="Arial"/>
        <family val="2"/>
      </rPr>
      <t>(Wood Framed and Other)</t>
    </r>
  </si>
  <si>
    <r>
      <t>Table 140.3-B</t>
    </r>
    <r>
      <rPr>
        <sz val="10"/>
        <color rgb="FF000000"/>
        <rFont val="Arial"/>
        <family val="2"/>
      </rPr>
      <t xml:space="preserve"> (Wood Framed and Other)</t>
    </r>
  </si>
  <si>
    <t>Windows</t>
  </si>
  <si>
    <t>FixedWindow_NonRes</t>
  </si>
  <si>
    <t xml:space="preserve">Single Pane (CBECS 2018, ~ 30 % of windows of Restaurant built before 2000 are single pane) </t>
  </si>
  <si>
    <t>2021 ASHRAE Handbook of Fundamentals - Section 15.9 Table 4 for single pane &amp; T24 2013 Table 140.3-B for double pane (30%-70%)</t>
  </si>
  <si>
    <t>These vintages have better performance because of partial retrofit</t>
  </si>
  <si>
    <t>Double pane</t>
  </si>
  <si>
    <t xml:space="preserve">Table 1-H </t>
  </si>
  <si>
    <t xml:space="preserve">Table 140.3-B </t>
  </si>
  <si>
    <t>SHGC</t>
  </si>
  <si>
    <t>2021 ASHRAE Handbook of Fundamentals - Section 15.22 Table 10 for single pane &amp; T24, 2013 Table 140.3-B for double pane (30%-70%)</t>
  </si>
  <si>
    <t>Table 1-H (Non North, 10-20% total WWR)</t>
  </si>
  <si>
    <t>Infiltration</t>
  </si>
  <si>
    <t xml:space="preserve">I_75 (cfm/ft2)
6-sdied Infiltration rate @ 75 pa </t>
  </si>
  <si>
    <t>Source</t>
  </si>
  <si>
    <t xml:space="preserve"> I-design (cfm/ft²) 
(4-sided Infiltration rate at normal pressure) 
(Design flow rate approach and Flow/Exterior Wall Area calculation method) </t>
  </si>
  <si>
    <t>2022 CASE report (Table 38)</t>
  </si>
  <si>
    <t>Floor or roof area</t>
  </si>
  <si>
    <t>Walls area</t>
  </si>
  <si>
    <t>Building 4 sided area=</t>
  </si>
  <si>
    <t>2022 CASE report (Table 38) &amp;
T24, 2008-2016 (Table 140.3-B)</t>
  </si>
  <si>
    <t>Building 6 sided area=</t>
  </si>
  <si>
    <t>2022 CASE report (Table 38) &amp;  
T24, 2025 (Table 140.3-B)</t>
  </si>
  <si>
    <t>6 sided /4 sided factor=</t>
  </si>
  <si>
    <t>Source:  T24 air barrier requirements (all editions) , the standardized infiltration rate reported in the 2022 CASE report, and Dodge 2023 data</t>
  </si>
  <si>
    <t>Infiltration_rate_report_14May2025-Short-Version.docx</t>
  </si>
  <si>
    <t>ASHRAE 90.1, 2022 Table A3.4.3.1, 3.5", R-0</t>
  </si>
  <si>
    <t>T 24, 2008 (U value)- Wood framed wall,  Nonres</t>
  </si>
  <si>
    <t>ASHRAE 90.1, 2022 Table A3.4.3.1, 3.5", R-1.5</t>
  </si>
  <si>
    <t xml:space="preserve">Renovation rate since 1980  (yearly renovation rate was calculated from CBECS 2003 and 2012 and then projected over 48 years) </t>
  </si>
  <si>
    <t>T24, 1986</t>
  </si>
  <si>
    <t>For  NEW NONRESIDENTIAL BUILDINGS OF OCCUPANCIES A, 5, E AND H:</t>
  </si>
  <si>
    <t>HDD for each CZ in CA</t>
  </si>
  <si>
    <t>&lt;3500</t>
  </si>
  <si>
    <t>weight of wall</t>
  </si>
  <si>
    <t xml:space="preserve"> &lt;10 lb/ft²</t>
  </si>
  <si>
    <t>TD eq  (&lt;10 lb/ft²)</t>
  </si>
  <si>
    <t>U wall  base on HDD</t>
  </si>
  <si>
    <t>MCF (&lt;10 lb/ft²)</t>
  </si>
  <si>
    <t>U wall  base on CDD</t>
  </si>
  <si>
    <t>Aow (ft²)=</t>
  </si>
  <si>
    <t>Awall (ft²)</t>
  </si>
  <si>
    <t>U wall (Btu/hr-ft²-F)</t>
  </si>
  <si>
    <t>Awindows(ft²) ~</t>
  </si>
  <si>
    <t>Min OTTV</t>
  </si>
  <si>
    <t>Frame Fig 2-53E</t>
  </si>
  <si>
    <t>Min Uow (HDD&lt; 3500)</t>
  </si>
  <si>
    <t>Frame Fig 2-53B</t>
  </si>
  <si>
    <t xml:space="preserve">Heating </t>
  </si>
  <si>
    <t>Cooling</t>
  </si>
  <si>
    <t>Air Distribution</t>
  </si>
  <si>
    <t>Other Systems</t>
  </si>
  <si>
    <t xml:space="preserve">Existing  </t>
  </si>
  <si>
    <t>Gas Furnace (PSZAC)</t>
  </si>
  <si>
    <t>DX Coil (PSZAC)</t>
  </si>
  <si>
    <t>CAV (PSZAC)</t>
  </si>
  <si>
    <t>Economizer for after 2008</t>
  </si>
  <si>
    <t>CEUS 2022 + Engineering Judgement</t>
  </si>
  <si>
    <t>Makeup Air Unit (Combo with RTU) to supply make-up air exceeding transfer air from dining space (can be included in system13b)</t>
  </si>
  <si>
    <t>New Construction</t>
  </si>
  <si>
    <t>Economizer</t>
  </si>
  <si>
    <t>T24, 2025</t>
  </si>
  <si>
    <t>Demand control ventilation</t>
  </si>
  <si>
    <t>HR-Makeup Air Unit (systems that integrate make-up air and heat recovery functions) (can be included in system13b)</t>
  </si>
  <si>
    <r>
      <rPr>
        <b/>
        <sz val="12"/>
        <color rgb="FFFFFFFF"/>
        <rFont val="Arial"/>
        <family val="2"/>
      </rPr>
      <t xml:space="preserve">Efficiency of HVAC system
</t>
    </r>
    <r>
      <rPr>
        <sz val="10"/>
        <color rgb="FFFFFFFF"/>
        <rFont val="Arial"/>
        <family val="2"/>
      </rPr>
      <t xml:space="preserve"> (Efficiency is capacity-dependent. The following table provides a general estimate of system efficiency based on preliminary simulations in one climate zone, or assuming cooling load based on rule of thumb)</t>
    </r>
  </si>
  <si>
    <t>Upgrade/Installed year</t>
  </si>
  <si>
    <t xml:space="preserve"> Gas Furnace</t>
  </si>
  <si>
    <t>Dining DX cooling 
(&lt;65,000 Btu/h)</t>
  </si>
  <si>
    <t>Kitchen DX cooling 
(&gt;=65,000 and &lt; 135,000 Btu/h )</t>
  </si>
  <si>
    <t xml:space="preserve">Note </t>
  </si>
  <si>
    <t xml:space="preserve"> Efficiency 80%</t>
  </si>
  <si>
    <t xml:space="preserve"> SEER 13 </t>
  </si>
  <si>
    <t>EER 10.3</t>
  </si>
  <si>
    <t xml:space="preserve">System &lt;65,000: 10 CFR, 2009 (Vol. 74, No. 54 , page 12074)
system &gt;65,000: T24, 2008, Table 112-A </t>
  </si>
  <si>
    <r>
      <t xml:space="preserve">Econ Max Position=0.9.
</t>
    </r>
    <r>
      <rPr>
        <sz val="9"/>
        <rFont val="Arial"/>
        <family val="2"/>
      </rPr>
      <t>*Econ Max Position is set to below 1 to approximate effects of not having fault detection and diagnostics (FDD) requirements, which began in 2013. It can be modeled in E+ either by:
- Reducing Maximum Outdoor Air Flow Rate in Controller:OutdoorAir.
- Or using FaultModel objects to simulate pre-2013 “no FDD” conditions</t>
    </r>
  </si>
  <si>
    <t>SEER 13</t>
  </si>
  <si>
    <t>EER 11.2</t>
  </si>
  <si>
    <t xml:space="preserve">System &lt;65,000: 10 CFR, 2013, Table 1 TO § 431.97 
System &gt;65,000:  T24, 2013, Table 110.2-A </t>
  </si>
  <si>
    <t>Econ Max Position=0.9</t>
  </si>
  <si>
    <t xml:space="preserve">SEER2 13.4 </t>
  </si>
  <si>
    <t>System &lt;65,000: 10 CFR, 2024 ,Table 19 TO § 431.97(h)
System &gt;65,000: T24, 2025, Table 110.2-A</t>
  </si>
  <si>
    <t>- Econ Max Position=1
- Deduct 0.2 from the required EERs and IEERs for units with a heating section other than electric resistance heat.</t>
  </si>
  <si>
    <t>Fan Power</t>
  </si>
  <si>
    <t>Approach</t>
  </si>
  <si>
    <t>System</t>
  </si>
  <si>
    <t>Total Static Pressure (TSP)
(in w.c.)</t>
  </si>
  <si>
    <t>Fan Efficiency
[ACM 2025]</t>
  </si>
  <si>
    <t xml:space="preserve">Motor Efficiency </t>
  </si>
  <si>
    <t xml:space="preserve"> Fan Power Index 
(W/cfm)</t>
  </si>
  <si>
    <t>Data Source</t>
  </si>
  <si>
    <t>PNNL 90.1-2011, TSP</t>
  </si>
  <si>
    <t>CAV Kitchen (system &lt;7,437 cfm)</t>
  </si>
  <si>
    <t>ASHRAE 90.1, 2004, Table 10.8 *</t>
  </si>
  <si>
    <t>CAV Dining (system &lt;7,437 cfm)</t>
  </si>
  <si>
    <t>Brake horsepower (bhp) = (Supply cfm × TSP in w.c.) / (6356 × fan efficiency)</t>
  </si>
  <si>
    <t>Fan power (w/cfm) = (bhp ×  746) / ( supply cfm × motor efficiency )</t>
  </si>
  <si>
    <t>ACM 2025</t>
  </si>
  <si>
    <t>PSZAC (System 3a), CAV kitchen, ≤5,000 cfm</t>
  </si>
  <si>
    <t>TSP = fan power × motor efficiency × fan efficiency × 6356 / 746</t>
  </si>
  <si>
    <t>2025 ACM Table 12 **</t>
  </si>
  <si>
    <t>Fan power index: [ACM 2025, Table 13]
Motor efficiency: [ACM 2025, Table 12]</t>
  </si>
  <si>
    <t>PSZAC (System 3a), CAV dining, ≤5,000 cfm</t>
  </si>
  <si>
    <t>PSZAC (System 3a), CAV dining, &gt;5,000 and &lt;=10,000 cfm</t>
  </si>
  <si>
    <t>*    According to PNNL 20405 section 5.2.2.5, the full-load efficiency of the motor serving the fan is taken from  ASHRAE 90.1, 2004, Table 10.8, based on motor nameplate and assuming enclosed motors operating at 1,800 rotations per minute (rpm)
      Motor nameplate size (bhp) = brake horsepower (bhp) × 1.1 ( using a 10% oversizing factor)</t>
  </si>
  <si>
    <t>**   The full‑load efficiency of the motor serving the fan is taken from ACM 2025 Table 12 based on the motor nameplate horsepower.
     Brake horsepower  (bhp) = (Supply cfm from sizing run × fan power in W/cfm) / 746.
     Note: PSZAC with gas furnace (System 3a SZAC) ≤5,000 cfm. Same index as Restaurant Sit-Down kitchen.
     Dining fans above 5,000 cfm and at or below 10,000 cfm use 0.780 W/cfm.</t>
  </si>
  <si>
    <t>CEUS 2022:</t>
  </si>
  <si>
    <t xml:space="preserve">Water Heater </t>
  </si>
  <si>
    <t>Floorspace Heated</t>
  </si>
  <si>
    <t>Primary Heating
The default is the floorspace method unless otherwise specified</t>
  </si>
  <si>
    <t>Fuel Type</t>
  </si>
  <si>
    <t>Floorspace Cooled</t>
  </si>
  <si>
    <t>Primary Cooling
The default is the floorspace method unless otherwise specified</t>
  </si>
  <si>
    <t xml:space="preserve">Primary Air Dis 
The default is the floorspace method unless otherwise specified </t>
  </si>
  <si>
    <t>Package System / Heat Pump (83.0%)</t>
  </si>
  <si>
    <t>(65 % Gas,  34% Elec)</t>
  </si>
  <si>
    <t>Package System / Heat Pump (83.1%)</t>
  </si>
  <si>
    <t>Single Duct CAV (95.0%)</t>
  </si>
  <si>
    <t>(Gas 78%, 18% Elec)</t>
  </si>
  <si>
    <t>System13b</t>
  </si>
  <si>
    <t>ACM 2025, Section: 5.1.3 :  System 13b – PKITCHMAU serving the restaurant commercial kitchen zone</t>
  </si>
  <si>
    <t>ACM 2025,</t>
  </si>
  <si>
    <t>PNNL 20405, 2010</t>
  </si>
  <si>
    <t>T24 2019, same as 90.1: </t>
  </si>
  <si>
    <t>Setpoint</t>
  </si>
  <si>
    <t xml:space="preserve"> Heating Setpoint (F)</t>
  </si>
  <si>
    <t>T24 2022 - Appendix 5.4B</t>
  </si>
  <si>
    <t xml:space="preserve"> Heating Setback (F)</t>
  </si>
  <si>
    <t xml:space="preserve"> Cooling Setpoint (F)</t>
  </si>
  <si>
    <t xml:space="preserve"> Cooling Setback (F)</t>
  </si>
  <si>
    <t>PNNL 09.1, 2022 Restaurant prototype</t>
  </si>
  <si>
    <t>PNNL's comfort range in kitchen is 4 F wider : 66 -79 F (with Heating setback of 60 F and Cooling setback of 86 F)</t>
  </si>
  <si>
    <t>CPUC has the same setpoint and setback as CEC</t>
  </si>
  <si>
    <t>Floor Area (ft²)</t>
  </si>
  <si>
    <t>cfm/person
[T24, 2025, Equation 120.1-F and Table 120.1-A]</t>
  </si>
  <si>
    <t>cfm/ft²  
[T24, 2025, Equation 120.1-F and Table 120.1-A]</t>
  </si>
  <si>
    <t>Required Exhaust Rate
[T24, 2025, Table 120.1-B – minimum exhaust rates]</t>
  </si>
  <si>
    <t>Total cfm 
Driven by People</t>
  </si>
  <si>
    <t>Total cfm 
Driven by Area</t>
  </si>
  <si>
    <t>Total cfm 
Driven by Exhaust</t>
  </si>
  <si>
    <t>Total cfm</t>
  </si>
  <si>
    <t>2 restroom, each 25/50 cfm pr unit</t>
  </si>
  <si>
    <t>0.7 cfm/ft2</t>
  </si>
  <si>
    <t>Fine storage is defined for normal inventory that doesn't require an extra exhaust rate based on the space functions  in T24, Part6, 2025, Table 120.1 B.</t>
  </si>
  <si>
    <t>Exhaust hood</t>
  </si>
  <si>
    <t xml:space="preserve">Type of Hood </t>
  </si>
  <si>
    <t>Max Exhaust Flow Rate (cfm/ft)
[T24, 2025, Table 140.9-C]</t>
  </si>
  <si>
    <t xml:space="preserve">Hood Length (ft) * 
[CKV, 2004] &amp; </t>
  </si>
  <si>
    <t>Hood Exhaust Rate (cfm)</t>
  </si>
  <si>
    <t>Note</t>
  </si>
  <si>
    <t>Type I , wall-mounted canopy, medium duty hood</t>
  </si>
  <si>
    <t>Efficiency of exhaust fan is 50% (according to ACM, 2025, section 5.7.3)</t>
  </si>
  <si>
    <t>Quick Service Restaurant Hood Appliance</t>
  </si>
  <si>
    <t>Appliance</t>
  </si>
  <si>
    <t>Length  (ft)</t>
  </si>
  <si>
    <t xml:space="preserve">Two Fryers side </t>
  </si>
  <si>
    <t>CKV Design Guide, 2004</t>
  </si>
  <si>
    <t>Fryer drip station (doesn't generate heat or grease but still need to be covered)</t>
  </si>
  <si>
    <t>Griddle</t>
  </si>
  <si>
    <t>Convection oven</t>
  </si>
  <si>
    <t>Charbroiler</t>
  </si>
  <si>
    <t>Charbroiler is common in fast food with burgers in the menu (e.g., KFC). So, it was decided to add this appliance to the above mentioned ones</t>
  </si>
  <si>
    <t>Total cooking line length (ft)</t>
  </si>
  <si>
    <t>Hood length (ft) (+1 ft buffer)</t>
  </si>
  <si>
    <t>T24, 2025:</t>
  </si>
  <si>
    <t>ACM 2025, 5.7.3: EXHAUST FAN CONTROL METHOD</t>
  </si>
  <si>
    <t>202 Commercial Kitchen Design Guide by SCE</t>
  </si>
  <si>
    <t>CKV Design Guide</t>
  </si>
  <si>
    <t xml:space="preserve">Kitchen photos from google browsing </t>
  </si>
  <si>
    <t>WH Type</t>
  </si>
  <si>
    <t>Efficiency</t>
  </si>
  <si>
    <t>Number of WH</t>
  </si>
  <si>
    <t>Tank Volume (gal)</t>
  </si>
  <si>
    <t>Tank Loss</t>
  </si>
  <si>
    <t>Gas</t>
  </si>
  <si>
    <t>See table below for CZ-specific values: Climate Zone Water Heater Sizing and Loss Coefficients, Storage Volume column (col F)</t>
  </si>
  <si>
    <t>See table below: Climate Zone Water Heater Sizing and Loss Coefficients, Standby Loss column (col G)</t>
  </si>
  <si>
    <t>See table below for sources: Climate Zone Water Heater Sizing and Loss Coefficients</t>
  </si>
  <si>
    <t>Peak Hot Water Consumption</t>
  </si>
  <si>
    <t>Space Name</t>
  </si>
  <si>
    <t>Baseline WH Type 
[T24, 2022, Appendix 5.4A , sheet: "2022 SpaceFuncData-Input"]</t>
  </si>
  <si>
    <t>Total Area (ft²)</t>
  </si>
  <si>
    <t>Hot Water Usage Specification
(gal/hr per person)  
[T24, 2022, Appendix 5.4A , sheet: "2022 SpaceFuncData-Input"]</t>
  </si>
  <si>
    <t>Peak Hot Water Usage
(gal/hr)</t>
  </si>
  <si>
    <t>Peak Hot Water Usage
(gal/min)</t>
  </si>
  <si>
    <t>Assumption: HW usage rate for the restaurant dining space was calculated at 20% of the hot water usage rate specified in the 2025 Nonres ACM 2024, Appendix 5.4A (equivalent to applying the full  rate to 20% of the dining floor area)</t>
  </si>
  <si>
    <t>Peak HW Usage is based on the fixture calulcation from the table below.</t>
  </si>
  <si>
    <t>Gas storage</t>
  </si>
  <si>
    <t>Minimum peak hot water usage is 75 gal according to ACM 2025</t>
  </si>
  <si>
    <t xml:space="preserve">Total </t>
  </si>
  <si>
    <t>Electric resistance</t>
  </si>
  <si>
    <t>Design Guide: Advanced Water Heating for Foodservice, 2022, Table 8]</t>
  </si>
  <si>
    <t>Design Guide: Advanced Water Heating for Foodservice, 2023, Table 11]</t>
  </si>
  <si>
    <t>Technical_Design_Guide.pdf</t>
  </si>
  <si>
    <t>Peak Water Heater Capacity, Tank Capacity, and Tank Loss</t>
  </si>
  <si>
    <t xml:space="preserve">Fixture </t>
  </si>
  <si>
    <t>Tank Recovery Rate (gal/h)</t>
  </si>
  <si>
    <t xml:space="preserve">Fixture Count </t>
  </si>
  <si>
    <t>Storage Heater Min Recovery Rate (gal/hr)</t>
  </si>
  <si>
    <t>Room sinks</t>
  </si>
  <si>
    <t>Design Guide: Advanced Water Heating for Foodservice (2022) , Table 6,7: Small Quick Restaurant Kitchen
Design Guide: Advanced Water Heating for Foodservice (2023) , Table11: Small Quick Restaurant Kitchen</t>
  </si>
  <si>
    <t>Hand sinks</t>
  </si>
  <si>
    <t>3-Compartment sinks</t>
  </si>
  <si>
    <t>Mop sink</t>
  </si>
  <si>
    <t>Utility or pre-soak sinks</t>
  </si>
  <si>
    <t>Minimum Recovery Rate (gal/h)</t>
  </si>
  <si>
    <t>Design Guide: Advanced Water Heating for Foodservice, 2023, Table 11]
*Minimum recovery rate discount factor of 20% for using single service utensils</t>
  </si>
  <si>
    <t>Input Rate (Btu/h)</t>
  </si>
  <si>
    <t>.Design Guide: Advanced Water Heating for Foodservice, 2023, Table 12]</t>
  </si>
  <si>
    <t>Tank volume (gal)</t>
  </si>
  <si>
    <t>Standby Loss (Btu/hr)</t>
  </si>
  <si>
    <t>Title 20, §1605.1 Table F-4  (Standby loss equation: )</t>
  </si>
  <si>
    <t>Off/On Cycle Loss Coefficient to Ambient Temperature (Btu/h-F)</t>
  </si>
  <si>
    <t>Title 20 / 10 CFR 431.102: UA = SL / 70 °F rating ΔT (same as climate-zone col I). Not ambient T.</t>
  </si>
  <si>
    <t>For Gas Water Heater: UA (Btu/h-°F) = Q_SL (Btu/h) / 70 °F. 70 is the Title 20 / 10 CFR 431.102 rating ΔT (stored water minus ambient), not ambient T.</t>
  </si>
  <si>
    <t>Rating ΔT (°F)</t>
  </si>
  <si>
    <t>10 CFR 431.102: gas standby loss is Btu/h based on a 70 °F temperature differential between stored water and ambient. Not ACM indoor temperature.</t>
  </si>
  <si>
    <t>** For Electric Water Heater: UA(Btu/h-°F)​= 0.0834 *SL​ (%/hr)*V gal</t>
  </si>
  <si>
    <t>Design supply temperature (°F)</t>
  </si>
  <si>
    <t>CEC-400-2022-009-CMF-REV2-AP5.4B</t>
  </si>
  <si>
    <t>WH system factor</t>
  </si>
  <si>
    <t>2025 ACM §5.9.2 Rated Capacity</t>
  </si>
  <si>
    <t>Water mass conversion (lb/gal)</t>
  </si>
  <si>
    <t>Reheat multiplier</t>
  </si>
  <si>
    <t>2025 ACM §5.9.2 Storage Volume</t>
  </si>
  <si>
    <t>Climate Zone Water Heater Sizing and Loss Coefficients</t>
  </si>
  <si>
    <t>Climate Zone</t>
  </si>
  <si>
    <t>Minimum Monthly Mains Temp (°F)
[T24 2022 - Appendix 5.4B]</t>
  </si>
  <si>
    <t>Heat Output (Btu/hr)
[ACM, 2025, 5.9.2: Rated capacity section]</t>
  </si>
  <si>
    <t>WH Capacity (Btu/hr)
[ACM, 2025, 5.9.2: Rated capacity section]</t>
  </si>
  <si>
    <t>Required Energy Input (Btu/hr)</t>
  </si>
  <si>
    <t>Storage Volume (gal)</t>
  </si>
  <si>
    <t>Standby Loss
 [Title 20, §1605.1 Table F-4; Appendix B: Water Heating Calculation Method]</t>
  </si>
  <si>
    <t xml:space="preserve">Off/On Cycle Loss Coefficient to Ambient Temp </t>
  </si>
  <si>
    <t>Source/Note</t>
  </si>
  <si>
    <t>CZ01</t>
  </si>
  <si>
    <t>Btu/hr</t>
  </si>
  <si>
    <t>Btu/h·°F</t>
  </si>
  <si>
    <t>Required Energy Input: vendor/available catalog size (Market data table).
Storage Volume: standard/available catalog tank size (Market data table). Off/On-cycle UA (col I): gas SL / 70 °F rating ΔT (10 CFR 431.102 / Title 20), not ambient T.</t>
  </si>
  <si>
    <t>CZ02</t>
  </si>
  <si>
    <t>CZ03</t>
  </si>
  <si>
    <t>CZ04</t>
  </si>
  <si>
    <t>CZ05</t>
  </si>
  <si>
    <t>CZ06</t>
  </si>
  <si>
    <t>CZ07</t>
  </si>
  <si>
    <t>CZ08</t>
  </si>
  <si>
    <t>CZ09</t>
  </si>
  <si>
    <t xml:space="preserve">Market data </t>
  </si>
  <si>
    <t>Catalog gas input (Btu/h)</t>
  </si>
  <si>
    <t>Input source</t>
  </si>
  <si>
    <t>Elec resistance tank (kW)</t>
  </si>
  <si>
    <t>Elec resistance (Btu/h)</t>
  </si>
  <si>
    <t>Catalog gas tank (gal)</t>
  </si>
  <si>
    <t>Tank source</t>
  </si>
  <si>
    <t>Elec tank (gal)</t>
  </si>
  <si>
    <t>Elec tank source</t>
  </si>
  <si>
    <t>Grainger</t>
  </si>
  <si>
    <t>ENERGY STAR</t>
  </si>
  <si>
    <t>Both</t>
  </si>
  <si>
    <t>Space Type</t>
  </si>
  <si>
    <t xml:space="preserve">New Construction </t>
  </si>
  <si>
    <t>LPD (W/ft²)</t>
  </si>
  <si>
    <t>Additional LPD for Portable Lighting (W/ft²)</t>
  </si>
  <si>
    <t xml:space="preserve">LPD (W/ft²) </t>
  </si>
  <si>
    <t>0.25 (decorative/Display)</t>
  </si>
  <si>
    <t xml:space="preserve">T24, 2025, Table 140.6-C
(Area category method) </t>
  </si>
  <si>
    <t>0.5 (Ornamental)</t>
  </si>
  <si>
    <t>T24, 2016, Table 140.6-C
(Area category method) 
LPD of "All other spaces" is considered for storage space</t>
  </si>
  <si>
    <t>0.3 (Ornamental)</t>
  </si>
  <si>
    <r>
      <t xml:space="preserve">T24, </t>
    </r>
    <r>
      <rPr>
        <sz val="10"/>
        <color rgb="FF000000"/>
        <rFont val="Arial"/>
        <family val="2"/>
      </rPr>
      <t>2019</t>
    </r>
    <r>
      <rPr>
        <sz val="10"/>
        <color theme="0" tint="-0.34998626667073579"/>
        <rFont val="Arial"/>
        <family val="2"/>
      </rPr>
      <t>, Table 140.6-C
(Area category method) 
LPD of "All other spaces" is considered for storage space</t>
    </r>
  </si>
  <si>
    <t>*ComStock</t>
  </si>
  <si>
    <t>Motion Controlled Luminaires (W)</t>
  </si>
  <si>
    <t>Non-motion Controlled Luminaires (W)</t>
  </si>
  <si>
    <t>Total (W)</t>
  </si>
  <si>
    <t>T24, 2022</t>
  </si>
  <si>
    <t xml:space="preserve">Exterior Lighting </t>
  </si>
  <si>
    <t>Items (Assume LZ2)</t>
  </si>
  <si>
    <t>Assumptions
[2019 Outdoor Lighting CASE Report &amp; PNNL 90.1-2010 TSD]</t>
  </si>
  <si>
    <t>Unit</t>
  </si>
  <si>
    <t>Lighting Power Allowance 
[T24, 2025, Table 140.7-A &amp; 140.7-B]</t>
  </si>
  <si>
    <t>Exterior Lighting Power (W)</t>
  </si>
  <si>
    <t>IWA (Initial Wattage Allowance)</t>
  </si>
  <si>
    <t>(W)</t>
  </si>
  <si>
    <t>Parking area</t>
  </si>
  <si>
    <r>
      <t xml:space="preserve"> 400 ft² for every parking space</t>
    </r>
    <r>
      <rPr>
        <sz val="10"/>
        <color rgb="FF000000"/>
        <rFont val="Arial"/>
        <family val="2"/>
      </rPr>
      <t xml:space="preserve"> [2019 Lighting CASE report, Appendix H]</t>
    </r>
    <r>
      <rPr>
        <sz val="10"/>
        <rFont val="Arial"/>
        <family val="2"/>
      </rPr>
      <t xml:space="preserve">
1 parking space per 250 ft² of gross building area  [</t>
    </r>
    <r>
      <rPr>
        <sz val="10"/>
        <color rgb="FF000000"/>
        <rFont val="Arial"/>
        <family val="2"/>
      </rPr>
      <t>2019 Lighting CASE report,Table 38]</t>
    </r>
  </si>
  <si>
    <t>(ft²)</t>
  </si>
  <si>
    <t>(W/ft²)</t>
  </si>
  <si>
    <t>Building Entrance</t>
  </si>
  <si>
    <t>2 building entrance (1 per 10,000 ft² footprint)</t>
  </si>
  <si>
    <t>(count)</t>
  </si>
  <si>
    <t>(W/ea)</t>
  </si>
  <si>
    <t>Hardscape Ornamental Light</t>
  </si>
  <si>
    <r>
      <t xml:space="preserve">0.1 ft² per 1 ft² of gross building area </t>
    </r>
    <r>
      <rPr>
        <sz val="10"/>
        <color rgb="FF000000"/>
        <rFont val="Arial"/>
        <family val="2"/>
      </rPr>
      <t>[2019 Lighting CASE report,Table 36]</t>
    </r>
  </si>
  <si>
    <t>Building façade</t>
  </si>
  <si>
    <t>0.1 W per 1 ft² of facade area 
Façade Area = Perimeter × 0.5 × 10 ft (10 ft is the building height ) * 
The 0.5 factor assumes that only half of the perimeter walls are lit.
-Formula is developed based on the 2019 Outdoor Lighting CASE report</t>
  </si>
  <si>
    <t>Drive up windows</t>
  </si>
  <si>
    <r>
      <t xml:space="preserve">1 per 1500 ft² of gross building area </t>
    </r>
    <r>
      <rPr>
        <sz val="10"/>
        <color rgb="FF000000"/>
        <rFont val="Arial"/>
        <family val="2"/>
      </rPr>
      <t>[2019 Lighting CASE report,Table 36]</t>
    </r>
  </si>
  <si>
    <t>Outdoor dining</t>
  </si>
  <si>
    <r>
      <t xml:space="preserve">1 ft² per 5 ft² of gross building area </t>
    </r>
    <r>
      <rPr>
        <sz val="10"/>
        <color rgb="FF000000"/>
        <rFont val="Arial"/>
        <family val="2"/>
      </rPr>
      <t>[2019 Lighting CASE report,Table 36]</t>
    </r>
  </si>
  <si>
    <t>Motion controlled Luminaires</t>
  </si>
  <si>
    <t>Non-motion-controlled Luminaires</t>
  </si>
  <si>
    <t>TOTAL</t>
  </si>
  <si>
    <t>Perimeter (ft)</t>
  </si>
  <si>
    <t>Total floor area (ft²)</t>
  </si>
  <si>
    <t>Floors</t>
  </si>
  <si>
    <t>Title 24, 2025</t>
  </si>
  <si>
    <t xml:space="preserve">Plug Load Power Density (W/ft²) </t>
  </si>
  <si>
    <t>ReachIn Refrigerator and ReachInFreezer Power (W) - 24/7</t>
  </si>
  <si>
    <t>Refrigerator Power Density (W/ft²)</t>
  </si>
  <si>
    <t>Gas Power Density (Btu/hr-ft²)</t>
  </si>
  <si>
    <t xml:space="preserve"> Others inputs: T24 2025 - Appendix 5.4A: "2022 SpaceFuncData-Input" </t>
  </si>
  <si>
    <t>- ReachIn Refrigerator and ReachInFreezer load :
[PNNL ASHRAE 90.1 2022 Fast Food prototype]
- Other inputs: 
T24 2025 - Appendix 5.4A: "2022 SpaceFuncData-Input"
Plug load density is confirmed by the findings Plug load and schedules project with CEC, 2025</t>
  </si>
  <si>
    <t>*ReachIn Refrigerator and ReachInFreezer Power is based on PNNL model. It doesn’t exist in the CEC prototype model.</t>
  </si>
  <si>
    <t>* Gas load is very low compared to PNNL model (237.4 Btu/hr-ft2 for Kitchen)</t>
  </si>
  <si>
    <t xml:space="preserve">Refrigerator load will be simulated as equipment load </t>
  </si>
  <si>
    <t>National Average (EnergyStar Portfolio Manager)</t>
  </si>
  <si>
    <t>CEUS Energy Consumption - Restaurant</t>
  </si>
  <si>
    <t>CZ</t>
  </si>
  <si>
    <t>CalBEM Electricity EUI (KBTU/ft²)</t>
  </si>
  <si>
    <t>CalBEM Gas EUI (KBTU/ft²)</t>
  </si>
  <si>
    <t>CalBEM Total  EUI (KBTU/ft²)</t>
  </si>
  <si>
    <t>New Construction  Electricity EUI (KBTU/ft²)</t>
  </si>
  <si>
    <t>New Construction  Gas EUI (KBTU/ft²)</t>
  </si>
  <si>
    <t>New Construction  Total EUI (KBTU/ft²)</t>
  </si>
  <si>
    <t>National Average</t>
  </si>
  <si>
    <t>Acceptable Range (25% Higher)</t>
  </si>
  <si>
    <t>Acceptable Range (25% Lower)</t>
  </si>
  <si>
    <t>National Average Acceptable EUI Range</t>
  </si>
  <si>
    <t>Total Floorspace (Thousand of ft²)</t>
  </si>
  <si>
    <t>CEUS 2022 Electricity EUI (kBtu/ft²)</t>
  </si>
  <si>
    <t>CEUS 2022 Gas EUI  (kBtu/ft²)</t>
  </si>
  <si>
    <t>CEUS 2022 Total EUI (kBtu/ft²)</t>
  </si>
  <si>
    <t xml:space="preserve">CEUS 2022 Acceptable EUI Range </t>
  </si>
  <si>
    <t>RetailStripMall</t>
  </si>
  <si>
    <t xml:space="preserve">Ref: CEUS 2022 Report </t>
  </si>
  <si>
    <t xml:space="preserve">And converted FZ level data to CZ level </t>
  </si>
  <si>
    <t>Restaurants have only one category in CEUS data.</t>
  </si>
  <si>
    <t>Screenshot of assumption for the national average in the EnergyStar Portfolio Manager website</t>
  </si>
  <si>
    <t xml:space="preserve">EIA 2018: </t>
  </si>
  <si>
    <t>ENERGY STAR Portfolio Manager Upgrade</t>
  </si>
  <si>
    <t>Zone</t>
  </si>
  <si>
    <t>Schedule</t>
  </si>
  <si>
    <t>Type</t>
  </si>
  <si>
    <t>Hour</t>
  </si>
  <si>
    <t>Occupancy</t>
  </si>
  <si>
    <t>PNNL, ASHRAE 90.1, 2022 Fast Food Restaurant prototype 
(It has higher occupancy rate during morning compared to T24 2022 - Appendix 5.4B)</t>
  </si>
  <si>
    <t>Weekday</t>
  </si>
  <si>
    <t>Saturday</t>
  </si>
  <si>
    <t>Sunday</t>
  </si>
  <si>
    <t>Lights</t>
  </si>
  <si>
    <r>
      <t xml:space="preserve">T24 2022 - Appendix 5.4B, [Restaurant]
</t>
    </r>
    <r>
      <rPr>
        <sz val="9"/>
        <color rgb="FF00B050"/>
        <rFont val="Arial"/>
        <family val="2"/>
      </rPr>
      <t>Updated based on the equipment schedule from the plug load and schedule project with CEC</t>
    </r>
    <r>
      <rPr>
        <sz val="9"/>
        <color theme="1"/>
        <rFont val="Arial"/>
        <family val="2"/>
      </rPr>
      <t xml:space="preserve">
</t>
    </r>
  </si>
  <si>
    <t>ElecEquipment</t>
  </si>
  <si>
    <t>Plug load and schedules project with CEC, 2025</t>
  </si>
  <si>
    <t>HVACAvail</t>
  </si>
  <si>
    <r>
      <t xml:space="preserve">T24 2022 - Appendix 5.4B , [Restaurant]
</t>
    </r>
    <r>
      <rPr>
        <sz val="9"/>
        <color rgb="FF00B050"/>
        <rFont val="Arial"/>
        <family val="2"/>
      </rPr>
      <t xml:space="preserve">Updated based on the adopted PNNL occupancy 
</t>
    </r>
  </si>
  <si>
    <t>ServiceHotWater</t>
  </si>
  <si>
    <r>
      <t xml:space="preserve">T24 2022 - Appendix 5.4B, [Restaurant]
</t>
    </r>
    <r>
      <rPr>
        <sz val="9"/>
        <color rgb="FF00B050"/>
        <rFont val="Arial"/>
        <family val="2"/>
      </rPr>
      <t xml:space="preserve">
Updated based on the adopted PNNL occupancy </t>
    </r>
  </si>
  <si>
    <r>
      <t xml:space="preserve">T24 2022 - Appendix 5.4B, [Restaurant]
</t>
    </r>
    <r>
      <rPr>
        <sz val="9"/>
        <color rgb="FF00B050"/>
        <rFont val="Arial"/>
        <family val="2"/>
      </rPr>
      <t xml:space="preserve">Updated based on the adopted PNNL occupancy 
</t>
    </r>
    <r>
      <rPr>
        <sz val="9"/>
        <color theme="1"/>
        <rFont val="Arial"/>
        <family val="2"/>
      </rPr>
      <t xml:space="preserve">
</t>
    </r>
  </si>
  <si>
    <t>Refrigeration</t>
  </si>
  <si>
    <t>T24 2022 - Appendix 5.4B, [Restaurant]</t>
  </si>
  <si>
    <t>HtgSetpt</t>
  </si>
  <si>
    <t>ClgSetpt</t>
  </si>
  <si>
    <t>occupancy</t>
  </si>
  <si>
    <t>ExhaustHoodEqualOrLessThan5000cfm</t>
  </si>
  <si>
    <t>ExhaustHoodGreaterThan 5000cfm</t>
  </si>
  <si>
    <r>
      <t xml:space="preserve">T24 2022 - Appendix 5.4B,  [Restaurant]
</t>
    </r>
    <r>
      <rPr>
        <sz val="9"/>
        <color rgb="FF00B050"/>
        <rFont val="Arial"/>
        <family val="2"/>
      </rPr>
      <t xml:space="preserve">
Updated based on the adopted PNNL occupancy</t>
    </r>
  </si>
  <si>
    <t>GasEquipment</t>
  </si>
  <si>
    <r>
      <t xml:space="preserve">T24 2022 - Appendix 5.4B,  [Restaurant]
</t>
    </r>
    <r>
      <rPr>
        <sz val="9"/>
        <color rgb="FF00B050"/>
        <rFont val="Arial"/>
        <family val="2"/>
      </rPr>
      <t>Updated based on the equipment schedule from the plug load and schedule project with CEC</t>
    </r>
  </si>
  <si>
    <t>Thermostat Setpoints of PNNL 09.1, 2022 Restaurant prototype and HVAC availability schedule of CEC Restaurant prototype</t>
  </si>
  <si>
    <t>Other</t>
  </si>
  <si>
    <t>ExtLightingNonMotionCtrl</t>
  </si>
  <si>
    <t>ExtLightingMotionCtrl</t>
  </si>
  <si>
    <t>DiningAreaPeopleActivityLevel</t>
  </si>
  <si>
    <t>Based on Activity level schedules in  CEC Prototypes and assumed spaces for Basement</t>
  </si>
  <si>
    <t>KitchenPeopleActivityLevel</t>
  </si>
  <si>
    <t>HVAC  Operating Hour</t>
  </si>
  <si>
    <t>Period</t>
  </si>
  <si>
    <t>Weekdays Multiplier</t>
  </si>
  <si>
    <t>12:00 am - 6:00 am</t>
  </si>
  <si>
    <t>6:00 am -7:00 am</t>
  </si>
  <si>
    <t>20% capcaity</t>
  </si>
  <si>
    <t>7:00 am - 8:00 am</t>
  </si>
  <si>
    <t>70% Capacity</t>
  </si>
  <si>
    <t xml:space="preserve">8:00 am - 17:00 pm </t>
  </si>
  <si>
    <t>Full capacity</t>
  </si>
  <si>
    <t>17:00 pm - 18:00 pm</t>
  </si>
  <si>
    <t>18:00 pm - 19:00 pm</t>
  </si>
  <si>
    <t>50% capacity</t>
  </si>
  <si>
    <t>19:00 pm - 20:00 pm</t>
  </si>
  <si>
    <t>20:00 pm - 22:00 pm</t>
  </si>
  <si>
    <t>22:00 pm - 12:00 am</t>
  </si>
  <si>
    <t>CEUS 2022 data</t>
  </si>
  <si>
    <t>Total Weighted Average Annual Operating Hours</t>
  </si>
  <si>
    <t>Office, Small</t>
  </si>
  <si>
    <t>Working day</t>
  </si>
  <si>
    <t xml:space="preserve"> Weighted Average Operating Hours Per Day </t>
  </si>
  <si>
    <t>Weighted average operating hours  per working day (assuming zero load for weekends)</t>
  </si>
  <si>
    <t>Operating Hours Per Day (in 4-hrs bin) By Planning Area &amp; Forecast Zone</t>
  </si>
  <si>
    <t>Calculation Method</t>
  </si>
  <si>
    <t>Statewide/  Utility/ FCZ</t>
  </si>
  <si>
    <t>0&lt; X &lt;=4</t>
  </si>
  <si>
    <t>4&lt; X &lt;=8</t>
  </si>
  <si>
    <t>8&lt; X &lt;=12</t>
  </si>
  <si>
    <t>12&lt; X &lt;=16</t>
  </si>
  <si>
    <t>16&lt; X &lt;=20</t>
  </si>
  <si>
    <t>20&lt;= X &lt;24</t>
  </si>
  <si>
    <t>24 Hrs/Day</t>
  </si>
  <si>
    <t>Not Available</t>
  </si>
  <si>
    <r>
      <rPr>
        <b/>
        <sz val="14"/>
        <color rgb="FF0070C0"/>
        <rFont val="Calibri"/>
        <family val="2"/>
        <scheme val="minor"/>
      </rPr>
      <t xml:space="preserve">←  </t>
    </r>
    <r>
      <rPr>
        <b/>
        <sz val="11"/>
        <color rgb="FF0070C0"/>
        <rFont val="Calibri"/>
        <family val="2"/>
        <scheme val="minor"/>
      </rPr>
      <t xml:space="preserve"> Operating Hours Per Day</t>
    </r>
  </si>
  <si>
    <t>Floorspace-Based</t>
  </si>
  <si>
    <t>Statewide</t>
  </si>
  <si>
    <t>Annual Operating Hours By Planning Area &amp; Forecast Zone</t>
  </si>
  <si>
    <t>&lt;=500 Hrs</t>
  </si>
  <si>
    <t>500 &lt; Hrs &lt;=1000</t>
  </si>
  <si>
    <t>1000 &lt; Hrs &lt;=1500</t>
  </si>
  <si>
    <t>1500 &lt; Hrs &lt;=2000</t>
  </si>
  <si>
    <t>2000 &lt; Hrs &lt;=2500</t>
  </si>
  <si>
    <t>2500 &lt; Hrs &lt;=3000</t>
  </si>
  <si>
    <t>3000 &lt; Hrs &lt;=3500</t>
  </si>
  <si>
    <t>3500 &lt; Hrs &lt;=4000</t>
  </si>
  <si>
    <t>4000 &lt; Hrs &lt;=4500</t>
  </si>
  <si>
    <t>4500 &lt; Hrs &lt;=5000</t>
  </si>
  <si>
    <t>5000 &lt; Hrs &lt;=5500</t>
  </si>
  <si>
    <t>5500 &lt; Hrs &lt;=6000</t>
  </si>
  <si>
    <t>6500 &lt; Hrs &lt;=7000</t>
  </si>
  <si>
    <t>7000 &lt; Hrs &lt;=7000</t>
  </si>
  <si>
    <t>7500 &lt; Hrs &lt;=8000</t>
  </si>
  <si>
    <t>8000&lt; Hrs &lt;=8500</t>
  </si>
  <si>
    <t>8001 &lt; Hrs &lt;=8500</t>
  </si>
  <si>
    <t xml:space="preserve"> 8500 &lt; Hrs &lt;8760</t>
  </si>
  <si>
    <t>8760 Hours</t>
  </si>
  <si>
    <t xml:space="preserve">←   Annual Operating Hours </t>
  </si>
  <si>
    <t>Occupnacy Schedules (existing prototypes extracted from the idf files (presented below)</t>
  </si>
  <si>
    <t>PNNL</t>
  </si>
  <si>
    <t>DEER</t>
  </si>
  <si>
    <t>CEC</t>
  </si>
  <si>
    <t>m2/person</t>
  </si>
  <si>
    <t>Person/m2: 0.0538195521</t>
  </si>
  <si>
    <t>Person/m2 :0.0538195521</t>
  </si>
  <si>
    <t>PNNL (Core+ 3 Perimeter)</t>
  </si>
  <si>
    <t>PNNL( 1 Perimeter)</t>
  </si>
  <si>
    <t>DEER Normal day</t>
  </si>
  <si>
    <t>DEER Saturday</t>
  </si>
  <si>
    <t>DEER (Other day)</t>
  </si>
  <si>
    <t>CEC Weekday</t>
  </si>
  <si>
    <t>CEC Saturday</t>
  </si>
  <si>
    <t>CEC Sunday</t>
  </si>
  <si>
    <t xml:space="preserve">10 h entirely occupied </t>
  </si>
  <si>
    <t xml:space="preserve">9 h entirely occupied </t>
  </si>
  <si>
    <t>DEER 2024 (Old model rebuilt in E+)</t>
  </si>
  <si>
    <t>DEERSmall Office idf: 07-2024</t>
  </si>
  <si>
    <t xml:space="preserve"> Schedule:Compact,</t>
  </si>
  <si>
    <t xml:space="preserve">    Hall EL1 Core Spc (G.C5) Occupant Sch,  !- Name</t>
  </si>
  <si>
    <t xml:space="preserve">    OfficeSmall EL1 North Perim Spc (G.N3) Occupant Sch,  !- Name</t>
  </si>
  <si>
    <t xml:space="preserve">    OfficeSmall EL1 East Perim Spc (G.E2) Occupant Sch,  !- Name</t>
  </si>
  <si>
    <t xml:space="preserve">    OfficeSmall EL1 South Perim Spc (G.S1) Occupant Sch,  !- Name</t>
  </si>
  <si>
    <t xml:space="preserve">    OfficeSmall EL1 West Perim Spc (G.W4) Occupant Sch,  !- Name</t>
  </si>
  <si>
    <t xml:space="preserve">    Hall EL1 Core Spc (T.C15) Occupant Sch,  !- Name</t>
  </si>
  <si>
    <t xml:space="preserve">    OfficeSmall EL1 East Perim Spc (T.E12) Occupant Sch,  !- Name</t>
  </si>
  <si>
    <t xml:space="preserve">    OfficeSmall EL1 North Perim Spc (T.N13) Occupant Sch,  !- Name</t>
  </si>
  <si>
    <t xml:space="preserve">    OfficeSmall EL1 South Perim Spc (T.S11) Occupant Sch,  !- Name</t>
  </si>
  <si>
    <t xml:space="preserve">    OfficeSmall EL1 West Perim Spc (T.W14) Occupant Sch,  !- Name</t>
  </si>
  <si>
    <t xml:space="preserve">    Unit Interval,           !- Schedule Type Limits Name</t>
  </si>
  <si>
    <t xml:space="preserve">    Through: 12/31,          !- Field 1</t>
  </si>
  <si>
    <t xml:space="preserve">    For: SummerDesignDay,    !- Field 2</t>
  </si>
  <si>
    <t xml:space="preserve">    Until: 24:00,1.0,        !- Field 3</t>
  </si>
  <si>
    <t xml:space="preserve">    For: WinterDesignDay,    !- Field 5</t>
  </si>
  <si>
    <t xml:space="preserve">    Until: 24:00,0.0,        !- Field 6</t>
  </si>
  <si>
    <t xml:space="preserve">    For: Weekdays,           !- Field 8</t>
  </si>
  <si>
    <t xml:space="preserve">    Until: 06:00,0.0,        !- Field 9</t>
  </si>
  <si>
    <t xml:space="preserve">    Until: 07:00,0.10,       !- Field 11</t>
  </si>
  <si>
    <t xml:space="preserve">    Until: 08:00,0.20,       !- Field 13</t>
  </si>
  <si>
    <t xml:space="preserve">    Until: 12:00,0.95,       !- Field 15</t>
  </si>
  <si>
    <t xml:space="preserve">    Until: 13:00,0.50,       !- Field 17</t>
  </si>
  <si>
    <t xml:space="preserve">    Until: 17:00,0.95,       !- Field 19</t>
  </si>
  <si>
    <t xml:space="preserve">    Until: 18:00,0.30,       !- Field 21</t>
  </si>
  <si>
    <t xml:space="preserve">    Until: 22:00,0.10,       !- Field 23</t>
  </si>
  <si>
    <t xml:space="preserve">    Until: 24:00,0.05,       !- Field 25</t>
  </si>
  <si>
    <t xml:space="preserve">    For: Saturday,           !- Field 27</t>
  </si>
  <si>
    <t xml:space="preserve">    Until: 06:00,0.0,        !- Field 28</t>
  </si>
  <si>
    <t xml:space="preserve">    Until: 08:00,0.10,       !- Field 30</t>
  </si>
  <si>
    <t xml:space="preserve">    Until: 12:00,0.30,       !- Field 32</t>
  </si>
  <si>
    <t xml:space="preserve">    Until: 17:00,0.10,       !- Field 34</t>
  </si>
  <si>
    <t xml:space="preserve">    Until: 19:00,0.05,       !- Field 36</t>
  </si>
  <si>
    <t xml:space="preserve">    Until: 24:00,0.0,        !- Field 38</t>
  </si>
  <si>
    <t xml:space="preserve">    For: AllOtherDays,       !- Field 40</t>
  </si>
  <si>
    <t xml:space="preserve">    Until: 06:00,0.0,        !- Field 41</t>
  </si>
  <si>
    <t xml:space="preserve">    Until: 18:00,0.05,       !- Field 43</t>
  </si>
  <si>
    <t xml:space="preserve">    Until: 24:00,0.0;        !- Field 45</t>
  </si>
  <si>
    <t>PNNL 2022</t>
  </si>
  <si>
    <t>PNNL Small Office</t>
  </si>
  <si>
    <t xml:space="preserve">For only 1 perimeter zone </t>
  </si>
  <si>
    <t xml:space="preserve">    BLDG_OCC_SCH_w_SB,       !- Name</t>
  </si>
  <si>
    <t xml:space="preserve">    BLDG_OCC_SCH_wo_SB,      !- Name</t>
  </si>
  <si>
    <t xml:space="preserve">    Fraction,                !- Schedule Type Limits Name</t>
  </si>
  <si>
    <t xml:space="preserve">    For: Weekdays,           !- Field 2</t>
  </si>
  <si>
    <t xml:space="preserve">    Until: 01:00,0,          !- Field 3</t>
  </si>
  <si>
    <t xml:space="preserve">    Until: 02:00,0,          !- Field 5</t>
  </si>
  <si>
    <t xml:space="preserve">    Until: 03:00,0,          !- Field 7</t>
  </si>
  <si>
    <t xml:space="preserve">    Until: 04:00,0,          !- Field 9</t>
  </si>
  <si>
    <t xml:space="preserve">    Until: 05:00,0,          !- Field 11</t>
  </si>
  <si>
    <t xml:space="preserve">    Until: 06:00,0,          !- Field 13</t>
  </si>
  <si>
    <t xml:space="preserve">    Until: 07:00,0.11,       !- Field 15</t>
  </si>
  <si>
    <t xml:space="preserve">    Until: 08:00,0.21,       !- Field 17</t>
  </si>
  <si>
    <t xml:space="preserve">    Until: 09:00,1,          !- Field 19</t>
  </si>
  <si>
    <t xml:space="preserve">    Until: 10:00,1,          !- Field 21</t>
  </si>
  <si>
    <t xml:space="preserve">    Until: 11:00,0,          !- Field 23</t>
  </si>
  <si>
    <t xml:space="preserve">    Until: 11:00,1,          !- Field 23</t>
  </si>
  <si>
    <t xml:space="preserve">    Until: 12:00,1,          !- Field 25</t>
  </si>
  <si>
    <t xml:space="preserve">    Until: 13:00,0,          !- Field 27</t>
  </si>
  <si>
    <t xml:space="preserve">    Until: 13:00,0.610394505402463, !- Field 27</t>
  </si>
  <si>
    <t xml:space="preserve">    Until: 14:00,1,          !- Field 29</t>
  </si>
  <si>
    <t xml:space="preserve">    Until: 15:00,0,          !- Field 31</t>
  </si>
  <si>
    <t xml:space="preserve">    Until: 15:00,1,          !- Field 31</t>
  </si>
  <si>
    <t xml:space="preserve">    Until: 16:00,1,          !- Field 33</t>
  </si>
  <si>
    <t xml:space="preserve">    Until: 17:00,1,          !- Field 35</t>
  </si>
  <si>
    <t xml:space="preserve">    Until: 18:00,0.32,       !- Field 37</t>
  </si>
  <si>
    <t xml:space="preserve">    Until: 19:00,0.11,       !- Field 39</t>
  </si>
  <si>
    <t xml:space="preserve">    Until: 20:00,0.11,       !- Field 41</t>
  </si>
  <si>
    <t xml:space="preserve">    Until: 21:00,0.11,       !- Field 43</t>
  </si>
  <si>
    <t xml:space="preserve">    Until: 22:00,0.11,       !- Field 45</t>
  </si>
  <si>
    <t xml:space="preserve">    Until: 23:00,0.05,       !- Field 47</t>
  </si>
  <si>
    <t xml:space="preserve">    Until: 24:00,0,          !- Field 49</t>
  </si>
  <si>
    <t xml:space="preserve">    For: Weekends,           !- Field 51</t>
  </si>
  <si>
    <t xml:space="preserve">    Until: 01:00,0,          !- Field 52</t>
  </si>
  <si>
    <t xml:space="preserve">    Until: 02:00,0,          !- Field 54</t>
  </si>
  <si>
    <t xml:space="preserve">    Until: 03:00,0,          !- Field 56</t>
  </si>
  <si>
    <t xml:space="preserve">    Until: 04:00,0,          !- Field 58</t>
  </si>
  <si>
    <t xml:space="preserve">    Until: 05:00,0,          !- Field 60</t>
  </si>
  <si>
    <t xml:space="preserve">    Until: 06:00,0,          !- Field 62</t>
  </si>
  <si>
    <t xml:space="preserve">    Until: 07:00,0,          !- Field 64</t>
  </si>
  <si>
    <t xml:space="preserve">    Until: 08:00,0,          !- Field 66</t>
  </si>
  <si>
    <t xml:space="preserve">    Until: 09:00,0,          !- Field 68</t>
  </si>
  <si>
    <t xml:space="preserve">    Until: 10:00,0,          !- Field 70</t>
  </si>
  <si>
    <t xml:space="preserve">    Until: 11:00,0,          !- Field 72</t>
  </si>
  <si>
    <t xml:space="preserve">    Until: 12:00,0,          !- Field 74</t>
  </si>
  <si>
    <t xml:space="preserve">    Until: 13:00,0,          !- Field 76</t>
  </si>
  <si>
    <t xml:space="preserve">    Until: 14:00,0,          !- Field 78</t>
  </si>
  <si>
    <t xml:space="preserve">    Until: 15:00,0,          !- Field 80</t>
  </si>
  <si>
    <t xml:space="preserve">    Until: 16:00,0,          !- Field 82</t>
  </si>
  <si>
    <t xml:space="preserve">    Until: 17:00,0,          !- Field 84</t>
  </si>
  <si>
    <t xml:space="preserve">    Until: 18:00,0,          !- Field 86</t>
  </si>
  <si>
    <t xml:space="preserve">    Until: 19:00,0,          !- Field 88</t>
  </si>
  <si>
    <t xml:space="preserve">    Until: 20:00,0,          !- Field 90</t>
  </si>
  <si>
    <t xml:space="preserve">    Until: 21:00,0,          !- Field 92</t>
  </si>
  <si>
    <t xml:space="preserve">    Until: 22:00,0,          !- Field 94</t>
  </si>
  <si>
    <t xml:space="preserve">    Until: 23:00,0,          !- Field 96</t>
  </si>
  <si>
    <t xml:space="preserve">Occupancy Load </t>
  </si>
  <si>
    <t>13 hours</t>
  </si>
  <si>
    <t xml:space="preserve">    Until: 24:00,0,          !- Field 98</t>
  </si>
  <si>
    <t xml:space="preserve">    For: Holiday,            !- Field 100</t>
  </si>
  <si>
    <t xml:space="preserve">    Until: 24:00,0.0,        !- Field 101</t>
  </si>
  <si>
    <t xml:space="preserve">    For: WinterDesignDay,    !- Field 103</t>
  </si>
  <si>
    <t>CEUS</t>
  </si>
  <si>
    <t>Entirely occupied</t>
  </si>
  <si>
    <t xml:space="preserve">    Until: 24:00,0.0,        !- Field 104</t>
  </si>
  <si>
    <t xml:space="preserve">    For: SummerDesignDay,    !- Field 106</t>
  </si>
  <si>
    <t xml:space="preserve">    Until: 24:00,1.0,        !- Field 107</t>
  </si>
  <si>
    <t>Weighted average operating hours per working day</t>
  </si>
  <si>
    <t xml:space="preserve">    For: CustomDay1,         !- Field 109</t>
  </si>
  <si>
    <t xml:space="preserve">    Until: 24:00,0.0,        !- Field 110</t>
  </si>
  <si>
    <t xml:space="preserve">    For: CustomDay2,         !- Field 112</t>
  </si>
  <si>
    <t xml:space="preserve">    Until: 24:00,0.0;        !- Field 113</t>
  </si>
  <si>
    <t>CBECC 2023</t>
  </si>
  <si>
    <t>CEC: CBEC 2023</t>
  </si>
  <si>
    <t xml:space="preserve">  Schedule:Day:Interval,</t>
  </si>
  <si>
    <t xml:space="preserve"> Schedule:Day:Interval,</t>
  </si>
  <si>
    <t>Schedule:Day:Interval,</t>
  </si>
  <si>
    <t xml:space="preserve">    OfficeOccupancyWD,       !- Name</t>
  </si>
  <si>
    <t xml:space="preserve">    OfficeOccupancySat,      !- Name</t>
  </si>
  <si>
    <t xml:space="preserve">    OfficeOccupancySun,      !- Name</t>
  </si>
  <si>
    <t xml:space="preserve">    No,                      !- Interpolate to Timestep</t>
  </si>
  <si>
    <t xml:space="preserve">    01:00,                   !- Time 1</t>
  </si>
  <si>
    <t xml:space="preserve">    0,                       !- Value Until Time 1</t>
  </si>
  <si>
    <t xml:space="preserve">    02:00,                   !- Time 2</t>
  </si>
  <si>
    <t xml:space="preserve">    0,                       !- Value Until Time 2</t>
  </si>
  <si>
    <t xml:space="preserve">    03:00,                   !- Time 3</t>
  </si>
  <si>
    <t xml:space="preserve">    0,                       !- Value Until Time 3</t>
  </si>
  <si>
    <t xml:space="preserve">    04:00,                   !- Time 4</t>
  </si>
  <si>
    <t xml:space="preserve">    0,                       !- Value Until Time 4</t>
  </si>
  <si>
    <t xml:space="preserve">    05:00,                   !- Time 5</t>
  </si>
  <si>
    <t xml:space="preserve">    0,                       !- Value Until Time 5</t>
  </si>
  <si>
    <t xml:space="preserve">    06:00,                   !- Time 6</t>
  </si>
  <si>
    <t xml:space="preserve">    0,                       !- Value Until Time 6</t>
  </si>
  <si>
    <t xml:space="preserve">    07:00,                   !- Time 7</t>
  </si>
  <si>
    <t xml:space="preserve">    0.1,                     !- Value Until Time 7</t>
  </si>
  <si>
    <t xml:space="preserve">    0.05,                    !- Value Until Time 7</t>
  </si>
  <si>
    <t xml:space="preserve">    08:00,                   !- Time 8</t>
  </si>
  <si>
    <t xml:space="preserve">    0.2,                     !- Value Until Time 8</t>
  </si>
  <si>
    <t xml:space="preserve">    0.1,                     !- Value Until Time 8</t>
  </si>
  <si>
    <t xml:space="preserve">    0.05,                    !- Value Until Time 8</t>
  </si>
  <si>
    <t xml:space="preserve">    09:00,                   !- Time 9</t>
  </si>
  <si>
    <t xml:space="preserve">    0.95,                    !- Value Until Time 9</t>
  </si>
  <si>
    <t xml:space="preserve">    0.3,                     !- Value Until Time 9</t>
  </si>
  <si>
    <t xml:space="preserve">    0.05,                    !- Value Until Time 9</t>
  </si>
  <si>
    <t xml:space="preserve">    10:00,                   !- Time 10</t>
  </si>
  <si>
    <t xml:space="preserve">    0.95,                    !- Value Until Time 10</t>
  </si>
  <si>
    <t xml:space="preserve">    0.3,                     !- Value Until Time 10</t>
  </si>
  <si>
    <t xml:space="preserve">    0.05,                    !- Value Until Time 10</t>
  </si>
  <si>
    <t xml:space="preserve">    11:00,                   !- Time 11</t>
  </si>
  <si>
    <t xml:space="preserve">    0.95,                    !- Value Until Time 11</t>
  </si>
  <si>
    <t xml:space="preserve">    0.3,                     !- Value Until Time 11</t>
  </si>
  <si>
    <t xml:space="preserve">    0.05,                    !- Value Until Time 11</t>
  </si>
  <si>
    <t xml:space="preserve">    12:00,                   !- Time 12</t>
  </si>
  <si>
    <t xml:space="preserve">    0.95,                    !- Value Until Time 12</t>
  </si>
  <si>
    <t xml:space="preserve">    0.3,                     !- Value Until Time 12</t>
  </si>
  <si>
    <t xml:space="preserve">    0.05,                    !- Value Until Time 12</t>
  </si>
  <si>
    <t xml:space="preserve">    13:00,                   !- Time 13</t>
  </si>
  <si>
    <t xml:space="preserve">    0.5,                     !- Value Until Time 13</t>
  </si>
  <si>
    <t xml:space="preserve">    0.1,                     !- Value Until Time 13</t>
  </si>
  <si>
    <t xml:space="preserve">    0.05,                    !- Value Until Time 13</t>
  </si>
  <si>
    <t xml:space="preserve">    14:00,                   !- Time 14</t>
  </si>
  <si>
    <t xml:space="preserve">    0.95,                    !- Value Until Time 14</t>
  </si>
  <si>
    <t xml:space="preserve">    0.1,                     !- Value Until Time 14</t>
  </si>
  <si>
    <t xml:space="preserve">    0.05,                    !- Value Until Time 14</t>
  </si>
  <si>
    <t xml:space="preserve">    15:00,                   !- Time 15</t>
  </si>
  <si>
    <t xml:space="preserve">    0.95,                    !- Value Until Time 15</t>
  </si>
  <si>
    <t xml:space="preserve">    0.1,                     !- Value Until Time 15</t>
  </si>
  <si>
    <t xml:space="preserve">    0.05,                    !- Value Until Time 15</t>
  </si>
  <si>
    <t xml:space="preserve">    16:00,                   !- Time 16</t>
  </si>
  <si>
    <t xml:space="preserve">    0.95,                    !- Value Until Time 16</t>
  </si>
  <si>
    <t xml:space="preserve">    0.1,                     !- Value Until Time 16</t>
  </si>
  <si>
    <t xml:space="preserve">    0.05,                    !- Value Until Time 16</t>
  </si>
  <si>
    <t xml:space="preserve">    17:00,                   !- Time 17</t>
  </si>
  <si>
    <t xml:space="preserve">    0.95,                    !- Value Until Time 17</t>
  </si>
  <si>
    <t xml:space="preserve">    0.1,                     !- Value Until Time 17</t>
  </si>
  <si>
    <t xml:space="preserve">    0.05,                    !- Value Until Time 17</t>
  </si>
  <si>
    <t xml:space="preserve">    18:00,                   !- Time 18</t>
  </si>
  <si>
    <t xml:space="preserve">    0.3,                     !- Value Until Time 18</t>
  </si>
  <si>
    <t xml:space="preserve">    0.05,                    !- Value Until Time 18</t>
  </si>
  <si>
    <t xml:space="preserve">    19:00,                   !- Time 19</t>
  </si>
  <si>
    <t xml:space="preserve">    0.1,                     !- Value Until Time 19</t>
  </si>
  <si>
    <t xml:space="preserve">    0.05,                    !- Value Until Time 19</t>
  </si>
  <si>
    <t xml:space="preserve">    0,                       !- Value Until Time 19</t>
  </si>
  <si>
    <t xml:space="preserve">    20:00,                   !- Time 20</t>
  </si>
  <si>
    <t xml:space="preserve">    0.1,                     !- Value Until Time 20</t>
  </si>
  <si>
    <t xml:space="preserve">    0,                       !- Value Until Time 20</t>
  </si>
  <si>
    <t xml:space="preserve">    21:00,                   !- Time 21</t>
  </si>
  <si>
    <t xml:space="preserve">    0.1,                     !- Value Until Time 21</t>
  </si>
  <si>
    <t xml:space="preserve">    0,                       !- Value Until Time 21</t>
  </si>
  <si>
    <t xml:space="preserve">    22:00,                   !- Time 22</t>
  </si>
  <si>
    <t xml:space="preserve">    0.1,                     !- Value Until Time 22</t>
  </si>
  <si>
    <t xml:space="preserve">    0,                       !- Value Until Time 22</t>
  </si>
  <si>
    <t xml:space="preserve">    23:00,                   !- Time 23</t>
  </si>
  <si>
    <t xml:space="preserve">    0.05,                    !- Value Until Time 23</t>
  </si>
  <si>
    <t xml:space="preserve">    0,                       !- Value Until Time 23</t>
  </si>
  <si>
    <t xml:space="preserve">    24:00,                   !- Time 24</t>
  </si>
  <si>
    <t xml:space="preserve">    0.05;                    !- Value Until Time 24</t>
  </si>
  <si>
    <t xml:space="preserve">    0;                       !- Value Until Time 24</t>
  </si>
  <si>
    <t>Gas Equipment</t>
  </si>
  <si>
    <t>;</t>
  </si>
  <si>
    <t>Vintage Bin</t>
  </si>
  <si>
    <t>Pre-1978</t>
  </si>
  <si>
    <t>Not available</t>
  </si>
  <si>
    <t>Ref: CEUS 2022 dataset: Restaurant group</t>
  </si>
  <si>
    <t>TBD</t>
  </si>
  <si>
    <t>Space Function</t>
  </si>
  <si>
    <t>Electric Equipment Load Intensity</t>
  </si>
  <si>
    <t>LPD</t>
  </si>
  <si>
    <t>Aging Eye/Low-vision (Corridor Area)</t>
  </si>
  <si>
    <t>Aging Eye/Low-vision (Dining)</t>
  </si>
  <si>
    <t>Aging Eye/Low-vision (Lobby, Main Entry)</t>
  </si>
  <si>
    <t>Aging Eye/Low-vision (Lounge/Waiting Area)</t>
  </si>
  <si>
    <t>Aging Eye/Low-vision (Multipurpose Room)</t>
  </si>
  <si>
    <t>Aging Eye/Low-vision (Religious Worship Area)</t>
  </si>
  <si>
    <t>Aging Eye/Low-vision (Restroom)</t>
  </si>
  <si>
    <t>Aging Eye/Low-vision (Stairwell)</t>
  </si>
  <si>
    <t>Audience Seating Area</t>
  </si>
  <si>
    <t>Auditorium Area</t>
  </si>
  <si>
    <t>Auto Repair / Maintenance Area</t>
  </si>
  <si>
    <t>Barber, Beauty Salon, Spa Area</t>
  </si>
  <si>
    <t>Civic Meeting Place Area</t>
  </si>
  <si>
    <t>Classroom, Lecture, Training, Vocational Areas</t>
  </si>
  <si>
    <t>Concourse and Atria Area</t>
  </si>
  <si>
    <t>Convention, Conference, Multipurpose and Meeting Area</t>
  </si>
  <si>
    <t>Copy Room</t>
  </si>
  <si>
    <t>Corridor Area</t>
  </si>
  <si>
    <t>Dining Area (Bar/Lounge and Fine Dining)</t>
  </si>
  <si>
    <t>Dining Area (Family and Leisure)</t>
  </si>
  <si>
    <t>Electrical, Mechanical, Telephone Rooms</t>
  </si>
  <si>
    <t>Exercise/Fitness Center and Gymnasium Areas</t>
  </si>
  <si>
    <t>Financial Transaction Area</t>
  </si>
  <si>
    <t>Healthcare Facility and Hospitals (Exam/Treatment Room)</t>
  </si>
  <si>
    <t>Healthcare Facility and Hospitals (Imaging Room)</t>
  </si>
  <si>
    <t>Healthcare Facility and Hospitals (Medical Supply Room)</t>
  </si>
  <si>
    <t>Healthcare Facility and Hospitals (Nursery)</t>
  </si>
  <si>
    <t>Healthcare Facility and Hospitals (Nurse's Station)</t>
  </si>
  <si>
    <t>Healthcare Facility and Hospitals (Operating Room)</t>
  </si>
  <si>
    <t>Healthcare Facility and Hospitals (Patient Room)</t>
  </si>
  <si>
    <t>Healthcare Facility and Hospitals (Physical Therapy Room)</t>
  </si>
  <si>
    <t>Healthcare Facility and Hospitals (Recovery Room)</t>
  </si>
  <si>
    <t>Hotel Function Area</t>
  </si>
  <si>
    <t>Kitchenette or Residential Kitchen</t>
  </si>
  <si>
    <t>Laboratory, Scientific</t>
  </si>
  <si>
    <t xml:space="preserve">Laundry Area </t>
  </si>
  <si>
    <t>Library (Reading Area)</t>
  </si>
  <si>
    <t>Library (Stacks Area)</t>
  </si>
  <si>
    <t>Lobby, Main Entry</t>
  </si>
  <si>
    <t>Locker Room</t>
  </si>
  <si>
    <t>Lounge, Breakroom, or Waiting Area</t>
  </si>
  <si>
    <t>Manufacturing, Commercial &amp; Industrial Work Area (Low Bay)</t>
  </si>
  <si>
    <t>Manufacturing, Commercial &amp; Industrial Work Area (High Bay)</t>
  </si>
  <si>
    <t>Manufacturing, Commercial &amp; Industrial Work Area (Precision)</t>
  </si>
  <si>
    <t>Museum Area (Exhibition/Display)</t>
  </si>
  <si>
    <t>Museum Area (Restoration Room)</t>
  </si>
  <si>
    <t>Office Area (&gt;250 square feet)</t>
  </si>
  <si>
    <t>Office Area (&lt;250 square feet)</t>
  </si>
  <si>
    <t>Parking Garage Area (Parking Zone and Ramps)</t>
  </si>
  <si>
    <t>Parking Garage Area (Daylight Adaptation Zones)</t>
  </si>
  <si>
    <t>Pharmacy Area</t>
  </si>
  <si>
    <t>Retail Sales Area (Grocery Sales)</t>
  </si>
  <si>
    <t>Retail Sales Area (Retail Merchandise Sales)</t>
  </si>
  <si>
    <t>Retail Sales Area (Fitting Room)</t>
  </si>
  <si>
    <t>Religious Worship Area</t>
  </si>
  <si>
    <t>Restrooms</t>
  </si>
  <si>
    <t>Stairwell</t>
  </si>
  <si>
    <t>Storage, Commercial/Industrial (Warehouse)</t>
  </si>
  <si>
    <t>Storage, Commercial/Industrial (Refrigerated)</t>
  </si>
  <si>
    <t>Storage, Commercial/Industrial (Shipping &amp; Handling)</t>
  </si>
  <si>
    <t>Storage (General)</t>
  </si>
  <si>
    <t>Sports Arena - Playing Area (&gt; 5,000 Spectators)</t>
  </si>
  <si>
    <t>Sports Arena - Playing Area (2,000 - 5,000 Spectators)</t>
  </si>
  <si>
    <t>Sports Arena - Playing Area (&lt; 2,000 Spectators)</t>
  </si>
  <si>
    <t>Sports Arena - Playing Area (Recreational)</t>
  </si>
  <si>
    <t>Theater Area (Motion Picture)</t>
  </si>
  <si>
    <t>Theater Area (Performance)</t>
  </si>
  <si>
    <t>Transportation Function (Baggage Area)</t>
  </si>
  <si>
    <t>Transportation Function (Ticketing Area)</t>
  </si>
  <si>
    <t>Videoconferencing Studio</t>
  </si>
  <si>
    <t>High-Rise Residential Living Spaces</t>
  </si>
  <si>
    <t>Hotel/Motel Guest Room</t>
  </si>
  <si>
    <t>All other</t>
  </si>
  <si>
    <t>Reception Area</t>
  </si>
  <si>
    <t>Elevator</t>
  </si>
  <si>
    <t>Plenum</t>
  </si>
  <si>
    <t>IT Room (EPD 12)</t>
  </si>
  <si>
    <t>Computer Room (EPD 20)</t>
  </si>
  <si>
    <t>Server Room (EPD 45)</t>
  </si>
  <si>
    <t>Fan power formula: PNNL 20405, 2010, section 5.2.2.5
TSP and fan efficiency: PNNL 20405, 2010, Table 5.11, 90.1-04ac values
Motor and drive efficiency: ASHRAE 90.1, 2004, Table 10.8</t>
  </si>
  <si>
    <t>Same as Pre 2008 because of their higher weights</t>
  </si>
  <si>
    <t>NORESCO, Updated September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</si>
</sst>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_(* \(#,##0.00\);_(* &quot;-&quot;??_);_(@_)"/>
    <numFmt numFmtId="164" formatCode="0.0%"/>
    <numFmt numFmtId="165" formatCode="0.0"/>
    <numFmt numFmtId="166" formatCode="#,##0.0"/>
    <numFmt numFmtId="167" formatCode="0.0000"/>
    <numFmt numFmtId="168" formatCode="0.000"/>
    <numFmt numFmtId="169" formatCode="_(* #,##0_);_(* \(#,##0\);_(* &quot;-&quot;??_);_(@_)"/>
    <numFmt numFmtId="170" formatCode="#,##0;\-0;[Color15]0"/>
  </numFmts>
  <fonts count="92" x14ac:knownFonts="1">
    <font>
      <sz val="11"/>
      <color theme="1"/>
      <name val="Calibri"/>
      <family val="2"/>
      <scheme val="minor"/>
    </font>
    <font>
      <b/>
      <sz val="14"/>
      <color theme="1"/>
      <name val="Calibri"/>
      <family val="2"/>
      <scheme val="minor"/>
    </font>
    <font>
      <sz val="10"/>
      <name val="Arial"/>
      <family val="2"/>
    </font>
    <font>
      <sz val="11"/>
      <color theme="1"/>
      <name val="Calibri"/>
      <family val="2"/>
      <scheme val="minor"/>
    </font>
    <font>
      <b/>
      <sz val="11"/>
      <color theme="1"/>
      <name val="Calibri"/>
      <family val="2"/>
      <scheme val="minor"/>
    </font>
    <font>
      <sz val="8"/>
      <color indexed="8"/>
      <name val="MS Sans Serif"/>
      <family val="2"/>
    </font>
    <font>
      <sz val="8"/>
      <name val="Calibri"/>
      <family val="2"/>
      <scheme val="minor"/>
    </font>
    <font>
      <sz val="10"/>
      <color theme="1"/>
      <name val="Arial"/>
      <family val="2"/>
    </font>
    <font>
      <b/>
      <sz val="14"/>
      <name val="Calibri"/>
      <family val="2"/>
      <scheme val="minor"/>
    </font>
    <font>
      <b/>
      <sz val="10"/>
      <color theme="1"/>
      <name val="Arial"/>
      <family val="2"/>
    </font>
    <font>
      <u/>
      <sz val="11"/>
      <color theme="10"/>
      <name val="Calibri"/>
      <family val="2"/>
      <scheme val="minor"/>
    </font>
    <font>
      <b/>
      <sz val="11"/>
      <color theme="0"/>
      <name val="Calibri"/>
      <family val="2"/>
      <scheme val="minor"/>
    </font>
    <font>
      <b/>
      <sz val="14"/>
      <color theme="0"/>
      <name val="Calibri"/>
      <family val="2"/>
      <scheme val="minor"/>
    </font>
    <font>
      <b/>
      <sz val="12"/>
      <color theme="1"/>
      <name val="Calibri"/>
      <family val="2"/>
      <scheme val="minor"/>
    </font>
    <font>
      <sz val="10"/>
      <color indexed="8"/>
      <name val="Arial"/>
      <family val="2"/>
    </font>
    <font>
      <sz val="11"/>
      <color theme="0"/>
      <name val="Calibri"/>
      <family val="2"/>
      <scheme val="minor"/>
    </font>
    <font>
      <sz val="11"/>
      <color theme="1"/>
      <name val="Arial"/>
      <family val="2"/>
    </font>
    <font>
      <b/>
      <sz val="12"/>
      <color theme="0"/>
      <name val="Arial"/>
      <family val="2"/>
    </font>
    <font>
      <sz val="11"/>
      <color rgb="FF000000"/>
      <name val="Calibri"/>
      <family val="2"/>
      <scheme val="minor"/>
    </font>
    <font>
      <b/>
      <sz val="14"/>
      <color theme="1"/>
      <name val="Arial"/>
      <family val="2"/>
    </font>
    <font>
      <u/>
      <sz val="10"/>
      <color theme="10"/>
      <name val="Arial"/>
      <family val="2"/>
    </font>
    <font>
      <sz val="10"/>
      <color rgb="FF000000"/>
      <name val="Calibri"/>
      <family val="2"/>
      <scheme val="minor"/>
    </font>
    <font>
      <sz val="10"/>
      <color theme="1"/>
      <name val="Calibri"/>
      <family val="2"/>
      <scheme val="minor"/>
    </font>
    <font>
      <b/>
      <sz val="18"/>
      <color theme="0"/>
      <name val="Calibri"/>
      <family val="2"/>
      <scheme val="minor"/>
    </font>
    <font>
      <b/>
      <sz val="11"/>
      <color rgb="FF0070C0"/>
      <name val="Calibri"/>
      <family val="2"/>
      <scheme val="minor"/>
    </font>
    <font>
      <b/>
      <sz val="14"/>
      <color rgb="FF0070C0"/>
      <name val="Calibri"/>
      <family val="2"/>
      <scheme val="minor"/>
    </font>
    <font>
      <sz val="8"/>
      <color rgb="FF000000"/>
      <name val="Calibri"/>
      <family val="2"/>
      <scheme val="minor"/>
    </font>
    <font>
      <b/>
      <sz val="11"/>
      <color rgb="FF000000"/>
      <name val="Calibri"/>
      <family val="2"/>
      <scheme val="minor"/>
    </font>
    <font>
      <sz val="11"/>
      <color rgb="FF0070C0"/>
      <name val="Arial"/>
      <family val="2"/>
    </font>
    <font>
      <b/>
      <sz val="10"/>
      <name val="Arial"/>
      <family val="2"/>
    </font>
    <font>
      <b/>
      <sz val="10"/>
      <color indexed="8"/>
      <name val="Arial"/>
      <family val="2"/>
    </font>
    <font>
      <sz val="10"/>
      <color rgb="FF000000"/>
      <name val="Arial"/>
      <family val="2"/>
    </font>
    <font>
      <sz val="9"/>
      <color theme="1"/>
      <name val="Arial"/>
      <family val="2"/>
    </font>
    <font>
      <sz val="10"/>
      <color rgb="FF000000"/>
      <name val="Arial"/>
      <family val="2"/>
    </font>
    <font>
      <b/>
      <sz val="10"/>
      <color rgb="FF000000"/>
      <name val="Arial"/>
      <family val="2"/>
    </font>
    <font>
      <b/>
      <sz val="9"/>
      <color theme="0"/>
      <name val="Arial"/>
      <family val="2"/>
    </font>
    <font>
      <sz val="11"/>
      <color theme="1"/>
      <name val="Arial"/>
      <family val="2"/>
    </font>
    <font>
      <b/>
      <sz val="14"/>
      <color theme="1"/>
      <name val="Arial"/>
      <family val="2"/>
    </font>
    <font>
      <sz val="11"/>
      <color theme="0"/>
      <name val="Arial"/>
      <family val="2"/>
    </font>
    <font>
      <sz val="12"/>
      <color theme="1"/>
      <name val="Aptos"/>
      <family val="2"/>
    </font>
    <font>
      <b/>
      <sz val="11"/>
      <color rgb="FF0000CC"/>
      <name val="Arial"/>
      <family val="2"/>
    </font>
    <font>
      <sz val="11"/>
      <color rgb="FF000000"/>
      <name val="Arial"/>
      <family val="2"/>
    </font>
    <font>
      <sz val="10"/>
      <color rgb="FF0070C0"/>
      <name val="Arial"/>
      <family val="2"/>
    </font>
    <font>
      <sz val="11"/>
      <color rgb="FF000000"/>
      <name val="Arial"/>
      <family val="2"/>
    </font>
    <font>
      <b/>
      <sz val="10"/>
      <color rgb="FF000000"/>
      <name val="Arial"/>
      <family val="2"/>
    </font>
    <font>
      <b/>
      <sz val="10"/>
      <color rgb="FF0070C0"/>
      <name val="Aptos"/>
      <family val="2"/>
    </font>
    <font>
      <b/>
      <sz val="12"/>
      <color rgb="FFFFFFFF"/>
      <name val="Arial"/>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0000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000000"/>
      <name val="Calibri"/>
      <family val="2"/>
      <scheme val="minor"/>
    </font>
    <font>
      <i/>
      <sz val="11"/>
      <color rgb="FF7F7F7F"/>
      <name val="Calibri"/>
      <family val="2"/>
      <scheme val="minor"/>
    </font>
    <font>
      <b/>
      <sz val="18"/>
      <color theme="3"/>
      <name val="Calibri Light"/>
      <family val="2"/>
      <scheme val="major"/>
    </font>
    <font>
      <sz val="11"/>
      <color rgb="FF9C6500"/>
      <name val="Calibri"/>
      <family val="2"/>
      <scheme val="minor"/>
    </font>
    <font>
      <sz val="9"/>
      <name val="Arial"/>
      <family val="2"/>
    </font>
    <font>
      <sz val="9"/>
      <color rgb="FF00B050"/>
      <name val="Arial"/>
      <family val="2"/>
    </font>
    <font>
      <sz val="11"/>
      <name val="Arial"/>
      <family val="2"/>
    </font>
    <font>
      <sz val="11"/>
      <color rgb="FF000000"/>
      <name val="Arial"/>
      <family val="2"/>
    </font>
    <font>
      <sz val="9"/>
      <color rgb="FF000000"/>
      <name val="Arial"/>
      <family val="2"/>
    </font>
    <font>
      <sz val="11"/>
      <name val="Aptos Narrow"/>
      <family val="2"/>
    </font>
    <font>
      <sz val="10"/>
      <color rgb="FF92D050"/>
      <name val="Arial"/>
      <family val="2"/>
    </font>
    <font>
      <sz val="11"/>
      <name val="Calibri"/>
      <family val="2"/>
      <scheme val="minor"/>
    </font>
    <font>
      <b/>
      <sz val="11"/>
      <name val="Arial"/>
      <family val="2"/>
    </font>
    <font>
      <sz val="10"/>
      <color theme="0" tint="-0.34998626667073579"/>
      <name val="Arial"/>
      <family val="2"/>
    </font>
    <font>
      <sz val="11"/>
      <color theme="0" tint="-0.34998626667073579"/>
      <name val="Calibri"/>
      <family val="2"/>
      <scheme val="minor"/>
    </font>
    <font>
      <b/>
      <sz val="11"/>
      <color theme="1"/>
      <name val="Arial"/>
      <family val="2"/>
    </font>
    <font>
      <sz val="12"/>
      <color rgb="FF000000"/>
      <name val="Arial"/>
      <family val="2"/>
    </font>
    <font>
      <b/>
      <sz val="11"/>
      <color rgb="FFFFFFFF"/>
      <name val="Arial"/>
      <family val="2"/>
    </font>
    <font>
      <sz val="9"/>
      <color rgb="FF0070C0"/>
      <name val="Arial"/>
      <family val="2"/>
    </font>
    <font>
      <sz val="11"/>
      <color rgb="FF000000"/>
      <name val="Calibri"/>
      <family val="2"/>
    </font>
    <font>
      <b/>
      <sz val="11"/>
      <color rgb="FF000000"/>
      <name val="Arial"/>
      <family val="2"/>
    </font>
    <font>
      <b/>
      <sz val="11"/>
      <name val="Calibri"/>
      <family val="2"/>
    </font>
    <font>
      <b/>
      <sz val="12"/>
      <color rgb="FFFFFFFF"/>
      <name val="Calibri"/>
      <family val="2"/>
    </font>
    <font>
      <sz val="11"/>
      <color rgb="FF000000"/>
      <name val="Calibri"/>
      <family val="2"/>
    </font>
    <font>
      <sz val="11"/>
      <color theme="1"/>
      <name val="Calibri"/>
      <family val="2"/>
    </font>
    <font>
      <sz val="11"/>
      <color theme="1"/>
      <name val="Segoe UI"/>
      <family val="2"/>
    </font>
    <font>
      <u/>
      <sz val="10"/>
      <color theme="10"/>
      <name val="Calibri"/>
      <family val="2"/>
      <scheme val="minor"/>
    </font>
    <font>
      <sz val="10"/>
      <color rgb="FFFFFFFF"/>
      <name val="Arial"/>
      <family val="2"/>
    </font>
    <font>
      <u/>
      <sz val="10"/>
      <color rgb="FF000000"/>
      <name val="Arial"/>
      <family val="2"/>
    </font>
    <font>
      <b/>
      <sz val="11"/>
      <color rgb="FF000000"/>
      <name val="Arial"/>
      <family val="2"/>
    </font>
    <font>
      <u/>
      <sz val="11"/>
      <color rgb="FF000000"/>
      <name val="Calibri"/>
      <family val="2"/>
      <scheme val="minor"/>
    </font>
    <font>
      <sz val="10"/>
      <color rgb="FF000000"/>
      <name val="Arial"/>
      <family val="2"/>
    </font>
    <font>
      <sz val="10"/>
      <name val="Arial"/>
      <family val="2"/>
    </font>
    <font>
      <sz val="10"/>
      <color rgb="FF000000"/>
      <name val="Calibri"/>
      <family val="2"/>
    </font>
    <font>
      <b/>
      <sz val="14"/>
      <color rgb="FFFFFFFF"/>
      <name val="Calibri"/>
      <family val="2"/>
      <scheme val="minor"/>
    </font>
    <font>
      <b/>
      <sz val="12"/>
      <color rgb="FFFFFFFF"/>
      <name val="Calibri"/>
      <family val="2"/>
      <scheme val="minor"/>
    </font>
  </fonts>
  <fills count="73">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0" tint="-0.14996795556505021"/>
        <bgColor indexed="64"/>
      </patternFill>
    </fill>
    <fill>
      <patternFill patternType="solid">
        <fgColor theme="1" tint="0.249977111117893"/>
        <bgColor indexed="64"/>
      </patternFill>
    </fill>
    <fill>
      <patternFill patternType="solid">
        <fgColor theme="4" tint="-0.499984740745262"/>
        <bgColor indexed="64"/>
      </patternFill>
    </fill>
    <fill>
      <patternFill patternType="solid">
        <fgColor theme="1" tint="0.34998626667073579"/>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4" tint="0.59999389629810485"/>
        <bgColor indexed="64"/>
      </patternFill>
    </fill>
    <fill>
      <patternFill patternType="solid">
        <fgColor rgb="FFD9E1F2"/>
        <bgColor rgb="FF000000"/>
      </patternFill>
    </fill>
    <fill>
      <patternFill patternType="solid">
        <fgColor rgb="FF203764"/>
        <bgColor rgb="FF000000"/>
      </patternFill>
    </fill>
    <fill>
      <patternFill patternType="solid">
        <fgColor theme="0" tint="-0.3499862666707357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2EFDA"/>
        <bgColor rgb="FF000000"/>
      </patternFill>
    </fill>
    <fill>
      <patternFill patternType="solid">
        <fgColor rgb="FFFFFFFF"/>
        <bgColor rgb="FF000000"/>
      </patternFill>
    </fill>
    <fill>
      <patternFill patternType="solid">
        <fgColor rgb="FFF2F2F2"/>
        <bgColor rgb="FF000000"/>
      </patternFill>
    </fill>
    <fill>
      <patternFill patternType="solid">
        <fgColor rgb="FFC6E0B4"/>
        <bgColor rgb="FF000000"/>
      </patternFill>
    </fill>
    <fill>
      <patternFill patternType="solid">
        <fgColor rgb="FFB4C6E7"/>
        <bgColor rgb="FF000000"/>
      </patternFill>
    </fill>
    <fill>
      <patternFill patternType="solid">
        <fgColor rgb="FFEFE8F0"/>
        <bgColor indexed="64"/>
      </patternFill>
    </fill>
    <fill>
      <patternFill patternType="solid">
        <fgColor rgb="FFDFD1E1"/>
        <bgColor indexed="64"/>
      </patternFill>
    </fill>
    <fill>
      <patternFill patternType="solid">
        <fgColor rgb="FFF1EAF2"/>
        <bgColor indexed="64"/>
      </patternFill>
    </fill>
    <fill>
      <patternFill patternType="solid">
        <fgColor rgb="FFD6DCE4"/>
        <bgColor rgb="FF000000"/>
      </patternFill>
    </fill>
    <fill>
      <patternFill patternType="solid">
        <fgColor rgb="FF92D050"/>
      </patternFill>
    </fill>
    <fill>
      <patternFill patternType="solid">
        <fgColor rgb="FFB4A7D6"/>
      </patternFill>
    </fill>
    <fill>
      <patternFill patternType="solid">
        <fgColor rgb="FFCFE2F3"/>
      </patternFill>
    </fill>
    <fill>
      <patternFill patternType="solid">
        <fgColor rgb="FF203864"/>
      </patternFill>
    </fill>
    <fill>
      <patternFill patternType="solid">
        <fgColor rgb="FFD9E1F2"/>
      </patternFill>
    </fill>
    <fill>
      <patternFill patternType="solid">
        <fgColor rgb="FFEAF1F8"/>
      </patternFill>
    </fill>
    <fill>
      <patternFill patternType="solid">
        <fgColor theme="8" tint="0.79998168889431442"/>
        <bgColor indexed="64"/>
      </patternFill>
    </fill>
    <fill>
      <patternFill patternType="solid">
        <fgColor rgb="FFF5F8FA"/>
        <bgColor indexed="64"/>
      </patternFill>
    </fill>
    <fill>
      <patternFill patternType="solid">
        <fgColor rgb="FFC2BCBC"/>
        <bgColor indexed="64"/>
      </patternFill>
    </fill>
    <fill>
      <patternFill patternType="solid">
        <fgColor theme="1" tint="0.499984740745262"/>
        <bgColor indexed="64"/>
      </patternFill>
    </fill>
    <fill>
      <patternFill patternType="solid">
        <fgColor rgb="FFA6A6A6"/>
        <bgColor indexed="64"/>
      </patternFill>
    </fill>
    <fill>
      <patternFill patternType="solid">
        <fgColor rgb="FF808080"/>
        <bgColor indexed="64"/>
      </patternFill>
    </fill>
    <fill>
      <patternFill patternType="solid">
        <fgColor rgb="FFA6A6A6"/>
        <bgColor rgb="FF000000"/>
      </patternFill>
    </fill>
  </fills>
  <borders count="261">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style="thin">
        <color indexed="64"/>
      </left>
      <right style="thin">
        <color indexed="64"/>
      </right>
      <top style="thin">
        <color indexed="64"/>
      </top>
      <bottom style="medium">
        <color indexed="64"/>
      </bottom>
      <diagonal/>
    </border>
    <border>
      <left style="thin">
        <color theme="1"/>
      </left>
      <right style="thin">
        <color theme="1"/>
      </right>
      <top style="thin">
        <color theme="1"/>
      </top>
      <bottom style="thin">
        <color theme="1"/>
      </bottom>
      <diagonal/>
    </border>
    <border>
      <left/>
      <right/>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right/>
      <top style="thin">
        <color theme="1"/>
      </top>
      <bottom style="thin">
        <color theme="1"/>
      </bottom>
      <diagonal/>
    </border>
    <border>
      <left style="thin">
        <color theme="1"/>
      </left>
      <right/>
      <top style="thin">
        <color indexed="64"/>
      </top>
      <bottom style="thin">
        <color indexed="64"/>
      </bottom>
      <diagonal/>
    </border>
    <border>
      <left/>
      <right style="thin">
        <color theme="1"/>
      </right>
      <top style="thin">
        <color indexed="64"/>
      </top>
      <bottom style="thin">
        <color indexed="64"/>
      </bottom>
      <diagonal/>
    </border>
    <border>
      <left style="thin">
        <color indexed="64"/>
      </left>
      <right style="medium">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top style="thin">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style="thin">
        <color theme="1" tint="0.499984740745262"/>
      </left>
      <right style="thin">
        <color theme="1" tint="0.499984740745262"/>
      </right>
      <top style="medium">
        <color indexed="64"/>
      </top>
      <bottom style="thin">
        <color theme="1" tint="0.499984740745262"/>
      </bottom>
      <diagonal/>
    </border>
    <border>
      <left style="thin">
        <color theme="1" tint="0.499984740745262"/>
      </left>
      <right style="medium">
        <color indexed="64"/>
      </right>
      <top style="medium">
        <color indexed="64"/>
      </top>
      <bottom style="thin">
        <color theme="1" tint="0.499984740745262"/>
      </bottom>
      <diagonal/>
    </border>
    <border>
      <left/>
      <right style="thin">
        <color theme="1" tint="0.499984740745262"/>
      </right>
      <top style="medium">
        <color indexed="64"/>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medium">
        <color indexed="64"/>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medium">
        <color indexed="64"/>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medium">
        <color indexed="64"/>
      </right>
      <top style="thin">
        <color theme="1" tint="0.499984740745262"/>
      </top>
      <bottom style="medium">
        <color indexed="64"/>
      </bottom>
      <diagonal/>
    </border>
    <border>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style="medium">
        <color indexed="64"/>
      </right>
      <top/>
      <bottom style="thin">
        <color theme="1" tint="0.499984740745262"/>
      </bottom>
      <diagonal/>
    </border>
    <border>
      <left/>
      <right style="thin">
        <color theme="1" tint="0.499984740745262"/>
      </right>
      <top/>
      <bottom style="thin">
        <color theme="1" tint="0.499984740745262"/>
      </bottom>
      <diagonal/>
    </border>
    <border>
      <left style="medium">
        <color indexed="64"/>
      </left>
      <right/>
      <top/>
      <bottom/>
      <diagonal/>
    </border>
    <border>
      <left/>
      <right style="medium">
        <color indexed="64"/>
      </right>
      <top/>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theme="1" tint="4.9989318521683403E-2"/>
      </left>
      <right style="thin">
        <color theme="1" tint="4.9989318521683403E-2"/>
      </right>
      <top style="thin">
        <color theme="1" tint="4.9989318521683403E-2"/>
      </top>
      <bottom style="thin">
        <color theme="1" tint="4.9989318521683403E-2"/>
      </bottom>
      <diagonal/>
    </border>
    <border>
      <left style="thin">
        <color indexed="64"/>
      </left>
      <right style="thin">
        <color indexed="64"/>
      </right>
      <top style="thin">
        <color theme="1"/>
      </top>
      <bottom/>
      <diagonal/>
    </border>
    <border>
      <left style="thin">
        <color theme="1" tint="4.9989318521683403E-2"/>
      </left>
      <right style="thin">
        <color theme="1" tint="4.9989318521683403E-2"/>
      </right>
      <top/>
      <bottom style="thin">
        <color theme="1" tint="4.9989318521683403E-2"/>
      </bottom>
      <diagonal/>
    </border>
    <border>
      <left style="thin">
        <color indexed="64"/>
      </left>
      <right style="thin">
        <color theme="1" tint="4.9989318521683403E-2"/>
      </right>
      <top style="thin">
        <color theme="1"/>
      </top>
      <bottom/>
      <diagonal/>
    </border>
    <border>
      <left style="thin">
        <color indexed="64"/>
      </left>
      <right style="thin">
        <color theme="1" tint="4.9989318521683403E-2"/>
      </right>
      <top/>
      <bottom style="thin">
        <color indexed="64"/>
      </bottom>
      <diagonal/>
    </border>
    <border>
      <left style="thin">
        <color theme="1" tint="4.9989318521683403E-2"/>
      </left>
      <right style="thin">
        <color theme="1" tint="4.9989318521683403E-2"/>
      </right>
      <top style="thin">
        <color theme="1" tint="4.9989318521683403E-2"/>
      </top>
      <bottom/>
      <diagonal/>
    </border>
    <border>
      <left style="thin">
        <color theme="1" tint="0.34998626667073579"/>
      </left>
      <right style="thin">
        <color theme="1" tint="0.34998626667073579"/>
      </right>
      <top style="thin">
        <color theme="1" tint="0.34998626667073579"/>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theme="1" tint="4.9989318521683403E-2"/>
      </right>
      <top style="thin">
        <color theme="1" tint="4.9989318521683403E-2"/>
      </top>
      <bottom style="thin">
        <color theme="1" tint="4.9989318521683403E-2"/>
      </bottom>
      <diagonal/>
    </border>
    <border>
      <left style="thin">
        <color theme="1" tint="4.9989318521683403E-2"/>
      </left>
      <right/>
      <top style="thin">
        <color theme="1" tint="4.9989318521683403E-2"/>
      </top>
      <bottom style="thin">
        <color theme="1" tint="4.9989318521683403E-2"/>
      </bottom>
      <diagonal/>
    </border>
    <border>
      <left/>
      <right/>
      <top style="thin">
        <color theme="1" tint="4.9989318521683403E-2"/>
      </top>
      <bottom style="thin">
        <color theme="1" tint="4.9989318521683403E-2"/>
      </bottom>
      <diagonal/>
    </border>
    <border>
      <left style="thin">
        <color theme="1" tint="0.34998626667073579"/>
      </left>
      <right/>
      <top/>
      <bottom/>
      <diagonal/>
    </border>
    <border>
      <left/>
      <right style="thin">
        <color theme="1" tint="0.34998626667073579"/>
      </right>
      <top/>
      <bottom/>
      <diagonal/>
    </border>
    <border>
      <left/>
      <right/>
      <top/>
      <bottom style="thin">
        <color theme="1" tint="0.34998626667073579"/>
      </bottom>
      <diagonal/>
    </border>
    <border>
      <left style="thin">
        <color rgb="FF595959"/>
      </left>
      <right/>
      <top style="thin">
        <color rgb="FF595959"/>
      </top>
      <bottom/>
      <diagonal/>
    </border>
    <border>
      <left/>
      <right style="thin">
        <color rgb="FF595959"/>
      </right>
      <top style="thin">
        <color rgb="FF595959"/>
      </top>
      <bottom/>
      <diagonal/>
    </border>
    <border>
      <left style="thin">
        <color rgb="FF595959"/>
      </left>
      <right style="thin">
        <color rgb="FF595959"/>
      </right>
      <top style="thin">
        <color rgb="FF595959"/>
      </top>
      <bottom/>
      <diagonal/>
    </border>
    <border>
      <left/>
      <right/>
      <top/>
      <bottom style="thin">
        <color rgb="FF595959"/>
      </bottom>
      <diagonal/>
    </border>
    <border>
      <left style="thin">
        <color rgb="FF595959"/>
      </left>
      <right/>
      <top/>
      <bottom/>
      <diagonal/>
    </border>
    <border>
      <left style="thin">
        <color theme="1" tint="0.34998626667073579"/>
      </left>
      <right style="thin">
        <color theme="1" tint="0.34998626667073579"/>
      </right>
      <top/>
      <bottom/>
      <diagonal/>
    </border>
    <border>
      <left style="thin">
        <color theme="1" tint="0.34998626667073579"/>
      </left>
      <right style="thin">
        <color theme="1" tint="0.34998626667073579"/>
      </right>
      <top/>
      <bottom style="thin">
        <color theme="1" tint="0.34998626667073579"/>
      </bottom>
      <diagonal/>
    </border>
    <border>
      <left style="thin">
        <color indexed="64"/>
      </left>
      <right/>
      <top/>
      <bottom style="thin">
        <color theme="1" tint="0.34998626667073579"/>
      </bottom>
      <diagonal/>
    </border>
    <border>
      <left style="thin">
        <color theme="1" tint="0.249977111117893"/>
      </left>
      <right style="thin">
        <color theme="1" tint="0.249977111117893"/>
      </right>
      <top style="thin">
        <color theme="1" tint="0.249977111117893"/>
      </top>
      <bottom style="thin">
        <color theme="1" tint="0.249977111117893"/>
      </bottom>
      <diagonal/>
    </border>
    <border>
      <left style="medium">
        <color theme="1"/>
      </left>
      <right style="thin">
        <color theme="1" tint="0.499984740745262"/>
      </right>
      <top style="medium">
        <color theme="1"/>
      </top>
      <bottom style="thin">
        <color theme="1" tint="0.499984740745262"/>
      </bottom>
      <diagonal/>
    </border>
    <border>
      <left style="thin">
        <color theme="1" tint="0.499984740745262"/>
      </left>
      <right style="thin">
        <color theme="1" tint="0.499984740745262"/>
      </right>
      <top style="medium">
        <color theme="1"/>
      </top>
      <bottom style="thin">
        <color theme="1" tint="0.499984740745262"/>
      </bottom>
      <diagonal/>
    </border>
    <border>
      <left style="thin">
        <color theme="1" tint="0.499984740745262"/>
      </left>
      <right style="medium">
        <color theme="1"/>
      </right>
      <top style="medium">
        <color theme="1"/>
      </top>
      <bottom style="thin">
        <color theme="1" tint="0.499984740745262"/>
      </bottom>
      <diagonal/>
    </border>
    <border>
      <left style="medium">
        <color theme="1"/>
      </left>
      <right style="thin">
        <color theme="1" tint="0.499984740745262"/>
      </right>
      <top style="thin">
        <color theme="1" tint="0.499984740745262"/>
      </top>
      <bottom style="thin">
        <color theme="1" tint="0.499984740745262"/>
      </bottom>
      <diagonal/>
    </border>
    <border>
      <left style="thin">
        <color theme="1" tint="0.499984740745262"/>
      </left>
      <right style="medium">
        <color theme="1"/>
      </right>
      <top style="thin">
        <color theme="1" tint="0.499984740745262"/>
      </top>
      <bottom style="thin">
        <color theme="1" tint="0.499984740745262"/>
      </bottom>
      <diagonal/>
    </border>
    <border>
      <left style="medium">
        <color theme="1"/>
      </left>
      <right style="thin">
        <color theme="1" tint="0.499984740745262"/>
      </right>
      <top style="thin">
        <color theme="1" tint="0.499984740745262"/>
      </top>
      <bottom style="medium">
        <color theme="1"/>
      </bottom>
      <diagonal/>
    </border>
    <border>
      <left style="thin">
        <color theme="1" tint="0.499984740745262"/>
      </left>
      <right style="thin">
        <color theme="1" tint="0.499984740745262"/>
      </right>
      <top style="thin">
        <color theme="1" tint="0.499984740745262"/>
      </top>
      <bottom style="medium">
        <color theme="1"/>
      </bottom>
      <diagonal/>
    </border>
    <border>
      <left style="thin">
        <color theme="1" tint="0.499984740745262"/>
      </left>
      <right style="medium">
        <color theme="1"/>
      </right>
      <top style="thin">
        <color theme="1" tint="0.499984740745262"/>
      </top>
      <bottom style="medium">
        <color theme="1"/>
      </bottom>
      <diagonal/>
    </border>
    <border>
      <left style="thin">
        <color theme="1" tint="0.499984740745262"/>
      </left>
      <right style="thin">
        <color theme="1" tint="0.499984740745262"/>
      </right>
      <top style="medium">
        <color theme="1"/>
      </top>
      <bottom/>
      <diagonal/>
    </border>
    <border>
      <left style="thin">
        <color theme="1" tint="0.499984740745262"/>
      </left>
      <right style="thin">
        <color theme="1" tint="0.499984740745262"/>
      </right>
      <top/>
      <bottom style="medium">
        <color theme="1"/>
      </bottom>
      <diagonal/>
    </border>
    <border>
      <left style="thin">
        <color theme="1" tint="0.499984740745262"/>
      </left>
      <right style="thin">
        <color theme="1" tint="0.499984740745262"/>
      </right>
      <top/>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right style="thin">
        <color rgb="FF000000"/>
      </right>
      <top style="thin">
        <color rgb="FF000000"/>
      </top>
      <bottom/>
      <diagonal/>
    </border>
    <border>
      <left/>
      <right/>
      <top style="thin">
        <color rgb="FF000000"/>
      </top>
      <bottom/>
      <diagonal/>
    </border>
    <border>
      <left style="thin">
        <color rgb="FF595959"/>
      </left>
      <right style="thin">
        <color indexed="64"/>
      </right>
      <top/>
      <bottom/>
      <diagonal/>
    </border>
    <border>
      <left style="thin">
        <color rgb="FF595959"/>
      </left>
      <right style="thin">
        <color rgb="FF595959"/>
      </right>
      <top/>
      <bottom/>
      <diagonal/>
    </border>
    <border>
      <left style="thin">
        <color theme="1" tint="0.34998626667073579"/>
      </left>
      <right/>
      <top/>
      <bottom style="thin">
        <color theme="1" tint="0.34998626667073579"/>
      </bottom>
      <diagonal/>
    </border>
    <border>
      <left style="thin">
        <color indexed="64"/>
      </left>
      <right style="medium">
        <color indexed="64"/>
      </right>
      <top style="medium">
        <color indexed="64"/>
      </top>
      <bottom/>
      <diagonal/>
    </border>
    <border>
      <left/>
      <right style="thin">
        <color theme="1" tint="0.499984740745262"/>
      </right>
      <top style="medium">
        <color theme="1"/>
      </top>
      <bottom style="thin">
        <color theme="1" tint="0.499984740745262"/>
      </bottom>
      <diagonal/>
    </border>
    <border>
      <left style="thin">
        <color indexed="64"/>
      </left>
      <right style="medium">
        <color indexed="64"/>
      </right>
      <top/>
      <bottom/>
      <diagonal/>
    </border>
    <border>
      <left/>
      <right style="thin">
        <color theme="1" tint="0.499984740745262"/>
      </right>
      <top style="thin">
        <color theme="1" tint="0.499984740745262"/>
      </top>
      <bottom style="medium">
        <color theme="1"/>
      </bottom>
      <diagonal/>
    </border>
    <border>
      <left style="thin">
        <color indexed="64"/>
      </left>
      <right style="thin">
        <color indexed="64"/>
      </right>
      <top/>
      <bottom style="thin">
        <color theme="1" tint="0.499984740745262"/>
      </bottom>
      <diagonal/>
    </border>
    <border>
      <left style="thin">
        <color indexed="64"/>
      </left>
      <right style="thin">
        <color indexed="64"/>
      </right>
      <top style="thin">
        <color theme="1" tint="0.499984740745262"/>
      </top>
      <bottom style="thin">
        <color theme="1" tint="0.499984740745262"/>
      </bottom>
      <diagonal/>
    </border>
    <border>
      <left style="thin">
        <color indexed="64"/>
      </left>
      <right style="medium">
        <color theme="1"/>
      </right>
      <top style="medium">
        <color indexed="64"/>
      </top>
      <bottom/>
      <diagonal/>
    </border>
    <border>
      <left style="thin">
        <color indexed="64"/>
      </left>
      <right style="thin">
        <color indexed="64"/>
      </right>
      <top style="medium">
        <color indexed="64"/>
      </top>
      <bottom style="thin">
        <color theme="1" tint="0.499984740745262"/>
      </bottom>
      <diagonal/>
    </border>
    <border>
      <left style="medium">
        <color theme="1" tint="0.34998626667073579"/>
      </left>
      <right style="thin">
        <color theme="1" tint="0.34998626667073579"/>
      </right>
      <top style="medium">
        <color theme="1" tint="0.34998626667073579"/>
      </top>
      <bottom style="thin">
        <color theme="1" tint="0.34998626667073579"/>
      </bottom>
      <diagonal/>
    </border>
    <border>
      <left style="thin">
        <color theme="1" tint="0.34998626667073579"/>
      </left>
      <right style="thin">
        <color theme="1" tint="0.34998626667073579"/>
      </right>
      <top style="medium">
        <color theme="1" tint="0.34998626667073579"/>
      </top>
      <bottom style="thin">
        <color theme="1" tint="0.34998626667073579"/>
      </bottom>
      <diagonal/>
    </border>
    <border>
      <left style="thin">
        <color theme="1" tint="0.34998626667073579"/>
      </left>
      <right style="medium">
        <color theme="1" tint="0.34998626667073579"/>
      </right>
      <top style="medium">
        <color theme="1" tint="0.34998626667073579"/>
      </top>
      <bottom style="thin">
        <color theme="1" tint="0.34998626667073579"/>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style="medium">
        <color theme="1" tint="0.34998626667073579"/>
      </left>
      <right style="thin">
        <color rgb="FF000000"/>
      </right>
      <top style="thin">
        <color rgb="FF000000"/>
      </top>
      <bottom style="thin">
        <color rgb="FF000000"/>
      </bottom>
      <diagonal/>
    </border>
    <border>
      <left style="thin">
        <color indexed="64"/>
      </left>
      <right style="medium">
        <color theme="1" tint="0.34998626667073579"/>
      </right>
      <top style="thin">
        <color indexed="64"/>
      </top>
      <bottom/>
      <diagonal/>
    </border>
    <border>
      <left style="medium">
        <color theme="1" tint="0.34998626667073579"/>
      </left>
      <right style="thin">
        <color rgb="FF000000"/>
      </right>
      <top style="thin">
        <color rgb="FF000000"/>
      </top>
      <bottom/>
      <diagonal/>
    </border>
    <border>
      <left style="medium">
        <color indexed="64"/>
      </left>
      <right style="thin">
        <color theme="1" tint="0.34998626667073579"/>
      </right>
      <top style="medium">
        <color indexed="64"/>
      </top>
      <bottom style="thin">
        <color theme="1" tint="0.34998626667073579"/>
      </bottom>
      <diagonal/>
    </border>
    <border>
      <left style="thin">
        <color theme="1" tint="0.34998626667073579"/>
      </left>
      <right style="thin">
        <color theme="1" tint="0.34998626667073579"/>
      </right>
      <top style="medium">
        <color indexed="64"/>
      </top>
      <bottom style="thin">
        <color theme="1" tint="0.34998626667073579"/>
      </bottom>
      <diagonal/>
    </border>
    <border>
      <left style="thin">
        <color theme="1" tint="0.34998626667073579"/>
      </left>
      <right style="medium">
        <color indexed="64"/>
      </right>
      <top style="medium">
        <color indexed="64"/>
      </top>
      <bottom/>
      <diagonal/>
    </border>
    <border>
      <left/>
      <right/>
      <top style="medium">
        <color theme="1" tint="0.34998626667073579"/>
      </top>
      <bottom style="thin">
        <color rgb="FF000000"/>
      </bottom>
      <diagonal/>
    </border>
    <border>
      <left style="medium">
        <color indexed="64"/>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indexed="64"/>
      </right>
      <top/>
      <bottom/>
      <diagonal/>
    </border>
    <border>
      <left/>
      <right/>
      <top style="thin">
        <color rgb="FF000000"/>
      </top>
      <bottom style="thin">
        <color rgb="FF000000"/>
      </bottom>
      <diagonal/>
    </border>
    <border>
      <left style="medium">
        <color indexed="64"/>
      </left>
      <right style="thin">
        <color theme="1" tint="0.34998626667073579"/>
      </right>
      <top style="thin">
        <color theme="1" tint="0.34998626667073579"/>
      </top>
      <bottom style="medium">
        <color indexed="64"/>
      </bottom>
      <diagonal/>
    </border>
    <border>
      <left style="thin">
        <color theme="1" tint="0.34998626667073579"/>
      </left>
      <right style="thin">
        <color theme="1" tint="0.34998626667073579"/>
      </right>
      <top style="thin">
        <color theme="1" tint="0.34998626667073579"/>
      </top>
      <bottom style="medium">
        <color indexed="64"/>
      </bottom>
      <diagonal/>
    </border>
    <border>
      <left style="thin">
        <color theme="1" tint="0.34998626667073579"/>
      </left>
      <right style="medium">
        <color indexed="64"/>
      </right>
      <top/>
      <bottom style="medium">
        <color indexed="64"/>
      </bottom>
      <diagonal/>
    </border>
    <border>
      <left/>
      <right/>
      <top style="thin">
        <color rgb="FF000000"/>
      </top>
      <bottom style="medium">
        <color theme="1" tint="0.34998626667073579"/>
      </bottom>
      <diagonal/>
    </border>
    <border>
      <left style="thin">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theme="1" tint="0.34998626667073579"/>
      </right>
      <top style="thin">
        <color theme="1" tint="0.34998626667073579"/>
      </top>
      <bottom style="medium">
        <color theme="1" tint="0.34998626667073579"/>
      </bottom>
      <diagonal/>
    </border>
    <border>
      <left style="thin">
        <color theme="1" tint="0.34998626667073579"/>
      </left>
      <right style="medium">
        <color indexed="64"/>
      </right>
      <top style="medium">
        <color indexed="64"/>
      </top>
      <bottom style="thin">
        <color theme="1" tint="0.34998626667073579"/>
      </bottom>
      <diagonal/>
    </border>
    <border>
      <left style="thin">
        <color indexed="64"/>
      </left>
      <right/>
      <top style="medium">
        <color indexed="64"/>
      </top>
      <bottom/>
      <diagonal/>
    </border>
    <border>
      <left style="thin">
        <color theme="1" tint="0.34998626667073579"/>
      </left>
      <right style="medium">
        <color indexed="64"/>
      </right>
      <top style="thin">
        <color theme="1" tint="0.34998626667073579"/>
      </top>
      <bottom style="thin">
        <color theme="1" tint="0.34998626667073579"/>
      </bottom>
      <diagonal/>
    </border>
    <border>
      <left style="thin">
        <color theme="1" tint="0.34998626667073579"/>
      </left>
      <right style="medium">
        <color indexed="64"/>
      </right>
      <top style="thin">
        <color theme="1" tint="0.34998626667073579"/>
      </top>
      <bottom/>
      <diagonal/>
    </border>
    <border>
      <left style="thin">
        <color theme="1" tint="0.34998626667073579"/>
      </left>
      <right style="medium">
        <color indexed="64"/>
      </right>
      <top style="medium">
        <color theme="1" tint="0.34998626667073579"/>
      </top>
      <bottom style="thin">
        <color theme="1" tint="0.34998626667073579"/>
      </bottom>
      <diagonal/>
    </border>
    <border>
      <left style="thin">
        <color theme="1" tint="0.34998626667073579"/>
      </left>
      <right style="medium">
        <color indexed="64"/>
      </right>
      <top style="thin">
        <color theme="1" tint="0.34998626667073579"/>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style="thin">
        <color theme="1" tint="0.499984740745262"/>
      </top>
      <bottom/>
      <diagonal/>
    </border>
    <border>
      <left style="medium">
        <color theme="1"/>
      </left>
      <right style="thin">
        <color theme="1" tint="0.499984740745262"/>
      </right>
      <top style="thin">
        <color theme="1" tint="0.499984740745262"/>
      </top>
      <bottom/>
      <diagonal/>
    </border>
    <border>
      <left style="thin">
        <color theme="1" tint="0.499984740745262"/>
      </left>
      <right style="medium">
        <color theme="1"/>
      </right>
      <top style="thin">
        <color theme="1" tint="0.499984740745262"/>
      </top>
      <bottom/>
      <diagonal/>
    </border>
    <border>
      <left style="medium">
        <color theme="1" tint="0.34998626667073579"/>
      </left>
      <right style="thin">
        <color theme="1" tint="0.34998626667073579"/>
      </right>
      <top/>
      <bottom style="thin">
        <color theme="1" tint="0.34998626667073579"/>
      </bottom>
      <diagonal/>
    </border>
    <border>
      <left/>
      <right style="thin">
        <color theme="1" tint="0.34998626667073579"/>
      </right>
      <top/>
      <bottom style="thin">
        <color theme="1" tint="0.34998626667073579"/>
      </bottom>
      <diagonal/>
    </border>
    <border>
      <left style="thin">
        <color theme="1" tint="0.34998626667073579"/>
      </left>
      <right style="medium">
        <color theme="1" tint="0.34998626667073579"/>
      </right>
      <top/>
      <bottom style="thin">
        <color theme="1" tint="0.34998626667073579"/>
      </bottom>
      <diagonal/>
    </border>
    <border>
      <left style="medium">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thin">
        <color theme="1" tint="0.34998626667073579"/>
      </right>
      <top/>
      <bottom style="medium">
        <color theme="1" tint="0.34998626667073579"/>
      </bottom>
      <diagonal/>
    </border>
    <border>
      <left style="thin">
        <color theme="1" tint="0.34998626667073579"/>
      </left>
      <right style="medium">
        <color indexed="64"/>
      </right>
      <top/>
      <bottom style="medium">
        <color theme="1" tint="0.34998626667073579"/>
      </bottom>
      <diagonal/>
    </border>
    <border>
      <left/>
      <right style="thin">
        <color theme="1" tint="0.34998626667073579"/>
      </right>
      <top style="thin">
        <color theme="1" tint="0.34998626667073579"/>
      </top>
      <bottom style="medium">
        <color theme="1" tint="0.34998626667073579"/>
      </bottom>
      <diagonal/>
    </border>
    <border>
      <left/>
      <right style="thin">
        <color theme="1" tint="0.34998626667073579"/>
      </right>
      <top style="medium">
        <color indexed="64"/>
      </top>
      <bottom style="thin">
        <color theme="1" tint="0.34998626667073579"/>
      </bottom>
      <diagonal/>
    </border>
    <border>
      <left style="thin">
        <color theme="1" tint="0.34998626667073579"/>
      </left>
      <right style="thin">
        <color theme="1" tint="0.34998626667073579"/>
      </right>
      <top/>
      <bottom style="medium">
        <color indexed="64"/>
      </bottom>
      <diagonal/>
    </border>
    <border>
      <left/>
      <right style="thin">
        <color theme="1" tint="0.34998626667073579"/>
      </right>
      <top style="thin">
        <color theme="1" tint="0.34998626667073579"/>
      </top>
      <bottom style="medium">
        <color indexed="64"/>
      </bottom>
      <diagonal/>
    </border>
    <border>
      <left style="medium">
        <color theme="1" tint="0.34998626667073579"/>
      </left>
      <right style="thin">
        <color rgb="FF000000"/>
      </right>
      <top/>
      <bottom style="thin">
        <color rgb="FF000000"/>
      </bottom>
      <diagonal/>
    </border>
    <border>
      <left style="thin">
        <color indexed="64"/>
      </left>
      <right style="medium">
        <color theme="1" tint="0.34998626667073579"/>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rgb="FF000000"/>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theme="1" tint="0.499984740745262"/>
      </bottom>
      <diagonal/>
    </border>
    <border>
      <left style="thin">
        <color indexed="64"/>
      </left>
      <right style="medium">
        <color rgb="FF000000"/>
      </right>
      <top style="medium">
        <color rgb="FF000000"/>
      </top>
      <bottom/>
      <diagonal/>
    </border>
    <border>
      <left style="medium">
        <color rgb="FF000000"/>
      </left>
      <right style="thin">
        <color indexed="64"/>
      </right>
      <top style="medium">
        <color indexed="64"/>
      </top>
      <bottom style="thin">
        <color indexed="64"/>
      </bottom>
      <diagonal/>
    </border>
    <border>
      <left style="thin">
        <color indexed="64"/>
      </left>
      <right style="medium">
        <color rgb="FF000000"/>
      </right>
      <top style="medium">
        <color indexed="64"/>
      </top>
      <bottom/>
      <diagonal/>
    </border>
    <border>
      <left style="medium">
        <color rgb="FF000000"/>
      </left>
      <right style="thin">
        <color indexed="64"/>
      </right>
      <top style="medium">
        <color indexed="64"/>
      </top>
      <bottom style="medium">
        <color rgb="FF000000"/>
      </bottom>
      <diagonal/>
    </border>
    <border>
      <left style="thin">
        <color indexed="64"/>
      </left>
      <right style="thin">
        <color indexed="64"/>
      </right>
      <top style="medium">
        <color indexed="64"/>
      </top>
      <bottom style="medium">
        <color rgb="FF000000"/>
      </bottom>
      <diagonal/>
    </border>
    <border>
      <left style="thin">
        <color indexed="64"/>
      </left>
      <right style="medium">
        <color rgb="FF000000"/>
      </right>
      <top style="medium">
        <color indexed="64"/>
      </top>
      <bottom style="medium">
        <color rgb="FF000000"/>
      </bottom>
      <diagonal/>
    </border>
    <border>
      <left style="medium">
        <color rgb="FF000000"/>
      </left>
      <right style="thin">
        <color theme="1" tint="0.34998626667073579"/>
      </right>
      <top style="medium">
        <color rgb="FF000000"/>
      </top>
      <bottom style="thin">
        <color theme="1" tint="0.34998626667073579"/>
      </bottom>
      <diagonal/>
    </border>
    <border>
      <left style="thin">
        <color theme="1" tint="0.34998626667073579"/>
      </left>
      <right style="thin">
        <color theme="1" tint="0.34998626667073579"/>
      </right>
      <top style="medium">
        <color rgb="FF000000"/>
      </top>
      <bottom style="thin">
        <color theme="1" tint="0.34998626667073579"/>
      </bottom>
      <diagonal/>
    </border>
    <border>
      <left style="thin">
        <color theme="1" tint="0.34998626667073579"/>
      </left>
      <right style="medium">
        <color rgb="FF000000"/>
      </right>
      <top style="medium">
        <color rgb="FF000000"/>
      </top>
      <bottom/>
      <diagonal/>
    </border>
    <border>
      <left style="medium">
        <color rgb="FF000000"/>
      </left>
      <right style="thin">
        <color theme="1" tint="0.34998626667073579"/>
      </right>
      <top style="medium">
        <color indexed="64"/>
      </top>
      <bottom style="thin">
        <color theme="1" tint="0.34998626667073579"/>
      </bottom>
      <diagonal/>
    </border>
    <border>
      <left style="thin">
        <color theme="1" tint="0.34998626667073579"/>
      </left>
      <right style="medium">
        <color rgb="FF000000"/>
      </right>
      <top style="medium">
        <color indexed="64"/>
      </top>
      <bottom/>
      <diagonal/>
    </border>
    <border>
      <left style="medium">
        <color rgb="FF000000"/>
      </left>
      <right style="thin">
        <color theme="1" tint="0.34998626667073579"/>
      </right>
      <top style="medium">
        <color indexed="64"/>
      </top>
      <bottom style="medium">
        <color rgb="FF000000"/>
      </bottom>
      <diagonal/>
    </border>
    <border>
      <left style="thin">
        <color theme="1" tint="0.34998626667073579"/>
      </left>
      <right style="thin">
        <color theme="1" tint="0.34998626667073579"/>
      </right>
      <top style="medium">
        <color indexed="64"/>
      </top>
      <bottom style="medium">
        <color rgb="FF000000"/>
      </bottom>
      <diagonal/>
    </border>
    <border>
      <left style="thin">
        <color theme="1" tint="0.34998626667073579"/>
      </left>
      <right style="medium">
        <color rgb="FF000000"/>
      </right>
      <top style="medium">
        <color indexed="64"/>
      </top>
      <bottom style="medium">
        <color rgb="FF000000"/>
      </bottom>
      <diagonal/>
    </border>
    <border>
      <left style="medium">
        <color theme="1" tint="0.34998626667073579"/>
      </left>
      <right style="thin">
        <color theme="1" tint="0.34998626667073579"/>
      </right>
      <top style="medium">
        <color theme="1" tint="0.34998626667073579"/>
      </top>
      <bottom/>
      <diagonal/>
    </border>
    <border>
      <left style="thin">
        <color theme="1" tint="0.34998626667073579"/>
      </left>
      <right style="thin">
        <color theme="1" tint="0.34998626667073579"/>
      </right>
      <top style="medium">
        <color theme="1" tint="0.34998626667073579"/>
      </top>
      <bottom/>
      <diagonal/>
    </border>
    <border>
      <left style="thin">
        <color theme="1" tint="0.34998626667073579"/>
      </left>
      <right style="medium">
        <color theme="1" tint="0.34998626667073579"/>
      </right>
      <top style="medium">
        <color theme="1" tint="0.34998626667073579"/>
      </top>
      <bottom/>
      <diagonal/>
    </border>
    <border>
      <left style="thin">
        <color indexed="64"/>
      </left>
      <right style="thin">
        <color indexed="64"/>
      </right>
      <top/>
      <bottom style="medium">
        <color rgb="FF000000"/>
      </bottom>
      <diagonal/>
    </border>
    <border>
      <left style="thin">
        <color indexed="64"/>
      </left>
      <right style="medium">
        <color rgb="FF000000"/>
      </right>
      <top style="medium">
        <color rgb="FF000000"/>
      </top>
      <bottom style="thin">
        <color indexed="64"/>
      </bottom>
      <diagonal/>
    </border>
    <border>
      <left style="thin">
        <color indexed="64"/>
      </left>
      <right style="medium">
        <color rgb="FF000000"/>
      </right>
      <top style="medium">
        <color indexed="64"/>
      </top>
      <bottom style="thin">
        <color indexed="64"/>
      </bottom>
      <diagonal/>
    </border>
    <border>
      <left style="medium">
        <color rgb="FF000000"/>
      </left>
      <right style="thin">
        <color indexed="64"/>
      </right>
      <top style="medium">
        <color indexed="64"/>
      </top>
      <bottom/>
      <diagonal/>
    </border>
    <border>
      <left style="medium">
        <color rgb="FF000000"/>
      </left>
      <right style="thin">
        <color indexed="64"/>
      </right>
      <top/>
      <bottom style="thin">
        <color indexed="64"/>
      </bottom>
      <diagonal/>
    </border>
    <border>
      <left style="thin">
        <color indexed="64"/>
      </left>
      <right style="medium">
        <color rgb="FF000000"/>
      </right>
      <top/>
      <bottom/>
      <diagonal/>
    </border>
    <border>
      <left style="medium">
        <color rgb="FF000000"/>
      </left>
      <right style="thin">
        <color indexed="64"/>
      </right>
      <top/>
      <bottom/>
      <diagonal/>
    </border>
    <border>
      <left style="medium">
        <color rgb="FF000000"/>
      </left>
      <right style="thin">
        <color indexed="64"/>
      </right>
      <top style="thin">
        <color indexed="64"/>
      </top>
      <bottom style="thin">
        <color indexed="64"/>
      </bottom>
      <diagonal/>
    </border>
    <border>
      <left style="medium">
        <color rgb="FF000000"/>
      </left>
      <right style="thin">
        <color indexed="64"/>
      </right>
      <top style="thin">
        <color indexed="64"/>
      </top>
      <bottom style="medium">
        <color indexed="64"/>
      </bottom>
      <diagonal/>
    </border>
    <border>
      <left style="thin">
        <color indexed="64"/>
      </left>
      <right style="medium">
        <color rgb="FF000000"/>
      </right>
      <top/>
      <bottom style="medium">
        <color indexed="64"/>
      </bottom>
      <diagonal/>
    </border>
    <border>
      <left style="thin">
        <color theme="1" tint="0.34998626667073579"/>
      </left>
      <right style="medium">
        <color rgb="FF000000"/>
      </right>
      <top style="medium">
        <color indexed="64"/>
      </top>
      <bottom style="thin">
        <color theme="1" tint="0.34998626667073579"/>
      </bottom>
      <diagonal/>
    </border>
    <border>
      <left style="medium">
        <color rgb="FF000000"/>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rgb="FF000000"/>
      </right>
      <top style="thin">
        <color theme="1" tint="0.34998626667073579"/>
      </top>
      <bottom style="thin">
        <color theme="1" tint="0.34998626667073579"/>
      </bottom>
      <diagonal/>
    </border>
    <border>
      <left style="medium">
        <color rgb="FF000000"/>
      </left>
      <right style="thin">
        <color theme="1" tint="0.34998626667073579"/>
      </right>
      <top style="thin">
        <color theme="1" tint="0.34998626667073579"/>
      </top>
      <bottom style="medium">
        <color rgb="FF000000"/>
      </bottom>
      <diagonal/>
    </border>
    <border>
      <left style="thin">
        <color theme="1" tint="0.34998626667073579"/>
      </left>
      <right style="thin">
        <color theme="1" tint="0.34998626667073579"/>
      </right>
      <top style="thin">
        <color theme="1" tint="0.34998626667073579"/>
      </top>
      <bottom style="medium">
        <color rgb="FF000000"/>
      </bottom>
      <diagonal/>
    </border>
    <border>
      <left style="thin">
        <color theme="1" tint="0.34998626667073579"/>
      </left>
      <right style="medium">
        <color rgb="FF000000"/>
      </right>
      <top style="thin">
        <color theme="1" tint="0.34998626667073579"/>
      </top>
      <bottom style="medium">
        <color rgb="FF000000"/>
      </bottom>
      <diagonal/>
    </border>
    <border>
      <left/>
      <right style="thin">
        <color rgb="FF000000"/>
      </right>
      <top style="medium">
        <color indexed="64"/>
      </top>
      <bottom style="thin">
        <color rgb="FF000000"/>
      </bottom>
      <diagonal/>
    </border>
    <border>
      <left/>
      <right style="thin">
        <color rgb="FF000000"/>
      </right>
      <top style="thin">
        <color rgb="FF000000"/>
      </top>
      <bottom style="thin">
        <color rgb="FF000000"/>
      </bottom>
      <diagonal/>
    </border>
    <border>
      <left style="thin">
        <color theme="1" tint="0.34998626667073579"/>
      </left>
      <right style="medium">
        <color rgb="FF000000"/>
      </right>
      <top style="medium">
        <color rgb="FF000000"/>
      </top>
      <bottom style="thin">
        <color theme="1" tint="0.34998626667073579"/>
      </bottom>
      <diagonal/>
    </border>
    <border>
      <left/>
      <right/>
      <top style="thin">
        <color rgb="FF000000"/>
      </top>
      <bottom style="medium">
        <color indexed="64"/>
      </bottom>
      <diagonal/>
    </border>
    <border>
      <left style="medium">
        <color rgb="FF000000"/>
      </left>
      <right style="thin">
        <color theme="1" tint="0.34998626667073579"/>
      </right>
      <top style="thin">
        <color theme="1" tint="0.34998626667073579"/>
      </top>
      <bottom/>
      <diagonal/>
    </border>
    <border>
      <left style="thin">
        <color theme="1" tint="0.34998626667073579"/>
      </left>
      <right style="medium">
        <color rgb="FF000000"/>
      </right>
      <top style="thin">
        <color theme="1" tint="0.34998626667073579"/>
      </top>
      <bottom/>
      <diagonal/>
    </border>
    <border>
      <left style="medium">
        <color rgb="FF000000"/>
      </left>
      <right style="thin">
        <color indexed="64"/>
      </right>
      <top style="medium">
        <color rgb="FF000000"/>
      </top>
      <bottom/>
      <diagonal/>
    </border>
    <border>
      <left style="thin">
        <color indexed="64"/>
      </left>
      <right style="thin">
        <color indexed="64"/>
      </right>
      <top style="medium">
        <color rgb="FF000000"/>
      </top>
      <bottom/>
      <diagonal/>
    </border>
    <border>
      <left style="medium">
        <color rgb="FF000000"/>
      </left>
      <right style="thin">
        <color indexed="64"/>
      </right>
      <top/>
      <bottom style="medium">
        <color rgb="FF000000"/>
      </bottom>
      <diagonal/>
    </border>
    <border>
      <left style="thin">
        <color indexed="64"/>
      </left>
      <right style="thin">
        <color indexed="64"/>
      </right>
      <top style="thin">
        <color indexed="64"/>
      </top>
      <bottom style="medium">
        <color rgb="FF000000"/>
      </bottom>
      <diagonal/>
    </border>
    <border>
      <left style="medium">
        <color theme="1" tint="0.499984740745262"/>
      </left>
      <right/>
      <top/>
      <bottom/>
      <diagonal/>
    </border>
    <border>
      <left style="medium">
        <color theme="1" tint="0.499984740745262"/>
      </left>
      <right style="thin">
        <color indexed="64"/>
      </right>
      <top style="medium">
        <color theme="1" tint="0.499984740745262"/>
      </top>
      <bottom style="thin">
        <color indexed="64"/>
      </bottom>
      <diagonal/>
    </border>
    <border>
      <left/>
      <right/>
      <top style="medium">
        <color theme="1" tint="0.499984740745262"/>
      </top>
      <bottom style="thin">
        <color indexed="64"/>
      </bottom>
      <diagonal/>
    </border>
    <border>
      <left/>
      <right style="medium">
        <color indexed="64"/>
      </right>
      <top style="medium">
        <color indexed="64"/>
      </top>
      <bottom style="thin">
        <color indexed="64"/>
      </bottom>
      <diagonal/>
    </border>
    <border>
      <left style="medium">
        <color theme="1" tint="0.499984740745262"/>
      </left>
      <right style="thin">
        <color indexed="64"/>
      </right>
      <top/>
      <bottom/>
      <diagonal/>
    </border>
    <border>
      <left/>
      <right style="medium">
        <color indexed="64"/>
      </right>
      <top/>
      <bottom style="thin">
        <color indexed="64"/>
      </bottom>
      <diagonal/>
    </border>
    <border>
      <left style="medium">
        <color theme="1" tint="0.499984740745262"/>
      </left>
      <right style="thin">
        <color indexed="64"/>
      </right>
      <top/>
      <bottom style="medium">
        <color theme="1" tint="0.499984740745262"/>
      </bottom>
      <diagonal/>
    </border>
    <border>
      <left/>
      <right/>
      <top/>
      <bottom style="medium">
        <color theme="1" tint="0.499984740745262"/>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thin">
        <color theme="1" tint="0.499984740745262"/>
      </left>
      <right/>
      <top/>
      <bottom/>
      <diagonal/>
    </border>
    <border>
      <left style="thin">
        <color rgb="FF000000"/>
      </left>
      <right/>
      <top/>
      <bottom/>
      <diagonal/>
    </border>
    <border>
      <left style="thin">
        <color rgb="FF808080"/>
      </left>
      <right style="thin">
        <color rgb="FF000000"/>
      </right>
      <top/>
      <bottom style="thin">
        <color rgb="FF808080"/>
      </bottom>
      <diagonal/>
    </border>
    <border>
      <left style="thin">
        <color rgb="FF808080"/>
      </left>
      <right/>
      <top/>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bottom style="thin">
        <color rgb="FF808080"/>
      </bottom>
      <diagonal/>
    </border>
    <border>
      <left style="thin">
        <color rgb="FF808080"/>
      </left>
      <right/>
      <top/>
      <bottom style="thin">
        <color rgb="FF808080"/>
      </bottom>
      <diagonal/>
    </border>
    <border>
      <left style="thin">
        <color rgb="FF000000"/>
      </left>
      <right style="thin">
        <color rgb="FF000000"/>
      </right>
      <top style="thin">
        <color rgb="FF000000"/>
      </top>
      <bottom/>
      <diagonal/>
    </border>
    <border>
      <left/>
      <right/>
      <top style="thin">
        <color indexed="64"/>
      </top>
      <bottom/>
      <diagonal/>
    </border>
    <border>
      <left style="thin">
        <color rgb="FF808080"/>
      </left>
      <right style="thin">
        <color rgb="FF808080"/>
      </right>
      <top style="thin">
        <color rgb="FF808080"/>
      </top>
      <bottom/>
      <diagonal/>
    </border>
    <border>
      <left style="thin">
        <color rgb="FF808080"/>
      </left>
      <right style="thin">
        <color rgb="FF808080"/>
      </right>
      <top/>
      <bottom/>
      <diagonal/>
    </border>
    <border>
      <left style="thin">
        <color rgb="FF808080"/>
      </left>
      <right/>
      <top style="thin">
        <color rgb="FF808080"/>
      </top>
      <bottom style="thin">
        <color rgb="FF808080"/>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style="thin">
        <color indexed="64"/>
      </left>
      <right/>
      <top/>
      <bottom style="thin">
        <color theme="1" tint="0.249977111117893"/>
      </bottom>
      <diagonal/>
    </border>
    <border>
      <left/>
      <right/>
      <top/>
      <bottom style="thin">
        <color theme="1" tint="0.249977111117893"/>
      </bottom>
      <diagonal/>
    </border>
    <border>
      <left/>
      <right style="thin">
        <color theme="1" tint="0.249977111117893"/>
      </right>
      <top/>
      <bottom/>
      <diagonal/>
    </border>
    <border>
      <left/>
      <right style="thin">
        <color theme="1" tint="0.249977111117893"/>
      </right>
      <top/>
      <bottom style="thin">
        <color theme="1" tint="0.249977111117893"/>
      </bottom>
      <diagonal/>
    </border>
    <border>
      <left/>
      <right style="thin">
        <color indexed="64"/>
      </right>
      <top style="thin">
        <color indexed="64"/>
      </top>
      <bottom style="thin">
        <color theme="1" tint="0.249977111117893"/>
      </bottom>
      <diagonal/>
    </border>
    <border>
      <left style="thin">
        <color theme="1" tint="0.249977111117893"/>
      </left>
      <right/>
      <top/>
      <bottom/>
      <diagonal/>
    </border>
    <border>
      <left style="thin">
        <color rgb="FF000000"/>
      </left>
      <right/>
      <top style="thin">
        <color rgb="FF000000"/>
      </top>
      <bottom style="thin">
        <color indexed="64"/>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theme="1" tint="0.34998626667073579"/>
      </bottom>
      <diagonal/>
    </border>
    <border>
      <left style="thin">
        <color rgb="FF000000"/>
      </left>
      <right/>
      <top style="thin">
        <color rgb="FF000000"/>
      </top>
      <bottom style="thin">
        <color rgb="FF000000"/>
      </bottom>
      <diagonal/>
    </border>
    <border>
      <left style="thin">
        <color rgb="FF595959"/>
      </left>
      <right style="thin">
        <color rgb="FF595959"/>
      </right>
      <top style="thin">
        <color rgb="FF595959"/>
      </top>
      <bottom style="thin">
        <color rgb="FF595959"/>
      </bottom>
      <diagonal/>
    </border>
    <border>
      <left style="thin">
        <color rgb="FF808080"/>
      </left>
      <right style="thin">
        <color rgb="FF808080"/>
      </right>
      <top/>
      <bottom style="thin">
        <color rgb="FF000000"/>
      </bottom>
      <diagonal/>
    </border>
    <border>
      <left style="thin">
        <color theme="1" tint="0.34998626667073579"/>
      </left>
      <right/>
      <top style="thin">
        <color theme="1" tint="0.34998626667073579"/>
      </top>
      <bottom/>
      <diagonal/>
    </border>
    <border>
      <left/>
      <right/>
      <top/>
      <bottom style="thin">
        <color rgb="FF000000"/>
      </bottom>
      <diagonal/>
    </border>
    <border>
      <left style="thin">
        <color theme="1" tint="0.34998626667073579"/>
      </left>
      <right style="thin">
        <color theme="1" tint="0.34998626667073579"/>
      </right>
      <top style="thin">
        <color theme="1" tint="0.34998626667073579"/>
      </top>
      <bottom style="thin">
        <color indexed="64"/>
      </bottom>
      <diagonal/>
    </border>
    <border>
      <left style="thin">
        <color theme="1" tint="0.34998626667073579"/>
      </left>
      <right style="thin">
        <color theme="1" tint="0.34998626667073579"/>
      </right>
      <top/>
      <bottom style="thin">
        <color indexed="64"/>
      </bottom>
      <diagonal/>
    </border>
    <border>
      <left style="thin">
        <color theme="1" tint="0.34998626667073579"/>
      </left>
      <right/>
      <top/>
      <bottom style="thin">
        <color indexed="64"/>
      </bottom>
      <diagonal/>
    </border>
    <border>
      <left style="thin">
        <color rgb="FF000000"/>
      </left>
      <right/>
      <top style="thin">
        <color rgb="FF000000"/>
      </top>
      <bottom/>
      <diagonal/>
    </border>
  </borders>
  <cellStyleXfs count="57">
    <xf numFmtId="0" fontId="0" fillId="0" borderId="0"/>
    <xf numFmtId="0" fontId="2" fillId="0" borderId="0"/>
    <xf numFmtId="9" fontId="3" fillId="0" borderId="0" applyFont="0" applyFill="0" applyBorder="0" applyAlignment="0" applyProtection="0"/>
    <xf numFmtId="0" fontId="5" fillId="0" borderId="0" applyNumberFormat="0" applyFill="0" applyBorder="0" applyAlignment="0" applyProtection="0"/>
    <xf numFmtId="0" fontId="7" fillId="0" borderId="0"/>
    <xf numFmtId="0" fontId="10" fillId="0" borderId="0" applyNumberFormat="0" applyFill="0" applyBorder="0" applyAlignment="0" applyProtection="0"/>
    <xf numFmtId="43" fontId="3" fillId="0" borderId="0" applyFont="0" applyFill="0" applyBorder="0" applyAlignment="0" applyProtection="0"/>
    <xf numFmtId="0" fontId="3" fillId="0" borderId="0"/>
    <xf numFmtId="9" fontId="7" fillId="0" borderId="0" applyFont="0" applyFill="0" applyBorder="0" applyAlignment="0" applyProtection="0"/>
    <xf numFmtId="0" fontId="18" fillId="0" borderId="0"/>
    <xf numFmtId="0" fontId="20" fillId="0" borderId="0" applyNumberFormat="0" applyFill="0" applyBorder="0" applyAlignment="0" applyProtection="0"/>
    <xf numFmtId="0" fontId="7" fillId="0" borderId="0"/>
    <xf numFmtId="0" fontId="7" fillId="0" borderId="0"/>
    <xf numFmtId="0" fontId="47" fillId="0" borderId="68" applyNumberFormat="0" applyFill="0" applyAlignment="0" applyProtection="0"/>
    <xf numFmtId="0" fontId="48" fillId="0" borderId="69" applyNumberFormat="0" applyFill="0" applyAlignment="0" applyProtection="0"/>
    <xf numFmtId="0" fontId="49" fillId="0" borderId="70" applyNumberFormat="0" applyFill="0" applyAlignment="0" applyProtection="0"/>
    <xf numFmtId="0" fontId="49" fillId="0" borderId="0" applyNumberFormat="0" applyFill="0" applyBorder="0" applyAlignment="0" applyProtection="0"/>
    <xf numFmtId="0" fontId="50" fillId="20" borderId="0" applyNumberFormat="0" applyBorder="0" applyAlignment="0" applyProtection="0"/>
    <xf numFmtId="0" fontId="51" fillId="21" borderId="0" applyNumberFormat="0" applyBorder="0" applyAlignment="0" applyProtection="0"/>
    <xf numFmtId="0" fontId="52" fillId="23" borderId="71" applyNumberFormat="0" applyAlignment="0" applyProtection="0"/>
    <xf numFmtId="0" fontId="53" fillId="24" borderId="72" applyNumberFormat="0" applyAlignment="0" applyProtection="0"/>
    <xf numFmtId="0" fontId="54" fillId="24" borderId="71" applyNumberFormat="0" applyAlignment="0" applyProtection="0"/>
    <xf numFmtId="0" fontId="55" fillId="0" borderId="73" applyNumberFormat="0" applyFill="0" applyAlignment="0" applyProtection="0"/>
    <xf numFmtId="0" fontId="11" fillId="25" borderId="74" applyNumberFormat="0" applyAlignment="0" applyProtection="0"/>
    <xf numFmtId="0" fontId="56" fillId="0" borderId="0" applyNumberFormat="0" applyFill="0" applyBorder="0" applyAlignment="0" applyProtection="0"/>
    <xf numFmtId="0" fontId="3" fillId="26" borderId="75" applyNumberFormat="0" applyFont="0" applyAlignment="0" applyProtection="0"/>
    <xf numFmtId="0" fontId="57" fillId="0" borderId="0" applyNumberFormat="0" applyFill="0" applyBorder="0" applyAlignment="0" applyProtection="0"/>
    <xf numFmtId="0" fontId="4" fillId="0" borderId="76" applyNumberFormat="0" applyFill="0" applyAlignment="0" applyProtection="0"/>
    <xf numFmtId="0" fontId="15" fillId="27"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15" fillId="31"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15" fillId="35"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15" fillId="39" borderId="0" applyNumberFormat="0" applyBorder="0" applyAlignment="0" applyProtection="0"/>
    <xf numFmtId="0" fontId="3" fillId="40" borderId="0" applyNumberFormat="0" applyBorder="0" applyAlignment="0" applyProtection="0"/>
    <xf numFmtId="0" fontId="3" fillId="41" borderId="0" applyNumberFormat="0" applyBorder="0" applyAlignment="0" applyProtection="0"/>
    <xf numFmtId="0" fontId="15" fillId="43" borderId="0" applyNumberFormat="0" applyBorder="0" applyAlignment="0" applyProtection="0"/>
    <xf numFmtId="0" fontId="3" fillId="44" borderId="0" applyNumberFormat="0" applyBorder="0" applyAlignment="0" applyProtection="0"/>
    <xf numFmtId="0" fontId="3" fillId="45" borderId="0" applyNumberFormat="0" applyBorder="0" applyAlignment="0" applyProtection="0"/>
    <xf numFmtId="0" fontId="15" fillId="47" borderId="0" applyNumberFormat="0" applyBorder="0" applyAlignment="0" applyProtection="0"/>
    <xf numFmtId="0" fontId="3" fillId="48" borderId="0" applyNumberFormat="0" applyBorder="0" applyAlignment="0" applyProtection="0"/>
    <xf numFmtId="0" fontId="3" fillId="49" borderId="0" applyNumberFormat="0" applyBorder="0" applyAlignment="0" applyProtection="0"/>
    <xf numFmtId="0" fontId="58" fillId="0" borderId="0" applyNumberFormat="0" applyFill="0" applyBorder="0" applyAlignment="0" applyProtection="0"/>
    <xf numFmtId="0" fontId="59" fillId="22" borderId="0" applyNumberFormat="0" applyBorder="0" applyAlignment="0" applyProtection="0"/>
    <xf numFmtId="0" fontId="15" fillId="30" borderId="0" applyNumberFormat="0" applyBorder="0" applyAlignment="0" applyProtection="0"/>
    <xf numFmtId="0" fontId="15" fillId="34" borderId="0" applyNumberFormat="0" applyBorder="0" applyAlignment="0" applyProtection="0"/>
    <xf numFmtId="0" fontId="15" fillId="38" borderId="0" applyNumberFormat="0" applyBorder="0" applyAlignment="0" applyProtection="0"/>
    <xf numFmtId="0" fontId="15" fillId="42" borderId="0" applyNumberFormat="0" applyBorder="0" applyAlignment="0" applyProtection="0"/>
    <xf numFmtId="0" fontId="15" fillId="46" borderId="0" applyNumberFormat="0" applyBorder="0" applyAlignment="0" applyProtection="0"/>
    <xf numFmtId="0" fontId="15" fillId="50" borderId="0" applyNumberFormat="0" applyBorder="0" applyAlignment="0" applyProtection="0"/>
    <xf numFmtId="0" fontId="3" fillId="0" borderId="0"/>
    <xf numFmtId="0" fontId="16" fillId="0" borderId="0"/>
    <xf numFmtId="0" fontId="80" fillId="0" borderId="0"/>
  </cellStyleXfs>
  <cellXfs count="1063">
    <xf numFmtId="0" fontId="0" fillId="0" borderId="0" xfId="0"/>
    <xf numFmtId="0" fontId="0" fillId="0" borderId="0" xfId="0" applyAlignment="1">
      <alignment wrapText="1"/>
    </xf>
    <xf numFmtId="0" fontId="0" fillId="0" borderId="0" xfId="0" applyAlignment="1">
      <alignment vertical="center"/>
    </xf>
    <xf numFmtId="0" fontId="0" fillId="0" borderId="2" xfId="0" applyBorder="1"/>
    <xf numFmtId="11" fontId="0" fillId="0" borderId="0" xfId="0" applyNumberFormat="1"/>
    <xf numFmtId="0" fontId="4" fillId="0" borderId="0" xfId="0" applyFont="1" applyAlignment="1">
      <alignment horizontal="center" vertical="center"/>
    </xf>
    <xf numFmtId="0" fontId="4" fillId="0" borderId="0" xfId="0" applyFont="1"/>
    <xf numFmtId="0" fontId="0" fillId="0" borderId="0" xfId="0" applyAlignment="1">
      <alignment horizontal="left"/>
    </xf>
    <xf numFmtId="0" fontId="18" fillId="0" borderId="0" xfId="0" applyFont="1" applyAlignment="1">
      <alignment horizontal="left"/>
    </xf>
    <xf numFmtId="0" fontId="18" fillId="0" borderId="2" xfId="0" applyFont="1" applyBorder="1" applyAlignment="1">
      <alignment horizontal="left"/>
    </xf>
    <xf numFmtId="0" fontId="0" fillId="0" borderId="0" xfId="0" applyAlignment="1">
      <alignment horizontal="center" vertical="center"/>
    </xf>
    <xf numFmtId="0" fontId="23" fillId="11" borderId="0" xfId="0" applyFont="1" applyFill="1"/>
    <xf numFmtId="0" fontId="15" fillId="11" borderId="0" xfId="0" applyFont="1" applyFill="1"/>
    <xf numFmtId="0" fontId="12" fillId="0" borderId="0" xfId="0" applyFont="1" applyAlignment="1">
      <alignment horizontal="center"/>
    </xf>
    <xf numFmtId="10" fontId="0" fillId="0" borderId="0" xfId="8" applyNumberFormat="1" applyFont="1" applyBorder="1" applyAlignment="1">
      <alignment horizontal="center"/>
    </xf>
    <xf numFmtId="0" fontId="23" fillId="0" borderId="0" xfId="0" applyFont="1"/>
    <xf numFmtId="0" fontId="15" fillId="0" borderId="0" xfId="0" applyFont="1"/>
    <xf numFmtId="3" fontId="22" fillId="0" borderId="2" xfId="4" applyNumberFormat="1" applyFont="1" applyBorder="1" applyAlignment="1">
      <alignment horizontal="center"/>
    </xf>
    <xf numFmtId="166" fontId="22" fillId="0" borderId="2" xfId="4" applyNumberFormat="1" applyFont="1" applyBorder="1" applyAlignment="1">
      <alignment horizontal="center"/>
    </xf>
    <xf numFmtId="0" fontId="13" fillId="0" borderId="0" xfId="0" applyFont="1" applyAlignment="1">
      <alignment vertical="top"/>
    </xf>
    <xf numFmtId="0" fontId="24" fillId="0" borderId="0" xfId="4" applyFont="1" applyAlignment="1">
      <alignment horizontal="left" vertical="center"/>
    </xf>
    <xf numFmtId="0" fontId="22" fillId="0" borderId="0" xfId="4" applyFont="1"/>
    <xf numFmtId="167" fontId="0" fillId="0" borderId="0" xfId="0" applyNumberFormat="1"/>
    <xf numFmtId="0" fontId="0" fillId="9" borderId="0" xfId="0" applyFill="1"/>
    <xf numFmtId="165" fontId="0" fillId="0" borderId="2" xfId="0" applyNumberFormat="1" applyBorder="1"/>
    <xf numFmtId="10" fontId="15" fillId="0" borderId="0" xfId="8" applyNumberFormat="1" applyFont="1" applyBorder="1" applyAlignment="1">
      <alignment horizontal="center"/>
    </xf>
    <xf numFmtId="164" fontId="15" fillId="0" borderId="0" xfId="8" applyNumberFormat="1" applyFont="1" applyBorder="1" applyAlignment="1">
      <alignment horizontal="center"/>
    </xf>
    <xf numFmtId="0" fontId="4" fillId="0" borderId="0" xfId="0" applyFont="1" applyAlignment="1">
      <alignment vertical="top"/>
    </xf>
    <xf numFmtId="1" fontId="18" fillId="0" borderId="0" xfId="4" applyNumberFormat="1" applyFont="1" applyAlignment="1">
      <alignment horizontal="left"/>
    </xf>
    <xf numFmtId="0" fontId="18" fillId="0" borderId="0" xfId="4" applyFont="1" applyAlignment="1">
      <alignment horizontal="left"/>
    </xf>
    <xf numFmtId="0" fontId="0" fillId="0" borderId="0" xfId="4" applyFont="1" applyAlignment="1">
      <alignment horizontal="left"/>
    </xf>
    <xf numFmtId="164" fontId="0" fillId="0" borderId="0" xfId="8" applyNumberFormat="1" applyFont="1" applyFill="1" applyBorder="1" applyAlignment="1">
      <alignment horizontal="center"/>
    </xf>
    <xf numFmtId="0" fontId="18" fillId="8" borderId="10" xfId="4" applyFont="1" applyFill="1" applyBorder="1" applyAlignment="1">
      <alignment horizontal="left" vertical="center" wrapText="1"/>
    </xf>
    <xf numFmtId="0" fontId="18" fillId="8" borderId="10" xfId="4" applyFont="1" applyFill="1" applyBorder="1" applyAlignment="1">
      <alignment horizontal="left" vertical="center"/>
    </xf>
    <xf numFmtId="0" fontId="21" fillId="8" borderId="10" xfId="4" applyFont="1" applyFill="1" applyBorder="1" applyAlignment="1">
      <alignment horizontal="center" vertical="center" wrapText="1"/>
    </xf>
    <xf numFmtId="164" fontId="0" fillId="0" borderId="0" xfId="8" applyNumberFormat="1" applyFont="1" applyBorder="1" applyAlignment="1">
      <alignment horizontal="center"/>
    </xf>
    <xf numFmtId="0" fontId="21" fillId="8" borderId="10" xfId="4" applyFont="1" applyFill="1" applyBorder="1" applyAlignment="1">
      <alignment horizontal="left" vertical="center" wrapText="1"/>
    </xf>
    <xf numFmtId="0" fontId="21" fillId="8" borderId="10" xfId="4" applyFont="1" applyFill="1" applyBorder="1" applyAlignment="1">
      <alignment horizontal="left" vertical="center"/>
    </xf>
    <xf numFmtId="0" fontId="26" fillId="8" borderId="10" xfId="4" applyFont="1" applyFill="1" applyBorder="1" applyAlignment="1">
      <alignment horizontal="center" vertical="center" wrapText="1"/>
    </xf>
    <xf numFmtId="0" fontId="26" fillId="10" borderId="10" xfId="4" applyFont="1" applyFill="1" applyBorder="1" applyAlignment="1">
      <alignment horizontal="center" vertical="center" wrapText="1"/>
    </xf>
    <xf numFmtId="0" fontId="0" fillId="13" borderId="0" xfId="0" applyFill="1"/>
    <xf numFmtId="0" fontId="0" fillId="12" borderId="0" xfId="0" applyFill="1" applyAlignment="1">
      <alignment horizontal="center" vertical="center"/>
    </xf>
    <xf numFmtId="0" fontId="12" fillId="0" borderId="0" xfId="0" applyFont="1" applyAlignment="1">
      <alignment horizontal="center" vertical="center"/>
    </xf>
    <xf numFmtId="165" fontId="0" fillId="0" borderId="0" xfId="0" applyNumberFormat="1" applyAlignment="1">
      <alignment horizontal="center"/>
    </xf>
    <xf numFmtId="165" fontId="0" fillId="0" borderId="2" xfId="0" applyNumberFormat="1" applyBorder="1" applyAlignment="1">
      <alignment horizontal="center" vertical="center" wrapText="1"/>
    </xf>
    <xf numFmtId="0" fontId="18" fillId="0" borderId="2" xfId="0" applyFont="1" applyBorder="1" applyAlignment="1">
      <alignment horizontal="left" vertical="center" wrapText="1"/>
    </xf>
    <xf numFmtId="0" fontId="8" fillId="0" borderId="0" xfId="0" applyFont="1" applyAlignment="1">
      <alignment horizontal="center"/>
    </xf>
    <xf numFmtId="0" fontId="0" fillId="0" borderId="2" xfId="0" applyBorder="1" applyAlignment="1">
      <alignment horizontal="center" vertical="center"/>
    </xf>
    <xf numFmtId="0" fontId="1" fillId="0" borderId="0" xfId="0" applyFont="1" applyAlignment="1">
      <alignment horizontal="center" vertical="center"/>
    </xf>
    <xf numFmtId="0" fontId="0" fillId="7" borderId="2" xfId="0" applyFill="1" applyBorder="1" applyAlignment="1">
      <alignment horizontal="center" vertical="center"/>
    </xf>
    <xf numFmtId="16" fontId="0" fillId="0" borderId="2" xfId="0" applyNumberFormat="1" applyBorder="1" applyAlignment="1">
      <alignment horizontal="center" vertical="center"/>
    </xf>
    <xf numFmtId="0" fontId="4" fillId="7" borderId="16" xfId="0" applyFont="1" applyFill="1" applyBorder="1" applyAlignment="1">
      <alignment vertical="center"/>
    </xf>
    <xf numFmtId="0" fontId="4" fillId="7" borderId="0" xfId="0" applyFont="1" applyFill="1" applyAlignment="1">
      <alignment vertical="center"/>
    </xf>
    <xf numFmtId="3" fontId="4" fillId="0" borderId="0" xfId="0" applyNumberFormat="1" applyFont="1" applyAlignment="1">
      <alignment horizontal="center" vertical="center"/>
    </xf>
    <xf numFmtId="3" fontId="27" fillId="0" borderId="0" xfId="0" applyNumberFormat="1" applyFont="1" applyAlignment="1">
      <alignment horizontal="center" vertical="center"/>
    </xf>
    <xf numFmtId="0" fontId="16" fillId="0" borderId="0" xfId="0" applyFont="1"/>
    <xf numFmtId="0" fontId="16" fillId="0" borderId="0" xfId="0" applyFont="1" applyAlignment="1">
      <alignment horizontal="center" vertical="center"/>
    </xf>
    <xf numFmtId="0" fontId="7" fillId="0" borderId="0" xfId="0" applyFont="1"/>
    <xf numFmtId="0" fontId="9" fillId="0" borderId="0" xfId="0" applyFont="1"/>
    <xf numFmtId="0" fontId="7" fillId="0" borderId="0" xfId="0" applyFont="1" applyAlignment="1">
      <alignment horizontal="center" vertical="center"/>
    </xf>
    <xf numFmtId="0" fontId="7" fillId="0" borderId="0" xfId="0" applyFont="1" applyAlignment="1">
      <alignment vertical="center"/>
    </xf>
    <xf numFmtId="0" fontId="7" fillId="0" borderId="0" xfId="0" applyFont="1" applyAlignment="1">
      <alignment horizontal="center" vertical="center" wrapText="1"/>
    </xf>
    <xf numFmtId="0" fontId="7" fillId="0" borderId="0" xfId="0" applyFont="1" applyAlignment="1">
      <alignment wrapText="1"/>
    </xf>
    <xf numFmtId="0" fontId="19" fillId="0" borderId="0" xfId="0" applyFont="1" applyAlignment="1">
      <alignment vertical="center"/>
    </xf>
    <xf numFmtId="0" fontId="7" fillId="0" borderId="2" xfId="0" applyFont="1" applyBorder="1" applyAlignment="1">
      <alignment vertical="center"/>
    </xf>
    <xf numFmtId="0" fontId="29" fillId="7" borderId="2" xfId="0" applyFont="1" applyFill="1" applyBorder="1" applyAlignment="1">
      <alignment vertical="center"/>
    </xf>
    <xf numFmtId="0" fontId="29" fillId="7" borderId="2" xfId="0" applyFont="1" applyFill="1" applyBorder="1" applyAlignment="1">
      <alignment horizontal="left" vertical="center"/>
    </xf>
    <xf numFmtId="3" fontId="7" fillId="0" borderId="2" xfId="7" applyNumberFormat="1" applyFont="1" applyBorder="1" applyAlignment="1">
      <alignment horizontal="center" vertical="center"/>
    </xf>
    <xf numFmtId="1" fontId="2" fillId="0" borderId="2" xfId="7" applyNumberFormat="1" applyFont="1" applyBorder="1" applyAlignment="1">
      <alignment horizontal="center" vertical="center"/>
    </xf>
    <xf numFmtId="165" fontId="7" fillId="0" borderId="0" xfId="0" applyNumberFormat="1" applyFont="1" applyAlignment="1">
      <alignment horizontal="center" vertical="center"/>
    </xf>
    <xf numFmtId="0" fontId="7" fillId="0" borderId="0" xfId="0" applyFont="1" applyAlignment="1">
      <alignment horizontal="center" vertical="top" wrapText="1"/>
    </xf>
    <xf numFmtId="0" fontId="9" fillId="2" borderId="0" xfId="0" applyFont="1" applyFill="1"/>
    <xf numFmtId="0" fontId="9" fillId="2" borderId="0" xfId="0" applyFont="1" applyFill="1" applyAlignment="1">
      <alignment wrapText="1"/>
    </xf>
    <xf numFmtId="0" fontId="9" fillId="2" borderId="0" xfId="0" applyFont="1" applyFill="1" applyAlignment="1">
      <alignment horizontal="left"/>
    </xf>
    <xf numFmtId="0" fontId="9" fillId="2" borderId="0" xfId="0" applyFont="1" applyFill="1" applyAlignment="1">
      <alignment horizontal="center"/>
    </xf>
    <xf numFmtId="0" fontId="30" fillId="7" borderId="2" xfId="0" applyFont="1" applyFill="1" applyBorder="1" applyAlignment="1">
      <alignment horizontal="center" vertical="center" wrapText="1"/>
    </xf>
    <xf numFmtId="0" fontId="29" fillId="7" borderId="2" xfId="0" applyFont="1" applyFill="1" applyBorder="1" applyAlignment="1">
      <alignment horizontal="center" vertical="center"/>
    </xf>
    <xf numFmtId="9" fontId="7" fillId="0" borderId="0" xfId="2" applyFont="1" applyFill="1" applyBorder="1" applyAlignment="1">
      <alignment horizontal="center" vertical="center"/>
    </xf>
    <xf numFmtId="9" fontId="7" fillId="0" borderId="0" xfId="2" applyFont="1" applyFill="1" applyBorder="1"/>
    <xf numFmtId="9" fontId="9" fillId="0" borderId="0" xfId="2" applyFont="1" applyFill="1" applyBorder="1"/>
    <xf numFmtId="164" fontId="7" fillId="0" borderId="0" xfId="0" applyNumberFormat="1" applyFont="1"/>
    <xf numFmtId="0" fontId="2" fillId="0" borderId="2" xfId="0" applyFont="1" applyBorder="1" applyAlignment="1">
      <alignment horizontal="center" vertical="center"/>
    </xf>
    <xf numFmtId="0" fontId="9" fillId="7" borderId="22" xfId="0" applyFont="1" applyFill="1" applyBorder="1" applyAlignment="1">
      <alignment horizontal="center" vertical="center"/>
    </xf>
    <xf numFmtId="9" fontId="7" fillId="0" borderId="0" xfId="0" applyNumberFormat="1" applyFont="1" applyAlignment="1">
      <alignment vertical="center"/>
    </xf>
    <xf numFmtId="0" fontId="9" fillId="0" borderId="0" xfId="0" applyFont="1" applyAlignment="1">
      <alignment vertical="center"/>
    </xf>
    <xf numFmtId="0" fontId="33" fillId="0" borderId="0" xfId="0" applyFont="1" applyAlignment="1">
      <alignment horizontal="left" vertical="center"/>
    </xf>
    <xf numFmtId="0" fontId="7" fillId="0" borderId="22" xfId="4" applyBorder="1" applyAlignment="1">
      <alignment horizontal="center" vertical="center"/>
    </xf>
    <xf numFmtId="0" fontId="34" fillId="7" borderId="12" xfId="0" applyFont="1" applyFill="1" applyBorder="1" applyAlignment="1">
      <alignment horizontal="center" vertical="center"/>
    </xf>
    <xf numFmtId="0" fontId="32" fillId="0" borderId="0" xfId="0" applyFont="1" applyAlignment="1">
      <alignment horizontal="center" vertical="center"/>
    </xf>
    <xf numFmtId="0" fontId="35" fillId="4" borderId="0" xfId="0" applyFont="1" applyFill="1" applyAlignment="1">
      <alignment vertical="center" wrapText="1"/>
    </xf>
    <xf numFmtId="0" fontId="32" fillId="4" borderId="0" xfId="0" applyFont="1" applyFill="1" applyAlignment="1">
      <alignment horizontal="center" vertical="center"/>
    </xf>
    <xf numFmtId="165" fontId="32" fillId="4" borderId="0" xfId="0" applyNumberFormat="1" applyFont="1" applyFill="1" applyAlignment="1">
      <alignment horizontal="center" vertical="center"/>
    </xf>
    <xf numFmtId="0" fontId="29" fillId="7" borderId="25" xfId="0" applyFont="1" applyFill="1" applyBorder="1" applyAlignment="1">
      <alignment horizontal="center" vertical="center" wrapText="1"/>
    </xf>
    <xf numFmtId="0" fontId="33" fillId="0" borderId="0" xfId="0" applyFont="1" applyAlignment="1">
      <alignment horizontal="left"/>
    </xf>
    <xf numFmtId="0" fontId="34" fillId="0" borderId="0" xfId="0" applyFont="1" applyAlignment="1">
      <alignment horizontal="left" vertical="center" wrapText="1"/>
    </xf>
    <xf numFmtId="0" fontId="34" fillId="0" borderId="0" xfId="0" applyFont="1" applyAlignment="1">
      <alignment horizontal="left" vertical="center"/>
    </xf>
    <xf numFmtId="0" fontId="34" fillId="0" borderId="0" xfId="0" applyFont="1" applyAlignment="1">
      <alignment horizontal="center" vertical="center" wrapText="1"/>
    </xf>
    <xf numFmtId="10" fontId="7" fillId="0" borderId="0" xfId="8" applyNumberFormat="1" applyFont="1" applyFill="1" applyBorder="1" applyAlignment="1">
      <alignment horizontal="center"/>
    </xf>
    <xf numFmtId="9" fontId="7" fillId="0" borderId="0" xfId="2" applyFont="1" applyFill="1" applyBorder="1" applyAlignment="1">
      <alignment horizontal="left"/>
    </xf>
    <xf numFmtId="1" fontId="7" fillId="0" borderId="0" xfId="2" applyNumberFormat="1" applyFont="1" applyFill="1" applyBorder="1"/>
    <xf numFmtId="168" fontId="32" fillId="0" borderId="0" xfId="0" applyNumberFormat="1" applyFont="1" applyAlignment="1">
      <alignment horizontal="center" vertical="center"/>
    </xf>
    <xf numFmtId="0" fontId="17" fillId="0" borderId="0" xfId="0" applyFont="1" applyAlignment="1">
      <alignment vertical="center"/>
    </xf>
    <xf numFmtId="3" fontId="7" fillId="0" borderId="0" xfId="7" applyNumberFormat="1" applyFont="1" applyAlignment="1">
      <alignment horizontal="center" vertical="center"/>
    </xf>
    <xf numFmtId="0" fontId="36" fillId="0" borderId="0" xfId="0" applyFont="1"/>
    <xf numFmtId="0" fontId="37" fillId="2" borderId="0" xfId="0" applyFont="1" applyFill="1"/>
    <xf numFmtId="0" fontId="38" fillId="0" borderId="0" xfId="0" quotePrefix="1" applyFont="1"/>
    <xf numFmtId="0" fontId="36" fillId="0" borderId="0" xfId="0" applyFont="1" applyAlignment="1">
      <alignment wrapText="1"/>
    </xf>
    <xf numFmtId="0" fontId="36" fillId="0" borderId="0" xfId="0" applyFont="1" applyAlignment="1">
      <alignment horizontal="center"/>
    </xf>
    <xf numFmtId="0" fontId="10" fillId="0" borderId="0" xfId="5" applyAlignment="1">
      <alignment vertical="center"/>
    </xf>
    <xf numFmtId="0" fontId="7" fillId="0" borderId="0" xfId="4" applyAlignment="1">
      <alignment horizontal="center" vertical="center"/>
    </xf>
    <xf numFmtId="9" fontId="7" fillId="0" borderId="0" xfId="0" applyNumberFormat="1" applyFont="1" applyAlignment="1">
      <alignment horizontal="center"/>
    </xf>
    <xf numFmtId="9" fontId="7" fillId="0" borderId="0" xfId="0" applyNumberFormat="1" applyFont="1" applyAlignment="1">
      <alignment horizontal="left"/>
    </xf>
    <xf numFmtId="0" fontId="9" fillId="7" borderId="22" xfId="0" applyFont="1" applyFill="1" applyBorder="1" applyAlignment="1">
      <alignment horizontal="center" vertical="center" wrapText="1"/>
    </xf>
    <xf numFmtId="0" fontId="7" fillId="0" borderId="2" xfId="0" applyFont="1" applyBorder="1"/>
    <xf numFmtId="0" fontId="29" fillId="7" borderId="12" xfId="0" applyFont="1" applyFill="1" applyBorder="1" applyAlignment="1">
      <alignment horizontal="center" vertical="center" wrapText="1"/>
    </xf>
    <xf numFmtId="0" fontId="9" fillId="7" borderId="25" xfId="0" applyFont="1" applyFill="1" applyBorder="1" applyAlignment="1">
      <alignment horizontal="center" vertical="center"/>
    </xf>
    <xf numFmtId="0" fontId="39" fillId="0" borderId="0" xfId="0" applyFont="1" applyAlignment="1">
      <alignment vertical="center"/>
    </xf>
    <xf numFmtId="0" fontId="41" fillId="0" borderId="0" xfId="0" applyFont="1" applyAlignment="1">
      <alignment vertical="center"/>
    </xf>
    <xf numFmtId="0" fontId="7" fillId="0" borderId="20" xfId="0" applyFont="1" applyBorder="1"/>
    <xf numFmtId="169" fontId="7" fillId="0" borderId="0" xfId="6" applyNumberFormat="1" applyFont="1"/>
    <xf numFmtId="169" fontId="7" fillId="0" borderId="20" xfId="6" applyNumberFormat="1" applyFont="1" applyBorder="1"/>
    <xf numFmtId="0" fontId="7" fillId="0" borderId="2" xfId="0" applyFont="1" applyBorder="1" applyAlignment="1">
      <alignment wrapText="1"/>
    </xf>
    <xf numFmtId="0" fontId="7" fillId="0" borderId="15" xfId="0" applyFont="1" applyBorder="1"/>
    <xf numFmtId="0" fontId="7" fillId="0" borderId="18" xfId="0" applyFont="1" applyBorder="1"/>
    <xf numFmtId="0" fontId="7" fillId="0" borderId="15" xfId="0" applyFont="1" applyBorder="1" applyAlignment="1">
      <alignment horizontal="right" vertical="center"/>
    </xf>
    <xf numFmtId="3" fontId="7" fillId="0" borderId="11" xfId="7" applyNumberFormat="1" applyFont="1" applyBorder="1" applyAlignment="1">
      <alignment horizontal="center" vertical="center"/>
    </xf>
    <xf numFmtId="3" fontId="7" fillId="0" borderId="28" xfId="7" applyNumberFormat="1" applyFont="1" applyBorder="1" applyAlignment="1">
      <alignment horizontal="center" vertical="center"/>
    </xf>
    <xf numFmtId="0" fontId="33" fillId="0" borderId="0" xfId="0" applyFont="1" applyAlignment="1">
      <alignment horizontal="center" vertical="center" wrapText="1"/>
    </xf>
    <xf numFmtId="0" fontId="31" fillId="0" borderId="0" xfId="0" applyFont="1" applyAlignment="1">
      <alignment horizontal="left" vertical="center"/>
    </xf>
    <xf numFmtId="0" fontId="33" fillId="0" borderId="0" xfId="0" applyFont="1" applyAlignment="1">
      <alignment wrapText="1"/>
    </xf>
    <xf numFmtId="0" fontId="31" fillId="0" borderId="0" xfId="0" applyFont="1"/>
    <xf numFmtId="0" fontId="16" fillId="0" borderId="0" xfId="0" applyFont="1" applyAlignment="1">
      <alignment vertical="center"/>
    </xf>
    <xf numFmtId="0" fontId="7" fillId="4" borderId="0" xfId="0" applyFont="1" applyFill="1"/>
    <xf numFmtId="0" fontId="7" fillId="4" borderId="0" xfId="0" applyFont="1" applyFill="1" applyAlignment="1">
      <alignment horizontal="center"/>
    </xf>
    <xf numFmtId="0" fontId="7" fillId="12" borderId="0" xfId="0" applyFont="1" applyFill="1" applyAlignment="1">
      <alignment horizontal="center" vertical="center"/>
    </xf>
    <xf numFmtId="0" fontId="16" fillId="0" borderId="0" xfId="0" applyFont="1" applyAlignment="1">
      <alignment wrapText="1"/>
    </xf>
    <xf numFmtId="0" fontId="16" fillId="0" borderId="0" xfId="0" applyFont="1" applyAlignment="1">
      <alignment horizontal="center"/>
    </xf>
    <xf numFmtId="0" fontId="19" fillId="2" borderId="0" xfId="0" applyFont="1" applyFill="1"/>
    <xf numFmtId="0" fontId="19" fillId="2" borderId="0" xfId="0" applyFont="1" applyFill="1" applyAlignment="1">
      <alignment wrapText="1"/>
    </xf>
    <xf numFmtId="0" fontId="19" fillId="2" borderId="0" xfId="0" applyFont="1" applyFill="1" applyAlignment="1">
      <alignment horizontal="left"/>
    </xf>
    <xf numFmtId="0" fontId="19" fillId="2" borderId="0" xfId="0" applyFont="1" applyFill="1" applyAlignment="1">
      <alignment horizontal="center"/>
    </xf>
    <xf numFmtId="0" fontId="2" fillId="0" borderId="0" xfId="0" applyFont="1"/>
    <xf numFmtId="0" fontId="32" fillId="0" borderId="41" xfId="0" applyFont="1" applyBorder="1" applyAlignment="1">
      <alignment horizontal="center" vertical="center"/>
    </xf>
    <xf numFmtId="0" fontId="32" fillId="0" borderId="44" xfId="0" applyFont="1" applyBorder="1" applyAlignment="1">
      <alignment horizontal="center" vertical="center"/>
    </xf>
    <xf numFmtId="2" fontId="32" fillId="0" borderId="42" xfId="0" applyNumberFormat="1" applyFont="1" applyBorder="1" applyAlignment="1">
      <alignment horizontal="center" vertical="center"/>
    </xf>
    <xf numFmtId="2" fontId="32" fillId="0" borderId="43" xfId="0" applyNumberFormat="1" applyFont="1" applyBorder="1" applyAlignment="1">
      <alignment horizontal="center" vertical="center"/>
    </xf>
    <xf numFmtId="0" fontId="32" fillId="0" borderId="47" xfId="0" applyFont="1" applyBorder="1" applyAlignment="1">
      <alignment horizontal="center" vertical="center"/>
    </xf>
    <xf numFmtId="2" fontId="32" fillId="0" borderId="45" xfId="0" applyNumberFormat="1" applyFont="1" applyBorder="1" applyAlignment="1">
      <alignment horizontal="center" vertical="center"/>
    </xf>
    <xf numFmtId="2" fontId="32" fillId="0" borderId="46" xfId="0" applyNumberFormat="1" applyFont="1" applyBorder="1" applyAlignment="1">
      <alignment horizontal="center" vertical="center"/>
    </xf>
    <xf numFmtId="0" fontId="32" fillId="0" borderId="50" xfId="0" applyFont="1" applyBorder="1" applyAlignment="1">
      <alignment horizontal="center" vertical="center"/>
    </xf>
    <xf numFmtId="0" fontId="32" fillId="0" borderId="53" xfId="0" applyFont="1" applyBorder="1" applyAlignment="1">
      <alignment horizontal="center" vertical="center"/>
    </xf>
    <xf numFmtId="2" fontId="32" fillId="0" borderId="51" xfId="0" applyNumberFormat="1" applyFont="1" applyBorder="1" applyAlignment="1">
      <alignment horizontal="center" vertical="center"/>
    </xf>
    <xf numFmtId="2" fontId="32" fillId="0" borderId="52" xfId="0" applyNumberFormat="1" applyFont="1" applyBorder="1" applyAlignment="1">
      <alignment horizontal="center" vertical="center"/>
    </xf>
    <xf numFmtId="0" fontId="32" fillId="0" borderId="56" xfId="0" applyFont="1" applyBorder="1" applyAlignment="1">
      <alignment horizontal="center" vertical="center"/>
    </xf>
    <xf numFmtId="2" fontId="32" fillId="0" borderId="1" xfId="0" applyNumberFormat="1" applyFont="1" applyBorder="1" applyAlignment="1">
      <alignment horizontal="center" vertical="center"/>
    </xf>
    <xf numFmtId="2" fontId="32" fillId="0" borderId="5" xfId="0" applyNumberFormat="1" applyFont="1" applyBorder="1" applyAlignment="1">
      <alignment horizontal="center" vertical="center"/>
    </xf>
    <xf numFmtId="0" fontId="32" fillId="0" borderId="11" xfId="0" applyFont="1" applyBorder="1" applyAlignment="1">
      <alignment horizontal="center" vertical="center"/>
    </xf>
    <xf numFmtId="2" fontId="32" fillId="0" borderId="2" xfId="0" applyNumberFormat="1" applyFont="1" applyBorder="1" applyAlignment="1">
      <alignment horizontal="center" vertical="center"/>
    </xf>
    <xf numFmtId="2" fontId="32" fillId="0" borderId="7" xfId="0" applyNumberFormat="1" applyFont="1" applyBorder="1" applyAlignment="1">
      <alignment horizontal="center" vertical="center"/>
    </xf>
    <xf numFmtId="0" fontId="32" fillId="0" borderId="14" xfId="0" applyFont="1" applyBorder="1" applyAlignment="1">
      <alignment horizontal="center" vertical="center"/>
    </xf>
    <xf numFmtId="2" fontId="32" fillId="0" borderId="12" xfId="0" applyNumberFormat="1" applyFont="1" applyBorder="1" applyAlignment="1">
      <alignment horizontal="center" vertical="center"/>
    </xf>
    <xf numFmtId="2" fontId="32" fillId="0" borderId="35" xfId="0" applyNumberFormat="1" applyFont="1" applyBorder="1" applyAlignment="1">
      <alignment horizontal="center" vertical="center"/>
    </xf>
    <xf numFmtId="0" fontId="32" fillId="0" borderId="58" xfId="0" applyFont="1" applyBorder="1" applyAlignment="1">
      <alignment horizontal="center" vertical="center"/>
    </xf>
    <xf numFmtId="2" fontId="32" fillId="0" borderId="27" xfId="0" applyNumberFormat="1" applyFont="1" applyBorder="1" applyAlignment="1">
      <alignment horizontal="center" vertical="center"/>
    </xf>
    <xf numFmtId="2" fontId="32" fillId="0" borderId="9" xfId="0" applyNumberFormat="1" applyFont="1" applyBorder="1" applyAlignment="1">
      <alignment horizontal="center" vertical="center"/>
    </xf>
    <xf numFmtId="0" fontId="32" fillId="0" borderId="21" xfId="0" applyFont="1" applyBorder="1" applyAlignment="1">
      <alignment horizontal="center" vertical="center"/>
    </xf>
    <xf numFmtId="2" fontId="32" fillId="0" borderId="18" xfId="0" applyNumberFormat="1" applyFont="1" applyBorder="1" applyAlignment="1">
      <alignment horizontal="center" vertical="center"/>
    </xf>
    <xf numFmtId="2" fontId="32" fillId="0" borderId="60" xfId="0" applyNumberFormat="1" applyFont="1" applyBorder="1" applyAlignment="1">
      <alignment horizontal="center" vertical="center"/>
    </xf>
    <xf numFmtId="0" fontId="32" fillId="0" borderId="0" xfId="0" applyFont="1" applyAlignment="1">
      <alignment horizontal="left" vertical="center" wrapText="1"/>
    </xf>
    <xf numFmtId="0" fontId="9" fillId="7" borderId="23" xfId="0" applyFont="1" applyFill="1" applyBorder="1" applyAlignment="1">
      <alignment horizontal="center" vertical="center"/>
    </xf>
    <xf numFmtId="0" fontId="46" fillId="12" borderId="0" xfId="0" applyFont="1" applyFill="1" applyAlignment="1">
      <alignment horizontal="center" vertical="center"/>
    </xf>
    <xf numFmtId="0" fontId="9" fillId="7" borderId="61" xfId="0" applyFont="1" applyFill="1" applyBorder="1" applyAlignment="1">
      <alignment horizontal="center" vertical="center"/>
    </xf>
    <xf numFmtId="0" fontId="20" fillId="0" borderId="61" xfId="5" applyFont="1" applyBorder="1" applyAlignment="1">
      <alignment horizontal="center" vertical="center"/>
    </xf>
    <xf numFmtId="0" fontId="43" fillId="0" borderId="0" xfId="0" applyFont="1" applyAlignment="1">
      <alignment horizontal="center"/>
    </xf>
    <xf numFmtId="0" fontId="17" fillId="0" borderId="29" xfId="0" applyFont="1" applyBorder="1" applyAlignment="1">
      <alignment vertical="center"/>
    </xf>
    <xf numFmtId="0" fontId="9" fillId="2" borderId="0" xfId="0" applyFont="1" applyFill="1" applyAlignment="1">
      <alignment vertical="center"/>
    </xf>
    <xf numFmtId="0" fontId="31" fillId="0" borderId="0" xfId="0" applyFont="1" applyAlignment="1">
      <alignment vertical="center"/>
    </xf>
    <xf numFmtId="0" fontId="2" fillId="0" borderId="2" xfId="0" applyFont="1" applyBorder="1" applyAlignment="1">
      <alignment horizontal="left" vertical="center"/>
    </xf>
    <xf numFmtId="9" fontId="7" fillId="0" borderId="2" xfId="2" applyFont="1" applyBorder="1" applyAlignment="1">
      <alignment horizontal="center" vertical="center"/>
    </xf>
    <xf numFmtId="0" fontId="29" fillId="15" borderId="30" xfId="0" applyFont="1" applyFill="1" applyBorder="1" applyAlignment="1">
      <alignment horizontal="center" vertical="center"/>
    </xf>
    <xf numFmtId="0" fontId="29" fillId="16" borderId="61" xfId="0" applyFont="1" applyFill="1" applyBorder="1" applyAlignment="1">
      <alignment horizontal="center" vertical="center"/>
    </xf>
    <xf numFmtId="9" fontId="7" fillId="0" borderId="61" xfId="2" applyFont="1" applyBorder="1" applyAlignment="1">
      <alignment horizontal="center" vertical="center"/>
    </xf>
    <xf numFmtId="0" fontId="45" fillId="0" borderId="0" xfId="0" applyFont="1" applyAlignment="1">
      <alignment vertical="center"/>
    </xf>
    <xf numFmtId="0" fontId="33" fillId="0" borderId="0" xfId="0" applyFont="1"/>
    <xf numFmtId="0" fontId="10" fillId="0" borderId="0" xfId="5"/>
    <xf numFmtId="0" fontId="7" fillId="0" borderId="0" xfId="0" applyFont="1" applyAlignment="1">
      <alignment horizontal="left"/>
    </xf>
    <xf numFmtId="0" fontId="7" fillId="0" borderId="61" xfId="0" applyFont="1" applyBorder="1" applyAlignment="1">
      <alignment horizontal="center" vertical="center" wrapText="1"/>
    </xf>
    <xf numFmtId="0" fontId="9" fillId="7" borderId="61" xfId="0" applyFont="1" applyFill="1" applyBorder="1" applyAlignment="1">
      <alignment horizontal="center" vertical="center" wrapText="1"/>
    </xf>
    <xf numFmtId="2" fontId="61" fillId="0" borderId="39" xfId="0" applyNumberFormat="1" applyFont="1" applyBorder="1" applyAlignment="1">
      <alignment horizontal="center" vertical="center"/>
    </xf>
    <xf numFmtId="0" fontId="9" fillId="0" borderId="0" xfId="0" applyFont="1" applyAlignment="1">
      <alignment horizontal="left" vertical="center"/>
    </xf>
    <xf numFmtId="170" fontId="62" fillId="0" borderId="0" xfId="0" applyNumberFormat="1" applyFont="1" applyAlignment="1">
      <alignment vertical="center"/>
    </xf>
    <xf numFmtId="170" fontId="2" fillId="0" borderId="0" xfId="0" applyNumberFormat="1" applyFont="1"/>
    <xf numFmtId="0" fontId="19" fillId="0" borderId="0" xfId="0" applyFont="1"/>
    <xf numFmtId="0" fontId="19" fillId="0" borderId="0" xfId="0" applyFont="1" applyAlignment="1">
      <alignment wrapText="1"/>
    </xf>
    <xf numFmtId="0" fontId="19" fillId="0" borderId="0" xfId="0" applyFont="1" applyAlignment="1">
      <alignment horizontal="left"/>
    </xf>
    <xf numFmtId="0" fontId="19" fillId="0" borderId="0" xfId="0" applyFont="1" applyAlignment="1">
      <alignment horizontal="center"/>
    </xf>
    <xf numFmtId="0" fontId="37" fillId="0" borderId="0" xfId="0" applyFont="1"/>
    <xf numFmtId="0" fontId="16" fillId="0" borderId="77" xfId="0" applyFont="1" applyBorder="1"/>
    <xf numFmtId="0" fontId="16" fillId="0" borderId="78" xfId="0" applyFont="1" applyBorder="1"/>
    <xf numFmtId="0" fontId="16" fillId="0" borderId="78" xfId="0" applyFont="1" applyBorder="1" applyAlignment="1">
      <alignment horizontal="center"/>
    </xf>
    <xf numFmtId="0" fontId="0" fillId="0" borderId="54" xfId="0" applyBorder="1"/>
    <xf numFmtId="0" fontId="16" fillId="0" borderId="54" xfId="0" applyFont="1" applyBorder="1"/>
    <xf numFmtId="0" fontId="16" fillId="0" borderId="55" xfId="0" applyFont="1" applyBorder="1"/>
    <xf numFmtId="0" fontId="16" fillId="0" borderId="55" xfId="0" applyFont="1" applyBorder="1" applyAlignment="1">
      <alignment horizontal="center"/>
    </xf>
    <xf numFmtId="0" fontId="16" fillId="0" borderId="80" xfId="0" applyFont="1" applyBorder="1"/>
    <xf numFmtId="0" fontId="16" fillId="0" borderId="81" xfId="0" applyFont="1" applyBorder="1" applyAlignment="1">
      <alignment wrapText="1"/>
    </xf>
    <xf numFmtId="0" fontId="16" fillId="0" borderId="81" xfId="0" applyFont="1" applyBorder="1"/>
    <xf numFmtId="0" fontId="16" fillId="0" borderId="82" xfId="0" applyFont="1" applyBorder="1" applyAlignment="1">
      <alignment horizontal="center"/>
    </xf>
    <xf numFmtId="0" fontId="16" fillId="0" borderId="79" xfId="0" applyFont="1" applyBorder="1"/>
    <xf numFmtId="9" fontId="16" fillId="0" borderId="55" xfId="2" applyFont="1" applyBorder="1"/>
    <xf numFmtId="0" fontId="16" fillId="0" borderId="82" xfId="0" applyFont="1" applyBorder="1"/>
    <xf numFmtId="168" fontId="7" fillId="0" borderId="0" xfId="0" applyNumberFormat="1" applyFont="1" applyAlignment="1">
      <alignment horizontal="center" vertical="center"/>
    </xf>
    <xf numFmtId="0" fontId="31" fillId="0" borderId="0" xfId="0" applyFont="1" applyAlignment="1">
      <alignment horizontal="center" vertical="center" wrapText="1"/>
    </xf>
    <xf numFmtId="9" fontId="7" fillId="4" borderId="0" xfId="0" applyNumberFormat="1" applyFont="1" applyFill="1"/>
    <xf numFmtId="0" fontId="7" fillId="4" borderId="0" xfId="0" applyFont="1" applyFill="1" applyAlignment="1">
      <alignment vertical="center"/>
    </xf>
    <xf numFmtId="0" fontId="9" fillId="7" borderId="36" xfId="0" applyFont="1" applyFill="1" applyBorder="1" applyAlignment="1">
      <alignment horizontal="center" vertical="center"/>
    </xf>
    <xf numFmtId="0" fontId="7" fillId="0" borderId="36" xfId="0" applyFont="1" applyBorder="1" applyAlignment="1">
      <alignment vertical="center" wrapText="1"/>
    </xf>
    <xf numFmtId="0" fontId="34" fillId="7" borderId="36" xfId="0" applyFont="1" applyFill="1" applyBorder="1" applyAlignment="1">
      <alignment horizontal="left" vertical="center" wrapText="1"/>
    </xf>
    <xf numFmtId="0" fontId="34" fillId="7" borderId="36" xfId="0" applyFont="1" applyFill="1" applyBorder="1" applyAlignment="1">
      <alignment horizontal="center" vertical="center" wrapText="1"/>
    </xf>
    <xf numFmtId="0" fontId="7" fillId="0" borderId="36" xfId="0" applyFont="1" applyBorder="1" applyAlignment="1">
      <alignment vertical="center"/>
    </xf>
    <xf numFmtId="170" fontId="62" fillId="8" borderId="36" xfId="0" applyNumberFormat="1" applyFont="1" applyFill="1" applyBorder="1" applyAlignment="1">
      <alignment vertical="center"/>
    </xf>
    <xf numFmtId="3" fontId="7" fillId="0" borderId="36" xfId="0" applyNumberFormat="1" applyFont="1" applyBorder="1" applyAlignment="1">
      <alignment horizontal="center" vertical="center"/>
    </xf>
    <xf numFmtId="0" fontId="9" fillId="7" borderId="36" xfId="0" applyFont="1" applyFill="1" applyBorder="1" applyAlignment="1">
      <alignment horizontal="center" vertical="center" wrapText="1"/>
    </xf>
    <xf numFmtId="0" fontId="29" fillId="7" borderId="36" xfId="0" applyFont="1" applyFill="1" applyBorder="1" applyAlignment="1">
      <alignment horizontal="center" vertical="center" wrapText="1"/>
    </xf>
    <xf numFmtId="169" fontId="7" fillId="0" borderId="36" xfId="6" applyNumberFormat="1" applyFont="1" applyBorder="1" applyAlignment="1">
      <alignment horizontal="center" vertical="center"/>
    </xf>
    <xf numFmtId="169" fontId="7" fillId="0" borderId="36" xfId="6" applyNumberFormat="1" applyFont="1" applyBorder="1" applyAlignment="1">
      <alignment horizontal="center" vertical="center" wrapText="1"/>
    </xf>
    <xf numFmtId="2" fontId="7" fillId="0" borderId="36" xfId="6" applyNumberFormat="1" applyFont="1" applyFill="1" applyBorder="1" applyAlignment="1">
      <alignment horizontal="center" vertical="center"/>
    </xf>
    <xf numFmtId="0" fontId="34" fillId="17" borderId="36" xfId="0" applyFont="1" applyFill="1" applyBorder="1" applyAlignment="1">
      <alignment horizontal="center" vertical="center" wrapText="1"/>
    </xf>
    <xf numFmtId="0" fontId="14" fillId="0" borderId="36" xfId="3" applyFont="1" applyBorder="1" applyAlignment="1">
      <alignment horizontal="center" vertical="center" wrapText="1"/>
    </xf>
    <xf numFmtId="165" fontId="7" fillId="0" borderId="36" xfId="0" quotePrefix="1" applyNumberFormat="1" applyFont="1" applyBorder="1" applyAlignment="1">
      <alignment horizontal="center" vertical="center"/>
    </xf>
    <xf numFmtId="0" fontId="27" fillId="0" borderId="0" xfId="0" applyFont="1"/>
    <xf numFmtId="165" fontId="7" fillId="0" borderId="61" xfId="0" applyNumberFormat="1" applyFont="1" applyBorder="1" applyAlignment="1">
      <alignment horizontal="center" vertical="center"/>
    </xf>
    <xf numFmtId="0" fontId="7" fillId="0" borderId="2" xfId="0" applyFont="1" applyBorder="1" applyAlignment="1">
      <alignment horizontal="left" vertical="center" wrapText="1"/>
    </xf>
    <xf numFmtId="9" fontId="7" fillId="0" borderId="36" xfId="0" applyNumberFormat="1" applyFont="1" applyBorder="1" applyAlignment="1">
      <alignment horizontal="center"/>
    </xf>
    <xf numFmtId="0" fontId="7" fillId="0" borderId="36" xfId="4" applyBorder="1" applyAlignment="1">
      <alignment horizontal="center" vertical="center"/>
    </xf>
    <xf numFmtId="164" fontId="7" fillId="0" borderId="28" xfId="7" applyNumberFormat="1" applyFont="1" applyBorder="1" applyAlignment="1">
      <alignment horizontal="center" vertical="center"/>
    </xf>
    <xf numFmtId="0" fontId="7" fillId="4" borderId="87" xfId="0" applyFont="1" applyFill="1" applyBorder="1"/>
    <xf numFmtId="0" fontId="10" fillId="0" borderId="0" xfId="5" applyAlignment="1">
      <alignment horizontal="left"/>
    </xf>
    <xf numFmtId="0" fontId="10" fillId="0" borderId="0" xfId="5" applyAlignment="1"/>
    <xf numFmtId="0" fontId="63" fillId="0" borderId="0" xfId="0" applyFont="1"/>
    <xf numFmtId="0" fontId="31" fillId="0" borderId="0" xfId="0" applyFont="1" applyAlignment="1">
      <alignment horizontal="center" vertical="center"/>
    </xf>
    <xf numFmtId="0" fontId="31" fillId="0" borderId="0" xfId="0" applyFont="1" applyAlignment="1">
      <alignment horizontal="left"/>
    </xf>
    <xf numFmtId="0" fontId="44" fillId="0" borderId="0" xfId="0" applyFont="1" applyAlignment="1">
      <alignment wrapText="1"/>
    </xf>
    <xf numFmtId="0" fontId="31" fillId="0" borderId="2" xfId="0" applyFont="1" applyBorder="1"/>
    <xf numFmtId="168" fontId="31" fillId="0" borderId="2" xfId="0" applyNumberFormat="1" applyFont="1" applyBorder="1" applyAlignment="1">
      <alignment horizontal="center"/>
    </xf>
    <xf numFmtId="0" fontId="44" fillId="0" borderId="0" xfId="0" applyFont="1" applyAlignment="1">
      <alignment horizontal="left"/>
    </xf>
    <xf numFmtId="168" fontId="44" fillId="0" borderId="0" xfId="0" applyNumberFormat="1" applyFont="1" applyAlignment="1">
      <alignment horizontal="center"/>
    </xf>
    <xf numFmtId="0" fontId="44" fillId="0" borderId="2" xfId="0" applyFont="1" applyBorder="1" applyAlignment="1">
      <alignment horizontal="left"/>
    </xf>
    <xf numFmtId="168" fontId="44" fillId="0" borderId="2" xfId="0" applyNumberFormat="1" applyFont="1" applyBorder="1" applyAlignment="1">
      <alignment horizontal="center"/>
    </xf>
    <xf numFmtId="0" fontId="44" fillId="0" borderId="0" xfId="0" applyFont="1" applyAlignment="1">
      <alignment horizontal="center"/>
    </xf>
    <xf numFmtId="0" fontId="31" fillId="0" borderId="0" xfId="0" applyFont="1" applyAlignment="1">
      <alignment wrapText="1"/>
    </xf>
    <xf numFmtId="0" fontId="44" fillId="0" borderId="0" xfId="0" applyFont="1"/>
    <xf numFmtId="0" fontId="31" fillId="0" borderId="36" xfId="0" applyFont="1" applyBorder="1" applyAlignment="1">
      <alignment vertical="center"/>
    </xf>
    <xf numFmtId="2" fontId="60" fillId="0" borderId="39" xfId="0" applyNumberFormat="1" applyFont="1" applyBorder="1" applyAlignment="1">
      <alignment horizontal="center" vertical="center"/>
    </xf>
    <xf numFmtId="2" fontId="60" fillId="0" borderId="40" xfId="0" applyNumberFormat="1" applyFont="1" applyBorder="1" applyAlignment="1">
      <alignment horizontal="center" vertical="center"/>
    </xf>
    <xf numFmtId="2" fontId="60" fillId="0" borderId="42" xfId="0" applyNumberFormat="1" applyFont="1" applyBorder="1" applyAlignment="1">
      <alignment horizontal="center" vertical="center"/>
    </xf>
    <xf numFmtId="2" fontId="60" fillId="0" borderId="43" xfId="0" applyNumberFormat="1" applyFont="1" applyBorder="1" applyAlignment="1">
      <alignment horizontal="center" vertical="center"/>
    </xf>
    <xf numFmtId="0" fontId="60" fillId="4" borderId="0" xfId="0" applyFont="1" applyFill="1" applyAlignment="1">
      <alignment horizontal="center" vertical="center"/>
    </xf>
    <xf numFmtId="2" fontId="60" fillId="0" borderId="48" xfId="0" applyNumberFormat="1" applyFont="1" applyBorder="1" applyAlignment="1">
      <alignment horizontal="center" vertical="center"/>
    </xf>
    <xf numFmtId="2" fontId="60" fillId="0" borderId="49" xfId="0" applyNumberFormat="1" applyFont="1" applyBorder="1" applyAlignment="1">
      <alignment horizontal="center" vertical="center"/>
    </xf>
    <xf numFmtId="0" fontId="2" fillId="0" borderId="2" xfId="0" applyFont="1" applyBorder="1" applyAlignment="1">
      <alignment horizontal="center" vertical="center" wrapText="1"/>
    </xf>
    <xf numFmtId="0" fontId="9" fillId="0" borderId="0" xfId="0" applyFont="1" applyAlignment="1">
      <alignment wrapText="1"/>
    </xf>
    <xf numFmtId="0" fontId="9" fillId="0" borderId="0" xfId="0" applyFont="1" applyAlignment="1">
      <alignment horizontal="left"/>
    </xf>
    <xf numFmtId="0" fontId="9" fillId="0" borderId="0" xfId="0" applyFont="1" applyAlignment="1">
      <alignment horizontal="center"/>
    </xf>
    <xf numFmtId="9" fontId="2" fillId="0" borderId="36" xfId="2" applyFont="1" applyFill="1" applyBorder="1" applyAlignment="1">
      <alignment horizontal="center" vertical="center"/>
    </xf>
    <xf numFmtId="9" fontId="2" fillId="0" borderId="36" xfId="0" applyNumberFormat="1" applyFont="1" applyBorder="1" applyAlignment="1">
      <alignment horizontal="center"/>
    </xf>
    <xf numFmtId="169" fontId="2" fillId="0" borderId="22" xfId="6" applyNumberFormat="1" applyFont="1" applyBorder="1" applyAlignment="1">
      <alignment horizontal="center" vertical="center"/>
    </xf>
    <xf numFmtId="3" fontId="2" fillId="0" borderId="2" xfId="3" applyNumberFormat="1" applyFont="1" applyFill="1" applyBorder="1" applyAlignment="1">
      <alignment horizontal="center" vertical="center" wrapText="1"/>
    </xf>
    <xf numFmtId="0" fontId="2" fillId="0" borderId="36" xfId="0" applyFont="1" applyBorder="1" applyAlignment="1">
      <alignment vertical="center" wrapText="1"/>
    </xf>
    <xf numFmtId="0" fontId="2" fillId="0" borderId="0" xfId="3" applyFont="1" applyFill="1" applyBorder="1" applyAlignment="1">
      <alignment horizontal="left" vertical="center" wrapText="1"/>
    </xf>
    <xf numFmtId="3" fontId="2" fillId="0" borderId="0" xfId="3" applyNumberFormat="1" applyFont="1" applyFill="1" applyBorder="1" applyAlignment="1">
      <alignment horizontal="center" vertical="center" wrapText="1"/>
    </xf>
    <xf numFmtId="3" fontId="14" fillId="0" borderId="0" xfId="3" applyNumberFormat="1" applyFont="1" applyBorder="1" applyAlignment="1">
      <alignment horizontal="center" vertical="center" wrapText="1"/>
    </xf>
    <xf numFmtId="1" fontId="2" fillId="0" borderId="0" xfId="7" applyNumberFormat="1" applyFont="1" applyAlignment="1">
      <alignment horizontal="center" vertical="center"/>
    </xf>
    <xf numFmtId="0" fontId="34" fillId="17" borderId="91" xfId="0" applyFont="1" applyFill="1" applyBorder="1" applyAlignment="1">
      <alignment horizontal="center" vertical="center" wrapText="1"/>
    </xf>
    <xf numFmtId="0" fontId="34" fillId="17" borderId="91" xfId="0" applyFont="1" applyFill="1" applyBorder="1" applyAlignment="1">
      <alignment horizontal="center" vertical="center"/>
    </xf>
    <xf numFmtId="0" fontId="46" fillId="0" borderId="0" xfId="0" applyFont="1" applyAlignment="1">
      <alignment vertical="center" wrapText="1"/>
    </xf>
    <xf numFmtId="0" fontId="43" fillId="0" borderId="93" xfId="0" applyFont="1" applyBorder="1"/>
    <xf numFmtId="9" fontId="16" fillId="0" borderId="2" xfId="2" applyFont="1" applyBorder="1" applyAlignment="1">
      <alignment horizontal="center" vertical="center"/>
    </xf>
    <xf numFmtId="9" fontId="0" fillId="0" borderId="2" xfId="2" applyFont="1" applyBorder="1" applyAlignment="1">
      <alignment horizontal="center" vertical="center"/>
    </xf>
    <xf numFmtId="0" fontId="7" fillId="0" borderId="3" xfId="0" applyFont="1" applyBorder="1" applyAlignment="1">
      <alignment horizontal="center" vertical="center" wrapText="1"/>
    </xf>
    <xf numFmtId="9" fontId="9" fillId="0" borderId="0" xfId="0" applyNumberFormat="1" applyFont="1"/>
    <xf numFmtId="3" fontId="14" fillId="0" borderId="2" xfId="3" applyNumberFormat="1" applyFont="1" applyFill="1" applyBorder="1" applyAlignment="1">
      <alignment horizontal="center" vertical="center" wrapText="1"/>
    </xf>
    <xf numFmtId="0" fontId="2" fillId="0" borderId="0" xfId="0" applyFont="1" applyAlignment="1">
      <alignment horizontal="left"/>
    </xf>
    <xf numFmtId="169" fontId="2" fillId="0" borderId="36" xfId="6" applyNumberFormat="1" applyFont="1" applyBorder="1" applyAlignment="1">
      <alignment horizontal="right" vertical="center"/>
    </xf>
    <xf numFmtId="0" fontId="2" fillId="0" borderId="36" xfId="0" applyFont="1" applyBorder="1" applyAlignment="1">
      <alignment horizontal="right" vertical="center"/>
    </xf>
    <xf numFmtId="170" fontId="2" fillId="0" borderId="36" xfId="0" applyNumberFormat="1" applyFont="1" applyBorder="1" applyAlignment="1">
      <alignment vertical="center"/>
    </xf>
    <xf numFmtId="169" fontId="2" fillId="0" borderId="36" xfId="6" applyNumberFormat="1" applyFont="1" applyBorder="1" applyAlignment="1">
      <alignment horizontal="right" vertical="center" wrapText="1"/>
    </xf>
    <xf numFmtId="0" fontId="0" fillId="0" borderId="16" xfId="0" applyBorder="1"/>
    <xf numFmtId="3" fontId="2" fillId="0" borderId="0" xfId="0" applyNumberFormat="1" applyFont="1" applyAlignment="1">
      <alignment horizontal="left"/>
    </xf>
    <xf numFmtId="0" fontId="7" fillId="0" borderId="36" xfId="0" applyFont="1" applyBorder="1"/>
    <xf numFmtId="0" fontId="9" fillId="0" borderId="0" xfId="0" applyFont="1" applyAlignment="1">
      <alignment horizontal="center" vertical="center"/>
    </xf>
    <xf numFmtId="10" fontId="7" fillId="0" borderId="0" xfId="0" applyNumberFormat="1" applyFont="1"/>
    <xf numFmtId="169" fontId="2" fillId="0" borderId="0" xfId="6" applyNumberFormat="1" applyFont="1" applyFill="1" applyBorder="1" applyAlignment="1">
      <alignment horizontal="right" vertical="center"/>
    </xf>
    <xf numFmtId="169" fontId="7" fillId="0" borderId="0" xfId="6" applyNumberFormat="1" applyFont="1" applyFill="1" applyBorder="1" applyAlignment="1">
      <alignment horizontal="right" vertical="center"/>
    </xf>
    <xf numFmtId="1" fontId="2" fillId="0" borderId="0" xfId="0" applyNumberFormat="1" applyFont="1" applyAlignment="1">
      <alignment horizontal="right"/>
    </xf>
    <xf numFmtId="0" fontId="7" fillId="0" borderId="0" xfId="0" applyFont="1" applyAlignment="1">
      <alignment horizontal="right"/>
    </xf>
    <xf numFmtId="1" fontId="2" fillId="0" borderId="0" xfId="0" applyNumberFormat="1" applyFont="1" applyAlignment="1">
      <alignment horizontal="right" wrapText="1"/>
    </xf>
    <xf numFmtId="0" fontId="2" fillId="0" borderId="0" xfId="0" applyFont="1" applyAlignment="1">
      <alignment horizontal="right" wrapText="1"/>
    </xf>
    <xf numFmtId="0" fontId="31" fillId="0" borderId="0" xfId="0" applyFont="1" applyAlignment="1">
      <alignment horizontal="left" vertical="center" wrapText="1"/>
    </xf>
    <xf numFmtId="0" fontId="33" fillId="0" borderId="0" xfId="0" applyFont="1" applyAlignment="1">
      <alignment horizontal="left" vertical="center" wrapText="1"/>
    </xf>
    <xf numFmtId="0" fontId="66" fillId="0" borderId="0" xfId="0" applyFont="1" applyAlignment="1">
      <alignment horizontal="center" vertical="center" wrapText="1"/>
    </xf>
    <xf numFmtId="3" fontId="66" fillId="0" borderId="0" xfId="7" applyNumberFormat="1" applyFont="1" applyAlignment="1">
      <alignment horizontal="center" vertical="center"/>
    </xf>
    <xf numFmtId="164" fontId="66" fillId="0" borderId="0" xfId="7" applyNumberFormat="1" applyFont="1" applyAlignment="1">
      <alignment horizontal="center" vertical="center"/>
    </xf>
    <xf numFmtId="1" fontId="66" fillId="0" borderId="0" xfId="7" applyNumberFormat="1" applyFont="1" applyAlignment="1">
      <alignment horizontal="center" vertical="center"/>
    </xf>
    <xf numFmtId="0" fontId="66" fillId="0" borderId="0" xfId="3" applyFont="1" applyFill="1" applyBorder="1" applyAlignment="1">
      <alignment horizontal="left" vertical="center" wrapText="1"/>
    </xf>
    <xf numFmtId="3" fontId="66" fillId="0" borderId="0" xfId="3" applyNumberFormat="1" applyFont="1" applyFill="1" applyBorder="1" applyAlignment="1">
      <alignment horizontal="center" vertical="center" wrapText="1"/>
    </xf>
    <xf numFmtId="0" fontId="2" fillId="0" borderId="0" xfId="0" applyFont="1" applyAlignment="1">
      <alignment horizontal="left" vertical="center"/>
    </xf>
    <xf numFmtId="9" fontId="16" fillId="0" borderId="0" xfId="2" applyFont="1" applyBorder="1" applyAlignment="1">
      <alignment horizontal="center" vertical="center"/>
    </xf>
    <xf numFmtId="9" fontId="7" fillId="0" borderId="0" xfId="2" applyFont="1" applyBorder="1" applyAlignment="1">
      <alignment horizontal="center" vertical="center"/>
    </xf>
    <xf numFmtId="9" fontId="0" fillId="0" borderId="0" xfId="2" applyFont="1" applyBorder="1" applyAlignment="1">
      <alignment horizontal="center" vertical="center"/>
    </xf>
    <xf numFmtId="0" fontId="67" fillId="0" borderId="0" xfId="0" applyFont="1"/>
    <xf numFmtId="1" fontId="69" fillId="0" borderId="42" xfId="0" applyNumberFormat="1" applyFont="1" applyBorder="1" applyAlignment="1">
      <alignment horizontal="center" vertical="center" wrapText="1"/>
    </xf>
    <xf numFmtId="0" fontId="69" fillId="0" borderId="42" xfId="0" applyFont="1" applyBorder="1" applyAlignment="1">
      <alignment horizontal="center" vertical="center"/>
    </xf>
    <xf numFmtId="0" fontId="70" fillId="0" borderId="42" xfId="0" applyFont="1" applyBorder="1" applyAlignment="1">
      <alignment horizontal="center" vertical="center"/>
    </xf>
    <xf numFmtId="0" fontId="33" fillId="0" borderId="2" xfId="0" applyFont="1" applyBorder="1" applyAlignment="1">
      <alignment horizontal="center"/>
    </xf>
    <xf numFmtId="0" fontId="7" fillId="0" borderId="2" xfId="0" applyFont="1" applyBorder="1" applyAlignment="1">
      <alignment horizontal="center"/>
    </xf>
    <xf numFmtId="0" fontId="7" fillId="8" borderId="2" xfId="0" applyFont="1" applyFill="1" applyBorder="1"/>
    <xf numFmtId="0" fontId="7" fillId="8" borderId="2" xfId="0" applyFont="1" applyFill="1" applyBorder="1" applyAlignment="1">
      <alignment wrapText="1"/>
    </xf>
    <xf numFmtId="0" fontId="33" fillId="0" borderId="0" xfId="0" applyFont="1" applyAlignment="1">
      <alignment horizontal="center" vertical="center"/>
    </xf>
    <xf numFmtId="165" fontId="31" fillId="0" borderId="0" xfId="0" applyNumberFormat="1" applyFont="1" applyAlignment="1">
      <alignment horizontal="center" vertical="center"/>
    </xf>
    <xf numFmtId="0" fontId="71" fillId="0" borderId="0" xfId="0" applyFont="1"/>
    <xf numFmtId="0" fontId="7" fillId="0" borderId="3" xfId="0" applyFont="1" applyBorder="1" applyAlignment="1">
      <alignment horizontal="center"/>
    </xf>
    <xf numFmtId="0" fontId="72" fillId="0" borderId="0" xfId="0" applyFont="1"/>
    <xf numFmtId="0" fontId="33" fillId="0" borderId="3" xfId="0" applyFont="1" applyBorder="1" applyAlignment="1">
      <alignment horizontal="center"/>
    </xf>
    <xf numFmtId="0" fontId="33" fillId="0" borderId="3" xfId="0" applyFont="1" applyBorder="1" applyAlignment="1">
      <alignment horizontal="center" vertical="center"/>
    </xf>
    <xf numFmtId="1" fontId="7" fillId="0" borderId="42" xfId="0" applyNumberFormat="1" applyFont="1" applyBorder="1" applyAlignment="1">
      <alignment horizontal="center" vertical="center" wrapText="1"/>
    </xf>
    <xf numFmtId="0" fontId="31" fillId="0" borderId="42" xfId="0" applyFont="1" applyBorder="1" applyAlignment="1">
      <alignment horizontal="center" vertical="center" wrapText="1"/>
    </xf>
    <xf numFmtId="0" fontId="67" fillId="0" borderId="42" xfId="0" applyFont="1" applyBorder="1" applyAlignment="1">
      <alignment horizontal="center" vertical="center"/>
    </xf>
    <xf numFmtId="0" fontId="2" fillId="0" borderId="42" xfId="0" applyFont="1" applyBorder="1" applyAlignment="1">
      <alignment horizontal="center" vertical="center"/>
    </xf>
    <xf numFmtId="0" fontId="2" fillId="0" borderId="36" xfId="0" applyFont="1" applyBorder="1" applyAlignment="1">
      <alignment horizontal="left" vertical="center" wrapText="1"/>
    </xf>
    <xf numFmtId="0" fontId="2" fillId="0" borderId="37" xfId="0" applyFont="1" applyBorder="1" applyAlignment="1">
      <alignment horizontal="center" vertical="center"/>
    </xf>
    <xf numFmtId="0" fontId="9" fillId="7" borderId="67" xfId="0" applyFont="1" applyFill="1" applyBorder="1" applyAlignment="1">
      <alignment horizontal="center" vertical="center" wrapText="1"/>
    </xf>
    <xf numFmtId="0" fontId="2" fillId="0" borderId="0" xfId="0" applyFont="1" applyAlignment="1">
      <alignment vertical="center"/>
    </xf>
    <xf numFmtId="0" fontId="32" fillId="0" borderId="98" xfId="0" applyFont="1" applyBorder="1" applyAlignment="1">
      <alignment horizontal="center" vertical="center"/>
    </xf>
    <xf numFmtId="2" fontId="32" fillId="0" borderId="99" xfId="0" applyNumberFormat="1" applyFont="1" applyBorder="1" applyAlignment="1">
      <alignment horizontal="center" vertical="center"/>
    </xf>
    <xf numFmtId="2" fontId="32" fillId="0" borderId="100" xfId="0" applyNumberFormat="1" applyFont="1" applyBorder="1" applyAlignment="1">
      <alignment horizontal="center" vertical="center"/>
    </xf>
    <xf numFmtId="0" fontId="32" fillId="0" borderId="101" xfId="0" applyFont="1" applyBorder="1" applyAlignment="1">
      <alignment horizontal="center" vertical="center"/>
    </xf>
    <xf numFmtId="2" fontId="32" fillId="0" borderId="102" xfId="0" applyNumberFormat="1" applyFont="1" applyBorder="1" applyAlignment="1">
      <alignment horizontal="center" vertical="center"/>
    </xf>
    <xf numFmtId="0" fontId="32" fillId="0" borderId="103" xfId="0" applyFont="1" applyBorder="1" applyAlignment="1">
      <alignment horizontal="center" vertical="center"/>
    </xf>
    <xf numFmtId="2" fontId="32" fillId="0" borderId="104" xfId="0" applyNumberFormat="1" applyFont="1" applyBorder="1" applyAlignment="1">
      <alignment horizontal="center" vertical="center"/>
    </xf>
    <xf numFmtId="2" fontId="32" fillId="0" borderId="105" xfId="0" applyNumberFormat="1" applyFont="1" applyBorder="1" applyAlignment="1">
      <alignment horizontal="center" vertical="center"/>
    </xf>
    <xf numFmtId="0" fontId="9" fillId="7" borderId="0" xfId="0" applyFont="1" applyFill="1" applyAlignment="1">
      <alignment horizontal="center" vertical="center" wrapText="1"/>
    </xf>
    <xf numFmtId="0" fontId="2" fillId="0" borderId="2" xfId="0" quotePrefix="1" applyFont="1" applyBorder="1" applyAlignment="1">
      <alignment horizontal="left" vertical="center" wrapText="1"/>
    </xf>
    <xf numFmtId="0" fontId="17" fillId="0" borderId="0" xfId="0" applyFont="1" applyAlignment="1">
      <alignment horizontal="center" vertical="center"/>
    </xf>
    <xf numFmtId="2" fontId="74" fillId="0" borderId="42" xfId="0" applyNumberFormat="1" applyFont="1" applyBorder="1" applyAlignment="1">
      <alignment horizontal="center" vertical="center"/>
    </xf>
    <xf numFmtId="2" fontId="74" fillId="0" borderId="104" xfId="0" applyNumberFormat="1" applyFont="1" applyBorder="1" applyAlignment="1">
      <alignment horizontal="center" vertical="center"/>
    </xf>
    <xf numFmtId="2" fontId="74" fillId="0" borderId="99" xfId="0" applyNumberFormat="1" applyFont="1" applyBorder="1" applyAlignment="1">
      <alignment horizontal="center" vertical="center"/>
    </xf>
    <xf numFmtId="2" fontId="32" fillId="0" borderId="0" xfId="0" applyNumberFormat="1" applyFont="1" applyAlignment="1">
      <alignment horizontal="center" vertical="center"/>
    </xf>
    <xf numFmtId="2" fontId="32" fillId="0" borderId="106" xfId="0" applyNumberFormat="1" applyFont="1" applyBorder="1" applyAlignment="1">
      <alignment horizontal="center" vertical="center"/>
    </xf>
    <xf numFmtId="2" fontId="61" fillId="0" borderId="99" xfId="0" applyNumberFormat="1" applyFont="1" applyBorder="1" applyAlignment="1">
      <alignment horizontal="center" vertical="center"/>
    </xf>
    <xf numFmtId="2" fontId="60" fillId="0" borderId="1" xfId="0" applyNumberFormat="1" applyFont="1" applyBorder="1" applyAlignment="1">
      <alignment horizontal="center" vertical="center"/>
    </xf>
    <xf numFmtId="2" fontId="60" fillId="0" borderId="2" xfId="0" applyNumberFormat="1" applyFont="1" applyBorder="1" applyAlignment="1">
      <alignment horizontal="center" vertical="center"/>
    </xf>
    <xf numFmtId="2" fontId="61" fillId="0" borderId="51" xfId="0" applyNumberFormat="1" applyFont="1" applyBorder="1" applyAlignment="1">
      <alignment horizontal="center" vertical="center"/>
    </xf>
    <xf numFmtId="2" fontId="61" fillId="0" borderId="42" xfId="0" applyNumberFormat="1" applyFont="1" applyBorder="1" applyAlignment="1">
      <alignment horizontal="center" vertical="center"/>
    </xf>
    <xf numFmtId="2" fontId="61" fillId="0" borderId="45" xfId="0" applyNumberFormat="1" applyFont="1" applyBorder="1" applyAlignment="1">
      <alignment horizontal="center" vertical="center"/>
    </xf>
    <xf numFmtId="2" fontId="61" fillId="0" borderId="107" xfId="0" applyNumberFormat="1" applyFont="1" applyBorder="1" applyAlignment="1">
      <alignment horizontal="center" vertical="center"/>
    </xf>
    <xf numFmtId="2" fontId="61" fillId="0" borderId="104" xfId="0" applyNumberFormat="1" applyFont="1" applyBorder="1" applyAlignment="1">
      <alignment horizontal="center" vertical="center"/>
    </xf>
    <xf numFmtId="2" fontId="61" fillId="0" borderId="106" xfId="0" applyNumberFormat="1" applyFont="1" applyBorder="1" applyAlignment="1">
      <alignment horizontal="center" vertical="center"/>
    </xf>
    <xf numFmtId="2" fontId="61" fillId="0" borderId="1" xfId="0" applyNumberFormat="1" applyFont="1" applyBorder="1" applyAlignment="1">
      <alignment horizontal="center" vertical="center"/>
    </xf>
    <xf numFmtId="2" fontId="61" fillId="0" borderId="2" xfId="0" applyNumberFormat="1" applyFont="1" applyBorder="1" applyAlignment="1">
      <alignment horizontal="center" vertical="center"/>
    </xf>
    <xf numFmtId="2" fontId="61" fillId="0" borderId="12" xfId="0" applyNumberFormat="1" applyFont="1" applyBorder="1" applyAlignment="1">
      <alignment horizontal="center" vertical="center"/>
    </xf>
    <xf numFmtId="2" fontId="61" fillId="0" borderId="48" xfId="0" applyNumberFormat="1" applyFont="1" applyBorder="1" applyAlignment="1">
      <alignment horizontal="center" vertical="center"/>
    </xf>
    <xf numFmtId="2" fontId="61" fillId="0" borderId="18" xfId="0" applyNumberFormat="1" applyFont="1" applyBorder="1" applyAlignment="1">
      <alignment horizontal="center" vertical="center"/>
    </xf>
    <xf numFmtId="2" fontId="61" fillId="0" borderId="27" xfId="0" applyNumberFormat="1" applyFont="1" applyBorder="1" applyAlignment="1">
      <alignment horizontal="center" vertical="center"/>
    </xf>
    <xf numFmtId="0" fontId="2" fillId="0" borderId="36" xfId="0" quotePrefix="1" applyFont="1" applyBorder="1" applyAlignment="1">
      <alignment vertical="center" wrapText="1"/>
    </xf>
    <xf numFmtId="0" fontId="16" fillId="0" borderId="79" xfId="0" applyFont="1" applyBorder="1" applyAlignment="1">
      <alignment horizontal="center"/>
    </xf>
    <xf numFmtId="0" fontId="75" fillId="0" borderId="0" xfId="0" applyFont="1"/>
    <xf numFmtId="0" fontId="2" fillId="0" borderId="11" xfId="0" applyFont="1" applyBorder="1" applyAlignment="1">
      <alignment horizontal="center" vertical="center" wrapText="1"/>
    </xf>
    <xf numFmtId="165" fontId="7" fillId="0" borderId="36" xfId="0" quotePrefix="1" applyNumberFormat="1" applyFont="1" applyBorder="1" applyAlignment="1">
      <alignment horizontal="center" vertical="center" wrapText="1"/>
    </xf>
    <xf numFmtId="0" fontId="14" fillId="0" borderId="2" xfId="3" applyFont="1" applyFill="1" applyBorder="1" applyAlignment="1">
      <alignment horizontal="center" vertical="center" wrapText="1"/>
    </xf>
    <xf numFmtId="165" fontId="2" fillId="0" borderId="36" xfId="0" applyNumberFormat="1" applyFont="1" applyBorder="1" applyAlignment="1">
      <alignment horizontal="center" vertical="center"/>
    </xf>
    <xf numFmtId="169" fontId="2" fillId="0" borderId="36" xfId="6" applyNumberFormat="1" applyFont="1" applyBorder="1" applyAlignment="1">
      <alignment horizontal="center" vertical="center"/>
    </xf>
    <xf numFmtId="0" fontId="33" fillId="0" borderId="36" xfId="0" applyFont="1" applyBorder="1" applyAlignment="1">
      <alignment horizontal="left" vertical="center" wrapText="1"/>
    </xf>
    <xf numFmtId="0" fontId="68" fillId="0" borderId="0" xfId="0" applyFont="1" applyAlignment="1">
      <alignment horizontal="left" vertical="center"/>
    </xf>
    <xf numFmtId="0" fontId="7" fillId="0" borderId="2" xfId="0" applyFont="1" applyBorder="1" applyAlignment="1">
      <alignment horizontal="left" vertical="center"/>
    </xf>
    <xf numFmtId="0" fontId="7" fillId="0" borderId="3" xfId="0" applyFont="1" applyBorder="1" applyAlignment="1">
      <alignment horizontal="center" vertical="center"/>
    </xf>
    <xf numFmtId="0" fontId="7" fillId="0" borderId="10" xfId="0" applyFont="1" applyBorder="1" applyAlignment="1">
      <alignment horizontal="center" vertical="center"/>
    </xf>
    <xf numFmtId="0" fontId="7" fillId="0" borderId="97" xfId="0" applyFont="1" applyBorder="1" applyAlignment="1">
      <alignment horizontal="left" wrapText="1"/>
    </xf>
    <xf numFmtId="0" fontId="2" fillId="0" borderId="42" xfId="0" applyFont="1" applyBorder="1"/>
    <xf numFmtId="0" fontId="2" fillId="0" borderId="95" xfId="0" applyFont="1" applyBorder="1" applyAlignment="1">
      <alignment horizontal="center" vertical="center"/>
    </xf>
    <xf numFmtId="0" fontId="2" fillId="0" borderId="0" xfId="0" applyFont="1" applyAlignment="1">
      <alignment horizontal="center" vertical="center"/>
    </xf>
    <xf numFmtId="0" fontId="2" fillId="0" borderId="21" xfId="0" applyFont="1" applyBorder="1" applyAlignment="1">
      <alignment horizontal="center" vertical="center" wrapText="1"/>
    </xf>
    <xf numFmtId="166" fontId="2" fillId="0" borderId="109" xfId="1" applyNumberFormat="1" applyBorder="1" applyAlignment="1">
      <alignment horizontal="center" vertical="center" wrapText="1"/>
    </xf>
    <xf numFmtId="0" fontId="2" fillId="0" borderId="109" xfId="0" applyFont="1" applyBorder="1" applyAlignment="1">
      <alignment horizontal="center" vertical="center"/>
    </xf>
    <xf numFmtId="9" fontId="2" fillId="0" borderId="109" xfId="0" applyNumberFormat="1" applyFont="1" applyBorder="1" applyAlignment="1">
      <alignment horizontal="center" vertical="center" wrapText="1"/>
    </xf>
    <xf numFmtId="0" fontId="2" fillId="0" borderId="109" xfId="1" applyBorder="1" applyAlignment="1">
      <alignment horizontal="center" vertical="center" wrapText="1"/>
    </xf>
    <xf numFmtId="0" fontId="7" fillId="0" borderId="3" xfId="0" applyFont="1" applyBorder="1" applyAlignment="1">
      <alignment vertical="center"/>
    </xf>
    <xf numFmtId="0" fontId="2" fillId="0" borderId="3" xfId="1" applyBorder="1" applyAlignment="1">
      <alignment vertical="center" wrapText="1"/>
    </xf>
    <xf numFmtId="0" fontId="2" fillId="0" borderId="3" xfId="1" applyBorder="1" applyAlignment="1">
      <alignment vertical="center"/>
    </xf>
    <xf numFmtId="0" fontId="76" fillId="0" borderId="0" xfId="0" applyFont="1"/>
    <xf numFmtId="0" fontId="34" fillId="0" borderId="110" xfId="0" applyFont="1" applyBorder="1"/>
    <xf numFmtId="0" fontId="76" fillId="0" borderId="111" xfId="0" applyFont="1" applyBorder="1"/>
    <xf numFmtId="0" fontId="68" fillId="0" borderId="112" xfId="0" applyFont="1" applyBorder="1"/>
    <xf numFmtId="0" fontId="76" fillId="0" borderId="91" xfId="0" applyFont="1" applyBorder="1"/>
    <xf numFmtId="0" fontId="33" fillId="0" borderId="2" xfId="0" applyFont="1" applyBorder="1" applyAlignment="1">
      <alignment vertical="center"/>
    </xf>
    <xf numFmtId="0" fontId="33" fillId="0" borderId="11" xfId="0" applyFont="1" applyBorder="1" applyAlignment="1">
      <alignment vertical="center"/>
    </xf>
    <xf numFmtId="0" fontId="33" fillId="53" borderId="18" xfId="0" applyFont="1" applyFill="1" applyBorder="1" applyAlignment="1">
      <alignment vertical="center"/>
    </xf>
    <xf numFmtId="0" fontId="33" fillId="0" borderId="18" xfId="0" applyFont="1" applyBorder="1" applyAlignment="1">
      <alignment vertical="center"/>
    </xf>
    <xf numFmtId="0" fontId="33" fillId="54" borderId="21" xfId="0" applyFont="1" applyFill="1" applyBorder="1" applyAlignment="1">
      <alignment vertical="center"/>
    </xf>
    <xf numFmtId="0" fontId="33" fillId="54" borderId="21" xfId="0" quotePrefix="1" applyFont="1" applyFill="1" applyBorder="1" applyAlignment="1">
      <alignment vertical="center"/>
    </xf>
    <xf numFmtId="0" fontId="33" fillId="51" borderId="21" xfId="0" applyFont="1" applyFill="1" applyBorder="1" applyAlignment="1">
      <alignment vertical="center"/>
    </xf>
    <xf numFmtId="0" fontId="33" fillId="54" borderId="16" xfId="0" applyFont="1" applyFill="1" applyBorder="1" applyAlignment="1">
      <alignment vertical="center"/>
    </xf>
    <xf numFmtId="0" fontId="33" fillId="54" borderId="0" xfId="0" applyFont="1" applyFill="1" applyAlignment="1">
      <alignment vertical="center"/>
    </xf>
    <xf numFmtId="0" fontId="33" fillId="51" borderId="2" xfId="0" applyFont="1" applyFill="1" applyBorder="1" applyAlignment="1">
      <alignment vertical="center"/>
    </xf>
    <xf numFmtId="0" fontId="33" fillId="51" borderId="11" xfId="0" applyFont="1" applyFill="1" applyBorder="1" applyAlignment="1">
      <alignment vertical="center"/>
    </xf>
    <xf numFmtId="0" fontId="31" fillId="54" borderId="21" xfId="0" applyFont="1" applyFill="1" applyBorder="1" applyAlignment="1">
      <alignment vertical="center"/>
    </xf>
    <xf numFmtId="0" fontId="33" fillId="54" borderId="21" xfId="0" applyFont="1" applyFill="1" applyBorder="1" applyAlignment="1">
      <alignment vertical="center" wrapText="1"/>
    </xf>
    <xf numFmtId="0" fontId="31" fillId="54" borderId="21" xfId="0" applyFont="1" applyFill="1" applyBorder="1" applyAlignment="1">
      <alignment vertical="center" wrapText="1"/>
    </xf>
    <xf numFmtId="0" fontId="33" fillId="51" borderId="21" xfId="0" applyFont="1" applyFill="1" applyBorder="1" applyAlignment="1">
      <alignment vertical="center" wrapText="1"/>
    </xf>
    <xf numFmtId="0" fontId="43" fillId="55" borderId="21" xfId="0" applyFont="1" applyFill="1" applyBorder="1" applyAlignment="1">
      <alignment vertical="center"/>
    </xf>
    <xf numFmtId="0" fontId="2" fillId="55" borderId="21" xfId="0" applyFont="1" applyFill="1" applyBorder="1" applyAlignment="1">
      <alignment vertical="center"/>
    </xf>
    <xf numFmtId="0" fontId="2" fillId="17" borderId="21" xfId="0" applyFont="1" applyFill="1" applyBorder="1" applyAlignment="1">
      <alignment vertical="center" wrapText="1"/>
    </xf>
    <xf numFmtId="0" fontId="33" fillId="17" borderId="21" xfId="0" applyFont="1" applyFill="1" applyBorder="1" applyAlignment="1">
      <alignment vertical="center" wrapText="1"/>
    </xf>
    <xf numFmtId="0" fontId="2" fillId="17" borderId="21" xfId="0" quotePrefix="1" applyFont="1" applyFill="1" applyBorder="1" applyAlignment="1">
      <alignment vertical="center" wrapText="1"/>
    </xf>
    <xf numFmtId="0" fontId="33" fillId="55" borderId="21" xfId="0" applyFont="1" applyFill="1" applyBorder="1" applyAlignment="1">
      <alignment vertical="center"/>
    </xf>
    <xf numFmtId="0" fontId="2" fillId="55" borderId="21" xfId="0" applyFont="1" applyFill="1" applyBorder="1" applyAlignment="1">
      <alignment vertical="center" wrapText="1"/>
    </xf>
    <xf numFmtId="0" fontId="31" fillId="17" borderId="21" xfId="0" applyFont="1" applyFill="1" applyBorder="1" applyAlignment="1">
      <alignment vertical="center" wrapText="1"/>
    </xf>
    <xf numFmtId="0" fontId="33" fillId="54" borderId="21" xfId="0" applyFont="1" applyFill="1" applyBorder="1" applyAlignment="1">
      <alignment horizontal="left" vertical="center"/>
    </xf>
    <xf numFmtId="0" fontId="33" fillId="54" borderId="21" xfId="0" quotePrefix="1" applyFont="1" applyFill="1" applyBorder="1" applyAlignment="1">
      <alignment horizontal="left" vertical="center"/>
    </xf>
    <xf numFmtId="0" fontId="33" fillId="51" borderId="21" xfId="0" applyFont="1" applyFill="1" applyBorder="1" applyAlignment="1">
      <alignment horizontal="left" vertical="center"/>
    </xf>
    <xf numFmtId="0" fontId="33" fillId="54" borderId="113" xfId="0" applyFont="1" applyFill="1" applyBorder="1" applyAlignment="1">
      <alignment horizontal="left" vertical="center" wrapText="1"/>
    </xf>
    <xf numFmtId="0" fontId="33" fillId="54" borderId="0" xfId="0" quotePrefix="1" applyFont="1" applyFill="1" applyAlignment="1">
      <alignment horizontal="left" vertical="center" wrapText="1"/>
    </xf>
    <xf numFmtId="0" fontId="33" fillId="54" borderId="114" xfId="0" quotePrefix="1" applyFont="1" applyFill="1" applyBorder="1" applyAlignment="1">
      <alignment horizontal="left" vertical="center" wrapText="1"/>
    </xf>
    <xf numFmtId="0" fontId="31" fillId="51" borderId="11" xfId="0" applyFont="1" applyFill="1" applyBorder="1" applyAlignment="1">
      <alignment horizontal="left" vertical="center" wrapText="1"/>
    </xf>
    <xf numFmtId="0" fontId="33" fillId="51" borderId="11" xfId="0" applyFont="1" applyFill="1" applyBorder="1" applyAlignment="1">
      <alignment horizontal="left" vertical="center" wrapText="1"/>
    </xf>
    <xf numFmtId="3" fontId="2" fillId="53" borderId="21" xfId="0" applyNumberFormat="1" applyFont="1" applyFill="1" applyBorder="1" applyAlignment="1">
      <alignment horizontal="left" vertical="center"/>
    </xf>
    <xf numFmtId="0" fontId="2" fillId="0" borderId="21" xfId="0" applyFont="1" applyBorder="1" applyAlignment="1">
      <alignment horizontal="left" vertical="center"/>
    </xf>
    <xf numFmtId="0" fontId="33" fillId="0" borderId="21" xfId="0" applyFont="1" applyBorder="1" applyAlignment="1">
      <alignment horizontal="left" vertical="center"/>
    </xf>
    <xf numFmtId="0" fontId="2" fillId="53" borderId="21" xfId="0" applyFont="1" applyFill="1" applyBorder="1" applyAlignment="1">
      <alignment horizontal="left" vertical="center" wrapText="1"/>
    </xf>
    <xf numFmtId="0" fontId="7" fillId="57" borderId="2" xfId="0" applyFont="1" applyFill="1" applyBorder="1" applyAlignment="1">
      <alignment horizontal="left"/>
    </xf>
    <xf numFmtId="0" fontId="7" fillId="56" borderId="2" xfId="0" applyFont="1" applyFill="1" applyBorder="1" applyAlignment="1">
      <alignment horizontal="left"/>
    </xf>
    <xf numFmtId="0" fontId="7" fillId="58" borderId="2" xfId="0" applyFont="1" applyFill="1" applyBorder="1"/>
    <xf numFmtId="0" fontId="31" fillId="58" borderId="2" xfId="0" applyFont="1" applyFill="1" applyBorder="1" applyAlignment="1">
      <alignment horizontal="left"/>
    </xf>
    <xf numFmtId="0" fontId="7" fillId="58" borderId="2" xfId="0" applyFont="1" applyFill="1" applyBorder="1" applyAlignment="1">
      <alignment horizontal="left"/>
    </xf>
    <xf numFmtId="3" fontId="7" fillId="57" borderId="2" xfId="0" applyNumberFormat="1" applyFont="1" applyFill="1" applyBorder="1" applyAlignment="1">
      <alignment horizontal="left"/>
    </xf>
    <xf numFmtId="0" fontId="16" fillId="0" borderId="0" xfId="0" applyFont="1" applyAlignment="1">
      <alignment horizontal="left"/>
    </xf>
    <xf numFmtId="0" fontId="7" fillId="57" borderId="2" xfId="0" applyFont="1" applyFill="1" applyBorder="1" applyAlignment="1">
      <alignment horizontal="left" wrapText="1"/>
    </xf>
    <xf numFmtId="0" fontId="7" fillId="57" borderId="2" xfId="0" applyFont="1" applyFill="1" applyBorder="1" applyAlignment="1">
      <alignment vertical="center"/>
    </xf>
    <xf numFmtId="0" fontId="31" fillId="57" borderId="2" xfId="0" applyFont="1" applyFill="1" applyBorder="1" applyAlignment="1">
      <alignment horizontal="left" vertical="center"/>
    </xf>
    <xf numFmtId="0" fontId="7" fillId="57" borderId="2" xfId="0" applyFont="1" applyFill="1" applyBorder="1" applyAlignment="1">
      <alignment horizontal="left" vertical="center"/>
    </xf>
    <xf numFmtId="0" fontId="16" fillId="56" borderId="2" xfId="0" quotePrefix="1" applyFont="1" applyFill="1" applyBorder="1" applyAlignment="1">
      <alignment horizontal="left" vertical="center"/>
    </xf>
    <xf numFmtId="0" fontId="7" fillId="56" borderId="2" xfId="0" applyFont="1" applyFill="1" applyBorder="1" applyAlignment="1">
      <alignment horizontal="left" vertical="center"/>
    </xf>
    <xf numFmtId="0" fontId="7" fillId="58" borderId="2" xfId="0" applyFont="1" applyFill="1" applyBorder="1" applyAlignment="1">
      <alignment vertical="center"/>
    </xf>
    <xf numFmtId="0" fontId="31" fillId="58" borderId="2" xfId="0" applyFont="1" applyFill="1" applyBorder="1" applyAlignment="1">
      <alignment horizontal="left" vertical="center"/>
    </xf>
    <xf numFmtId="0" fontId="7" fillId="58" borderId="2" xfId="0" applyFont="1" applyFill="1" applyBorder="1" applyAlignment="1">
      <alignment horizontal="left" vertical="center"/>
    </xf>
    <xf numFmtId="3" fontId="7" fillId="0" borderId="0" xfId="0" applyNumberFormat="1" applyFont="1" applyAlignment="1">
      <alignment horizontal="left"/>
    </xf>
    <xf numFmtId="0" fontId="7" fillId="56" borderId="2" xfId="0" applyFont="1" applyFill="1" applyBorder="1" applyAlignment="1">
      <alignment vertical="center"/>
    </xf>
    <xf numFmtId="3" fontId="31" fillId="0" borderId="2" xfId="0" applyNumberFormat="1" applyFont="1" applyBorder="1" applyAlignment="1">
      <alignment horizontal="left" vertical="center"/>
    </xf>
    <xf numFmtId="3" fontId="7" fillId="0" borderId="2" xfId="0" applyNumberFormat="1" applyFont="1" applyBorder="1" applyAlignment="1">
      <alignment horizontal="left" vertical="center"/>
    </xf>
    <xf numFmtId="3" fontId="2" fillId="0" borderId="2" xfId="0" applyNumberFormat="1" applyFont="1" applyBorder="1" applyAlignment="1">
      <alignment horizontal="left" vertical="center"/>
    </xf>
    <xf numFmtId="0" fontId="33" fillId="53" borderId="18" xfId="0" applyFont="1" applyFill="1" applyBorder="1" applyAlignment="1">
      <alignment vertical="center" wrapText="1"/>
    </xf>
    <xf numFmtId="0" fontId="33" fillId="53" borderId="21" xfId="0" applyFont="1" applyFill="1" applyBorder="1" applyAlignment="1">
      <alignment vertical="center"/>
    </xf>
    <xf numFmtId="0" fontId="33" fillId="0" borderId="21" xfId="0" applyFont="1" applyBorder="1" applyAlignment="1">
      <alignment vertical="center"/>
    </xf>
    <xf numFmtId="0" fontId="33" fillId="53" borderId="21" xfId="0" applyFont="1" applyFill="1" applyBorder="1" applyAlignment="1">
      <alignment vertical="center" wrapText="1"/>
    </xf>
    <xf numFmtId="0" fontId="32" fillId="0" borderId="0" xfId="0" applyFont="1" applyAlignment="1">
      <alignment horizontal="center" vertical="center" wrapText="1"/>
    </xf>
    <xf numFmtId="2" fontId="32" fillId="0" borderId="117" xfId="0" applyNumberFormat="1" applyFont="1" applyBorder="1" applyAlignment="1">
      <alignment horizontal="center" vertical="center"/>
    </xf>
    <xf numFmtId="2" fontId="32" fillId="0" borderId="44" xfId="0" applyNumberFormat="1" applyFont="1" applyBorder="1" applyAlignment="1">
      <alignment horizontal="center" vertical="center"/>
    </xf>
    <xf numFmtId="2" fontId="32" fillId="0" borderId="119" xfId="0" applyNumberFormat="1" applyFont="1" applyBorder="1" applyAlignment="1">
      <alignment horizontal="center" vertical="center"/>
    </xf>
    <xf numFmtId="0" fontId="32" fillId="0" borderId="129" xfId="0" applyFont="1" applyBorder="1" applyAlignment="1">
      <alignment horizontal="center" vertical="center"/>
    </xf>
    <xf numFmtId="1" fontId="32" fillId="0" borderId="13" xfId="0" applyNumberFormat="1" applyFont="1" applyBorder="1" applyAlignment="1">
      <alignment horizontal="center" vertical="center"/>
    </xf>
    <xf numFmtId="1" fontId="32" fillId="0" borderId="130" xfId="0" applyNumberFormat="1" applyFont="1" applyBorder="1" applyAlignment="1">
      <alignment horizontal="center" vertical="center"/>
    </xf>
    <xf numFmtId="0" fontId="32" fillId="0" borderId="131" xfId="0" applyFont="1" applyBorder="1" applyAlignment="1">
      <alignment horizontal="center" vertical="center"/>
    </xf>
    <xf numFmtId="0" fontId="32" fillId="0" borderId="135" xfId="0" applyFont="1" applyBorder="1" applyAlignment="1">
      <alignment horizontal="center" vertical="center"/>
    </xf>
    <xf numFmtId="1" fontId="32" fillId="0" borderId="125" xfId="0" applyNumberFormat="1" applyFont="1" applyBorder="1" applyAlignment="1">
      <alignment horizontal="center" vertical="center"/>
    </xf>
    <xf numFmtId="1" fontId="32" fillId="0" borderId="126" xfId="0" applyNumberFormat="1" applyFont="1" applyBorder="1" applyAlignment="1">
      <alignment horizontal="center" vertical="center"/>
    </xf>
    <xf numFmtId="0" fontId="32" fillId="0" borderId="138" xfId="0" applyFont="1" applyBorder="1" applyAlignment="1">
      <alignment horizontal="center" vertical="center"/>
    </xf>
    <xf numFmtId="1" fontId="32" fillId="0" borderId="36" xfId="0" applyNumberFormat="1" applyFont="1" applyBorder="1" applyAlignment="1">
      <alignment horizontal="center" vertical="center"/>
    </xf>
    <xf numFmtId="1" fontId="32" fillId="0" borderId="128" xfId="0" applyNumberFormat="1" applyFont="1" applyBorder="1" applyAlignment="1">
      <alignment horizontal="center" vertical="center"/>
    </xf>
    <xf numFmtId="0" fontId="32" fillId="0" borderId="142" xfId="0" applyFont="1" applyBorder="1" applyAlignment="1">
      <alignment horizontal="center" vertical="center"/>
    </xf>
    <xf numFmtId="1" fontId="32" fillId="0" borderId="143" xfId="0" applyNumberFormat="1" applyFont="1" applyBorder="1" applyAlignment="1">
      <alignment horizontal="center" vertical="center"/>
    </xf>
    <xf numFmtId="1" fontId="32" fillId="0" borderId="144" xfId="0" applyNumberFormat="1" applyFont="1" applyBorder="1" applyAlignment="1">
      <alignment horizontal="center" vertical="center"/>
    </xf>
    <xf numFmtId="0" fontId="32" fillId="0" borderId="117" xfId="0" applyFont="1" applyBorder="1" applyAlignment="1">
      <alignment horizontal="center" vertical="center"/>
    </xf>
    <xf numFmtId="0" fontId="32" fillId="0" borderId="119" xfId="0" applyFont="1" applyBorder="1" applyAlignment="1">
      <alignment horizontal="center" vertical="center"/>
    </xf>
    <xf numFmtId="1" fontId="32" fillId="0" borderId="146" xfId="0" applyNumberFormat="1" applyFont="1" applyBorder="1" applyAlignment="1">
      <alignment horizontal="center" vertical="center"/>
    </xf>
    <xf numFmtId="1" fontId="32" fillId="0" borderId="116" xfId="0" applyNumberFormat="1" applyFont="1" applyBorder="1" applyAlignment="1">
      <alignment horizontal="center" vertical="center"/>
    </xf>
    <xf numFmtId="1" fontId="32" fillId="0" borderId="35" xfId="0" applyNumberFormat="1" applyFont="1" applyBorder="1" applyAlignment="1">
      <alignment horizontal="center" vertical="center"/>
    </xf>
    <xf numFmtId="1" fontId="32" fillId="0" borderId="149" xfId="0" applyNumberFormat="1" applyFont="1" applyBorder="1" applyAlignment="1">
      <alignment horizontal="center" vertical="center"/>
    </xf>
    <xf numFmtId="1" fontId="32" fillId="0" borderId="147" xfId="0" applyNumberFormat="1" applyFont="1" applyBorder="1" applyAlignment="1">
      <alignment horizontal="center" vertical="center"/>
    </xf>
    <xf numFmtId="1" fontId="32" fillId="0" borderId="140" xfId="0" applyNumberFormat="1" applyFont="1" applyBorder="1" applyAlignment="1">
      <alignment horizontal="center" vertical="center"/>
    </xf>
    <xf numFmtId="1" fontId="32" fillId="0" borderId="150" xfId="0" applyNumberFormat="1" applyFont="1" applyBorder="1" applyAlignment="1">
      <alignment horizontal="center" vertical="center"/>
    </xf>
    <xf numFmtId="0" fontId="9" fillId="2" borderId="0" xfId="0" applyFont="1" applyFill="1" applyAlignment="1">
      <alignment horizontal="center" vertical="center"/>
    </xf>
    <xf numFmtId="0" fontId="9" fillId="2" borderId="0" xfId="0" applyFont="1" applyFill="1" applyAlignment="1">
      <alignment horizontal="left" vertical="center"/>
    </xf>
    <xf numFmtId="0" fontId="32" fillId="0" borderId="155" xfId="0" applyFont="1" applyBorder="1" applyAlignment="1">
      <alignment horizontal="center" vertical="center"/>
    </xf>
    <xf numFmtId="165" fontId="60" fillId="0" borderId="99" xfId="0" applyNumberFormat="1" applyFont="1" applyBorder="1" applyAlignment="1">
      <alignment horizontal="center" vertical="center"/>
    </xf>
    <xf numFmtId="165" fontId="60" fillId="0" borderId="100" xfId="0" applyNumberFormat="1" applyFont="1" applyBorder="1" applyAlignment="1">
      <alignment horizontal="center" vertical="center"/>
    </xf>
    <xf numFmtId="165" fontId="60" fillId="0" borderId="42" xfId="0" applyNumberFormat="1" applyFont="1" applyBorder="1" applyAlignment="1">
      <alignment horizontal="center" vertical="center"/>
    </xf>
    <xf numFmtId="165" fontId="60" fillId="0" borderId="51" xfId="0" applyNumberFormat="1" applyFont="1" applyBorder="1" applyAlignment="1">
      <alignment horizontal="center" vertical="center"/>
    </xf>
    <xf numFmtId="165" fontId="60" fillId="0" borderId="102" xfId="0" applyNumberFormat="1" applyFont="1" applyBorder="1" applyAlignment="1">
      <alignment horizontal="center" vertical="center"/>
    </xf>
    <xf numFmtId="165" fontId="60" fillId="0" borderId="45" xfId="0" applyNumberFormat="1" applyFont="1" applyBorder="1" applyAlignment="1">
      <alignment horizontal="center" vertical="center"/>
    </xf>
    <xf numFmtId="165" fontId="60" fillId="0" borderId="108" xfId="0" applyNumberFormat="1" applyFont="1" applyBorder="1" applyAlignment="1">
      <alignment horizontal="center" vertical="center"/>
    </xf>
    <xf numFmtId="165" fontId="60" fillId="0" borderId="156" xfId="0" applyNumberFormat="1" applyFont="1" applyBorder="1" applyAlignment="1">
      <alignment horizontal="center" vertical="center"/>
    </xf>
    <xf numFmtId="165" fontId="60" fillId="0" borderId="39" xfId="0" applyNumberFormat="1" applyFont="1" applyBorder="1" applyAlignment="1">
      <alignment horizontal="center" vertical="center"/>
    </xf>
    <xf numFmtId="165" fontId="60" fillId="0" borderId="40" xfId="0" applyNumberFormat="1" applyFont="1" applyBorder="1" applyAlignment="1">
      <alignment horizontal="center" vertical="center"/>
    </xf>
    <xf numFmtId="165" fontId="60" fillId="0" borderId="43" xfId="0" applyNumberFormat="1" applyFont="1" applyBorder="1" applyAlignment="1">
      <alignment horizontal="center" vertical="center"/>
    </xf>
    <xf numFmtId="165" fontId="60" fillId="0" borderId="48" xfId="0" applyNumberFormat="1" applyFont="1" applyBorder="1" applyAlignment="1">
      <alignment horizontal="center" vertical="center"/>
    </xf>
    <xf numFmtId="165" fontId="60" fillId="0" borderId="49" xfId="0" applyNumberFormat="1" applyFont="1" applyBorder="1" applyAlignment="1">
      <alignment horizontal="center" vertical="center"/>
    </xf>
    <xf numFmtId="0" fontId="32" fillId="0" borderId="158" xfId="0" applyFont="1" applyBorder="1" applyAlignment="1">
      <alignment horizontal="center" vertical="center"/>
    </xf>
    <xf numFmtId="0" fontId="32" fillId="0" borderId="38" xfId="0" applyFont="1" applyBorder="1" applyAlignment="1">
      <alignment horizontal="center" vertical="center"/>
    </xf>
    <xf numFmtId="0" fontId="32" fillId="0" borderId="163" xfId="0" applyFont="1" applyBorder="1" applyAlignment="1">
      <alignment horizontal="center" vertical="center"/>
    </xf>
    <xf numFmtId="1" fontId="64" fillId="0" borderId="128" xfId="0" applyNumberFormat="1" applyFont="1" applyBorder="1" applyAlignment="1">
      <alignment horizontal="center" vertical="center"/>
    </xf>
    <xf numFmtId="1" fontId="64" fillId="0" borderId="144" xfId="0" applyNumberFormat="1" applyFont="1" applyBorder="1" applyAlignment="1">
      <alignment horizontal="center" vertical="center"/>
    </xf>
    <xf numFmtId="1" fontId="64" fillId="0" borderId="159" xfId="0" applyNumberFormat="1" applyFont="1" applyBorder="1" applyAlignment="1">
      <alignment horizontal="center" vertical="center"/>
    </xf>
    <xf numFmtId="0" fontId="32" fillId="0" borderId="164" xfId="0" applyFont="1" applyBorder="1" applyAlignment="1">
      <alignment horizontal="center" vertical="center"/>
    </xf>
    <xf numFmtId="1" fontId="32" fillId="0" borderId="133" xfId="0" applyNumberFormat="1" applyFont="1" applyBorder="1" applyAlignment="1">
      <alignment horizontal="center" vertical="center"/>
    </xf>
    <xf numFmtId="1" fontId="32" fillId="0" borderId="145" xfId="0" applyNumberFormat="1" applyFont="1" applyBorder="1" applyAlignment="1">
      <alignment horizontal="center" vertical="center"/>
    </xf>
    <xf numFmtId="0" fontId="32" fillId="0" borderId="166" xfId="0" applyFont="1" applyBorder="1" applyAlignment="1">
      <alignment horizontal="center" vertical="center"/>
    </xf>
    <xf numFmtId="2" fontId="61" fillId="0" borderId="108" xfId="0" applyNumberFormat="1" applyFont="1" applyBorder="1" applyAlignment="1">
      <alignment horizontal="center" vertical="center"/>
    </xf>
    <xf numFmtId="2" fontId="32" fillId="0" borderId="156" xfId="0" applyNumberFormat="1" applyFont="1" applyBorder="1" applyAlignment="1">
      <alignment horizontal="center" vertical="center"/>
    </xf>
    <xf numFmtId="0" fontId="32" fillId="0" borderId="167" xfId="0" applyFont="1" applyBorder="1" applyAlignment="1">
      <alignment horizontal="center" vertical="center"/>
    </xf>
    <xf numFmtId="1" fontId="32" fillId="0" borderId="16" xfId="0" applyNumberFormat="1" applyFont="1" applyBorder="1" applyAlignment="1">
      <alignment horizontal="center" vertical="center"/>
    </xf>
    <xf numFmtId="1" fontId="32" fillId="0" borderId="168" xfId="0" applyNumberFormat="1" applyFont="1" applyBorder="1" applyAlignment="1">
      <alignment horizontal="center" vertical="center"/>
    </xf>
    <xf numFmtId="0" fontId="32" fillId="0" borderId="4" xfId="0" applyFont="1" applyBorder="1" applyAlignment="1">
      <alignment horizontal="center" vertical="center"/>
    </xf>
    <xf numFmtId="0" fontId="32" fillId="0" borderId="6" xfId="0" applyFont="1" applyBorder="1" applyAlignment="1">
      <alignment horizontal="center" vertical="center"/>
    </xf>
    <xf numFmtId="0" fontId="32" fillId="0" borderId="8" xfId="0" applyFont="1" applyBorder="1" applyAlignment="1">
      <alignment horizontal="center" vertical="center"/>
    </xf>
    <xf numFmtId="2" fontId="60" fillId="0" borderId="27" xfId="0" applyNumberFormat="1" applyFont="1" applyBorder="1" applyAlignment="1">
      <alignment horizontal="center" vertical="center"/>
    </xf>
    <xf numFmtId="1" fontId="32" fillId="0" borderId="208" xfId="0" applyNumberFormat="1" applyFont="1" applyBorder="1" applyAlignment="1">
      <alignment horizontal="center" vertical="center"/>
    </xf>
    <xf numFmtId="1" fontId="32" fillId="0" borderId="209" xfId="0" applyNumberFormat="1" applyFont="1" applyBorder="1" applyAlignment="1">
      <alignment horizontal="center" vertical="center"/>
    </xf>
    <xf numFmtId="1" fontId="32" fillId="0" borderId="111" xfId="0" applyNumberFormat="1" applyFont="1" applyBorder="1" applyAlignment="1">
      <alignment horizontal="center" vertical="center"/>
    </xf>
    <xf numFmtId="1" fontId="32" fillId="0" borderId="135" xfId="0" applyNumberFormat="1" applyFont="1" applyBorder="1" applyAlignment="1">
      <alignment horizontal="center" vertical="center"/>
    </xf>
    <xf numFmtId="1" fontId="32" fillId="0" borderId="138" xfId="0" applyNumberFormat="1" applyFont="1" applyBorder="1" applyAlignment="1">
      <alignment horizontal="center" vertical="center"/>
    </xf>
    <xf numFmtId="1" fontId="32" fillId="0" borderId="211" xfId="0" applyNumberFormat="1" applyFont="1" applyBorder="1" applyAlignment="1">
      <alignment horizontal="center" vertical="center"/>
    </xf>
    <xf numFmtId="2" fontId="16" fillId="0" borderId="0" xfId="0" applyNumberFormat="1" applyFont="1"/>
    <xf numFmtId="168" fontId="16" fillId="0" borderId="0" xfId="0" applyNumberFormat="1" applyFont="1"/>
    <xf numFmtId="0" fontId="34" fillId="17" borderId="219" xfId="0" applyFont="1" applyFill="1" applyBorder="1" applyAlignment="1">
      <alignment horizontal="center" vertical="center" wrapText="1"/>
    </xf>
    <xf numFmtId="0" fontId="29" fillId="17" borderId="220" xfId="0" applyFont="1" applyFill="1" applyBorder="1" applyAlignment="1">
      <alignment horizontal="center" vertical="center" wrapText="1"/>
    </xf>
    <xf numFmtId="0" fontId="29" fillId="59" borderId="4" xfId="0" applyFont="1" applyFill="1" applyBorder="1" applyAlignment="1">
      <alignment horizontal="center" vertical="center" wrapText="1"/>
    </xf>
    <xf numFmtId="0" fontId="29" fillId="59" borderId="56" xfId="0" applyFont="1" applyFill="1" applyBorder="1" applyAlignment="1">
      <alignment horizontal="center" vertical="center" wrapText="1"/>
    </xf>
    <xf numFmtId="0" fontId="29" fillId="59" borderId="221" xfId="0" applyFont="1" applyFill="1" applyBorder="1" applyAlignment="1">
      <alignment horizontal="center" vertical="center" wrapText="1"/>
    </xf>
    <xf numFmtId="0" fontId="29" fillId="59" borderId="1" xfId="0" applyFont="1" applyFill="1" applyBorder="1" applyAlignment="1">
      <alignment horizontal="center" vertical="center" wrapText="1"/>
    </xf>
    <xf numFmtId="0" fontId="29" fillId="59" borderId="5" xfId="0" applyFont="1" applyFill="1" applyBorder="1" applyAlignment="1">
      <alignment horizontal="center" vertical="center" wrapText="1"/>
    </xf>
    <xf numFmtId="0" fontId="29" fillId="0" borderId="4" xfId="0" applyFont="1" applyBorder="1" applyAlignment="1">
      <alignment horizontal="center" vertical="center" wrapText="1"/>
    </xf>
    <xf numFmtId="0" fontId="29" fillId="0" borderId="1" xfId="0" applyFont="1" applyBorder="1" applyAlignment="1">
      <alignment horizontal="center" vertical="center" wrapText="1"/>
    </xf>
    <xf numFmtId="0" fontId="29" fillId="0" borderId="5" xfId="0" applyFont="1" applyBorder="1" applyAlignment="1">
      <alignment horizontal="center" vertical="center" wrapText="1"/>
    </xf>
    <xf numFmtId="0" fontId="33" fillId="0" borderId="20" xfId="0" applyFont="1" applyBorder="1" applyAlignment="1">
      <alignment horizontal="center" vertical="center"/>
    </xf>
    <xf numFmtId="165" fontId="75" fillId="0" borderId="6" xfId="0" applyNumberFormat="1" applyFont="1" applyBorder="1"/>
    <xf numFmtId="165" fontId="75" fillId="0" borderId="2" xfId="0" applyNumberFormat="1" applyFont="1" applyBorder="1"/>
    <xf numFmtId="165" fontId="7" fillId="0" borderId="7" xfId="0" applyNumberFormat="1" applyFont="1" applyBorder="1"/>
    <xf numFmtId="0" fontId="33" fillId="0" borderId="225" xfId="0" applyFont="1" applyBorder="1" applyAlignment="1">
      <alignment horizontal="center" vertical="center"/>
    </xf>
    <xf numFmtId="165" fontId="75" fillId="0" borderId="8" xfId="0" applyNumberFormat="1" applyFont="1" applyBorder="1"/>
    <xf numFmtId="165" fontId="75" fillId="0" borderId="27" xfId="0" applyNumberFormat="1" applyFont="1" applyBorder="1"/>
    <xf numFmtId="0" fontId="7" fillId="0" borderId="27" xfId="0" applyFont="1" applyBorder="1"/>
    <xf numFmtId="165" fontId="7" fillId="0" borderId="9" xfId="0" applyNumberFormat="1" applyFont="1" applyBorder="1"/>
    <xf numFmtId="2" fontId="2" fillId="0" borderId="0" xfId="0" applyNumberFormat="1" applyFont="1" applyAlignment="1">
      <alignment horizontal="center" vertical="center"/>
    </xf>
    <xf numFmtId="0" fontId="29" fillId="17" borderId="2" xfId="0" applyFont="1" applyFill="1" applyBorder="1" applyAlignment="1">
      <alignment horizontal="center" vertical="center" wrapText="1"/>
    </xf>
    <xf numFmtId="165" fontId="2" fillId="0" borderId="22" xfId="0" applyNumberFormat="1" applyFont="1" applyBorder="1" applyAlignment="1">
      <alignment horizontal="center" vertical="center"/>
    </xf>
    <xf numFmtId="165" fontId="33" fillId="0" borderId="109" xfId="0" applyNumberFormat="1" applyFont="1" applyBorder="1"/>
    <xf numFmtId="0" fontId="29" fillId="0" borderId="0" xfId="0" applyFont="1" applyAlignment="1">
      <alignment horizontal="center" vertical="center" wrapText="1"/>
    </xf>
    <xf numFmtId="165" fontId="0" fillId="7" borderId="2" xfId="0" applyNumberFormat="1" applyFill="1" applyBorder="1"/>
    <xf numFmtId="165" fontId="0" fillId="0" borderId="27" xfId="0" applyNumberFormat="1" applyBorder="1"/>
    <xf numFmtId="165" fontId="0" fillId="7" borderId="27" xfId="0" applyNumberFormat="1" applyFill="1" applyBorder="1"/>
    <xf numFmtId="165" fontId="33" fillId="0" borderId="59" xfId="0" applyNumberFormat="1" applyFont="1" applyBorder="1" applyAlignment="1">
      <alignment horizontal="center" vertical="center"/>
    </xf>
    <xf numFmtId="165" fontId="33" fillId="0" borderId="21" xfId="0" applyNumberFormat="1" applyFont="1" applyBorder="1" applyAlignment="1">
      <alignment horizontal="center" vertical="center"/>
    </xf>
    <xf numFmtId="165" fontId="33" fillId="0" borderId="223" xfId="0" applyNumberFormat="1" applyFont="1" applyBorder="1" applyAlignment="1">
      <alignment horizontal="center" vertical="center"/>
    </xf>
    <xf numFmtId="165" fontId="33" fillId="0" borderId="226" xfId="0" applyNumberFormat="1" applyFont="1" applyBorder="1" applyAlignment="1">
      <alignment horizontal="center" vertical="center"/>
    </xf>
    <xf numFmtId="165" fontId="33" fillId="0" borderId="227" xfId="0" applyNumberFormat="1" applyFont="1" applyBorder="1" applyAlignment="1">
      <alignment horizontal="center" vertical="center"/>
    </xf>
    <xf numFmtId="165" fontId="33" fillId="0" borderId="82" xfId="0" applyNumberFormat="1" applyFont="1" applyBorder="1" applyAlignment="1">
      <alignment horizontal="center" vertical="center"/>
    </xf>
    <xf numFmtId="1" fontId="32" fillId="0" borderId="95" xfId="0" applyNumberFormat="1" applyFont="1" applyBorder="1" applyAlignment="1">
      <alignment horizontal="center" vertical="center"/>
    </xf>
    <xf numFmtId="2" fontId="61" fillId="0" borderId="52" xfId="0" applyNumberFormat="1" applyFont="1" applyBorder="1" applyAlignment="1">
      <alignment horizontal="center" vertical="center"/>
    </xf>
    <xf numFmtId="2" fontId="61" fillId="0" borderId="43" xfId="0" applyNumberFormat="1" applyFont="1" applyBorder="1" applyAlignment="1">
      <alignment horizontal="center" vertical="center"/>
    </xf>
    <xf numFmtId="0" fontId="7" fillId="2" borderId="0" xfId="0" applyFont="1" applyFill="1"/>
    <xf numFmtId="165" fontId="7" fillId="0" borderId="36" xfId="6" applyNumberFormat="1" applyFont="1" applyFill="1" applyBorder="1" applyAlignment="1">
      <alignment horizontal="center" vertical="center"/>
    </xf>
    <xf numFmtId="165" fontId="2" fillId="0" borderId="36" xfId="6" applyNumberFormat="1" applyFont="1" applyFill="1" applyBorder="1" applyAlignment="1">
      <alignment horizontal="center" vertical="center"/>
    </xf>
    <xf numFmtId="0" fontId="10" fillId="0" borderId="0" xfId="5" applyBorder="1" applyAlignment="1">
      <alignment vertical="center"/>
    </xf>
    <xf numFmtId="0" fontId="75" fillId="0" borderId="0" xfId="0" applyFont="1" applyAlignment="1">
      <alignment horizontal="center" vertical="center" wrapText="1"/>
    </xf>
    <xf numFmtId="0" fontId="75" fillId="2" borderId="0" xfId="0" applyFont="1" applyFill="1" applyAlignment="1">
      <alignment horizontal="center" vertical="center" wrapText="1"/>
    </xf>
    <xf numFmtId="9" fontId="7" fillId="2" borderId="0" xfId="2" applyFont="1" applyFill="1" applyBorder="1"/>
    <xf numFmtId="9" fontId="7" fillId="2" borderId="0" xfId="2" applyFont="1" applyFill="1" applyBorder="1" applyAlignment="1">
      <alignment horizontal="left"/>
    </xf>
    <xf numFmtId="1" fontId="7" fillId="2" borderId="0" xfId="2" applyNumberFormat="1" applyFont="1" applyFill="1" applyBorder="1"/>
    <xf numFmtId="0" fontId="77" fillId="0" borderId="0" xfId="0" applyFont="1" applyAlignment="1">
      <alignment horizontal="center" vertical="center" wrapText="1"/>
    </xf>
    <xf numFmtId="0" fontId="77" fillId="0" borderId="54" xfId="0" applyFont="1" applyBorder="1" applyAlignment="1">
      <alignment horizontal="center" vertical="center" wrapText="1"/>
    </xf>
    <xf numFmtId="0" fontId="77" fillId="0" borderId="55" xfId="0" applyFont="1" applyBorder="1" applyAlignment="1">
      <alignment horizontal="center" vertical="center" wrapText="1"/>
    </xf>
    <xf numFmtId="0" fontId="75" fillId="0" borderId="54" xfId="0" applyFont="1" applyBorder="1" applyAlignment="1">
      <alignment horizontal="center" vertical="center" wrapText="1"/>
    </xf>
    <xf numFmtId="0" fontId="75" fillId="0" borderId="55" xfId="0" applyFont="1" applyBorder="1" applyAlignment="1">
      <alignment horizontal="center" vertical="center" wrapText="1"/>
    </xf>
    <xf numFmtId="0" fontId="77" fillId="60" borderId="54" xfId="0" applyFont="1" applyFill="1" applyBorder="1" applyAlignment="1">
      <alignment horizontal="center" vertical="center" wrapText="1"/>
    </xf>
    <xf numFmtId="0" fontId="77" fillId="60" borderId="0" xfId="0" applyFont="1" applyFill="1" applyAlignment="1">
      <alignment horizontal="center" vertical="center" wrapText="1"/>
    </xf>
    <xf numFmtId="0" fontId="77" fillId="60" borderId="55" xfId="0" applyFont="1" applyFill="1" applyBorder="1" applyAlignment="1">
      <alignment horizontal="center" vertical="center" wrapText="1"/>
    </xf>
    <xf numFmtId="0" fontId="0" fillId="0" borderId="54" xfId="0" applyBorder="1" applyAlignment="1">
      <alignment horizontal="center" vertical="center" wrapText="1"/>
    </xf>
    <xf numFmtId="2" fontId="0" fillId="0" borderId="0" xfId="0" applyNumberFormat="1" applyAlignment="1">
      <alignment horizontal="center" vertical="center" wrapText="1"/>
    </xf>
    <xf numFmtId="2" fontId="0" fillId="0" borderId="55" xfId="0" applyNumberFormat="1" applyBorder="1" applyAlignment="1">
      <alignment horizontal="center" vertical="center" wrapText="1"/>
    </xf>
    <xf numFmtId="0" fontId="77" fillId="61" borderId="54" xfId="0" applyFont="1" applyFill="1" applyBorder="1" applyAlignment="1">
      <alignment horizontal="center" vertical="center" wrapText="1"/>
    </xf>
    <xf numFmtId="0" fontId="77" fillId="61" borderId="0" xfId="0" applyFont="1" applyFill="1" applyAlignment="1">
      <alignment horizontal="center" vertical="center" wrapText="1"/>
    </xf>
    <xf numFmtId="0" fontId="77" fillId="61" borderId="55" xfId="0" applyFont="1" applyFill="1" applyBorder="1" applyAlignment="1">
      <alignment horizontal="center" vertical="center" wrapText="1"/>
    </xf>
    <xf numFmtId="2" fontId="79" fillId="0" borderId="0" xfId="0" applyNumberFormat="1" applyFont="1" applyAlignment="1">
      <alignment horizontal="center" vertical="center" wrapText="1"/>
    </xf>
    <xf numFmtId="0" fontId="77" fillId="62" borderId="54" xfId="0" applyFont="1" applyFill="1" applyBorder="1" applyAlignment="1">
      <alignment horizontal="center" vertical="center" wrapText="1"/>
    </xf>
    <xf numFmtId="0" fontId="77" fillId="62" borderId="0" xfId="0" applyFont="1" applyFill="1" applyAlignment="1">
      <alignment horizontal="center" vertical="center" wrapText="1"/>
    </xf>
    <xf numFmtId="0" fontId="77" fillId="62" borderId="55" xfId="0" applyFont="1" applyFill="1" applyBorder="1" applyAlignment="1">
      <alignment horizontal="center" vertical="center" wrapText="1"/>
    </xf>
    <xf numFmtId="0" fontId="0" fillId="0" borderId="0" xfId="0" applyAlignment="1">
      <alignment horizontal="center" vertical="center" wrapText="1"/>
    </xf>
    <xf numFmtId="0" fontId="0" fillId="0" borderId="55" xfId="0" applyBorder="1" applyAlignment="1">
      <alignment horizontal="center" vertical="center" wrapText="1"/>
    </xf>
    <xf numFmtId="0" fontId="0" fillId="0" borderId="80" xfId="0" applyBorder="1" applyAlignment="1">
      <alignment horizontal="center" vertical="center" wrapText="1"/>
    </xf>
    <xf numFmtId="0" fontId="0" fillId="0" borderId="81" xfId="0" applyBorder="1" applyAlignment="1">
      <alignment horizontal="center" vertical="center" wrapText="1"/>
    </xf>
    <xf numFmtId="0" fontId="0" fillId="0" borderId="82" xfId="0" applyBorder="1" applyAlignment="1">
      <alignment horizontal="center" vertical="center" wrapText="1"/>
    </xf>
    <xf numFmtId="0" fontId="81" fillId="0" borderId="0" xfId="0" applyFont="1" applyAlignment="1">
      <alignment horizontal="center" vertical="center" wrapText="1"/>
    </xf>
    <xf numFmtId="0" fontId="82" fillId="0" borderId="0" xfId="5" applyFont="1" applyAlignment="1">
      <alignment horizontal="left"/>
    </xf>
    <xf numFmtId="0" fontId="9" fillId="17" borderId="2" xfId="0" applyFont="1" applyFill="1" applyBorder="1" applyAlignment="1">
      <alignment horizontal="center" vertical="center" wrapText="1"/>
    </xf>
    <xf numFmtId="2" fontId="7" fillId="0" borderId="2" xfId="0" applyNumberFormat="1" applyFont="1" applyBorder="1" applyAlignment="1">
      <alignment horizontal="center" vertical="center" wrapText="1"/>
    </xf>
    <xf numFmtId="0" fontId="7" fillId="0" borderId="229" xfId="0" applyFont="1" applyBorder="1"/>
    <xf numFmtId="43" fontId="7" fillId="0" borderId="2" xfId="6" applyFont="1" applyBorder="1" applyAlignment="1">
      <alignment horizontal="center" vertical="center"/>
    </xf>
    <xf numFmtId="0" fontId="7" fillId="0" borderId="0" xfId="56" applyFont="1"/>
    <xf numFmtId="0" fontId="33" fillId="0" borderId="0" xfId="56" applyFont="1" applyAlignment="1">
      <alignment vertical="center" wrapText="1"/>
    </xf>
    <xf numFmtId="165" fontId="33" fillId="0" borderId="0" xfId="56" applyNumberFormat="1" applyFont="1" applyAlignment="1">
      <alignment horizontal="left" vertical="center" wrapText="1"/>
    </xf>
    <xf numFmtId="0" fontId="33" fillId="0" borderId="0" xfId="56" applyFont="1" applyAlignment="1">
      <alignment vertical="center"/>
    </xf>
    <xf numFmtId="0" fontId="75" fillId="0" borderId="0" xfId="56" applyFont="1" applyAlignment="1">
      <alignment vertical="center" wrapText="1"/>
    </xf>
    <xf numFmtId="168" fontId="33" fillId="0" borderId="0" xfId="56" applyNumberFormat="1" applyFont="1" applyAlignment="1">
      <alignment horizontal="left" vertical="center" wrapText="1"/>
    </xf>
    <xf numFmtId="0" fontId="75" fillId="0" borderId="0" xfId="56" applyFont="1" applyAlignment="1">
      <alignment vertical="center"/>
    </xf>
    <xf numFmtId="0" fontId="33" fillId="0" borderId="0" xfId="56" applyFont="1" applyAlignment="1">
      <alignment horizontal="left" vertical="center" wrapText="1"/>
    </xf>
    <xf numFmtId="167" fontId="33" fillId="0" borderId="0" xfId="56" applyNumberFormat="1" applyFont="1" applyAlignment="1">
      <alignment horizontal="left" vertical="center" wrapText="1"/>
    </xf>
    <xf numFmtId="0" fontId="7" fillId="0" borderId="0" xfId="56" applyFont="1" applyAlignment="1">
      <alignment horizontal="left"/>
    </xf>
    <xf numFmtId="0" fontId="80" fillId="0" borderId="0" xfId="56"/>
    <xf numFmtId="0" fontId="7" fillId="0" borderId="0" xfId="56" applyFont="1" applyAlignment="1">
      <alignment wrapText="1"/>
    </xf>
    <xf numFmtId="0" fontId="33" fillId="0" borderId="109" xfId="0" applyFont="1" applyBorder="1" applyAlignment="1">
      <alignment vertical="center"/>
    </xf>
    <xf numFmtId="0" fontId="84" fillId="0" borderId="0" xfId="5" applyFont="1" applyAlignment="1"/>
    <xf numFmtId="0" fontId="31" fillId="0" borderId="0" xfId="0" applyFont="1" applyAlignment="1">
      <alignment vertical="center" wrapText="1"/>
    </xf>
    <xf numFmtId="0" fontId="84" fillId="0" borderId="0" xfId="5" applyFont="1" applyAlignment="1">
      <alignment horizontal="left" vertical="center"/>
    </xf>
    <xf numFmtId="0" fontId="10" fillId="0" borderId="0" xfId="5" applyAlignment="1">
      <alignment horizontal="left" vertical="center"/>
    </xf>
    <xf numFmtId="0" fontId="40" fillId="0" borderId="0" xfId="0" applyFont="1" applyAlignment="1">
      <alignment vertical="center"/>
    </xf>
    <xf numFmtId="0" fontId="7" fillId="0" borderId="2" xfId="0" applyFont="1" applyBorder="1" applyAlignment="1">
      <alignment vertical="center" wrapText="1"/>
    </xf>
    <xf numFmtId="0" fontId="2" fillId="0" borderId="2" xfId="3" applyFont="1" applyFill="1" applyBorder="1" applyAlignment="1">
      <alignment horizontal="center" vertical="center" wrapText="1"/>
    </xf>
    <xf numFmtId="0" fontId="65" fillId="0" borderId="2" xfId="0" applyFont="1" applyBorder="1" applyAlignment="1">
      <alignment horizontal="center" vertical="center" wrapText="1"/>
    </xf>
    <xf numFmtId="0" fontId="42" fillId="52" borderId="229" xfId="0" applyFont="1" applyFill="1" applyBorder="1" applyAlignment="1">
      <alignment horizontal="left" vertical="center"/>
    </xf>
    <xf numFmtId="3" fontId="31" fillId="0" borderId="2" xfId="0" applyNumberFormat="1" applyFont="1" applyBorder="1" applyAlignment="1">
      <alignment horizontal="center" vertical="center" wrapText="1"/>
    </xf>
    <xf numFmtId="169" fontId="31" fillId="0" borderId="2" xfId="0" applyNumberFormat="1" applyFont="1" applyBorder="1" applyAlignment="1">
      <alignment horizontal="center" vertical="center" wrapText="1"/>
    </xf>
    <xf numFmtId="43" fontId="44" fillId="0" borderId="2" xfId="6" applyFont="1" applyBorder="1" applyAlignment="1">
      <alignment horizontal="center" vertical="center"/>
    </xf>
    <xf numFmtId="2" fontId="44" fillId="0" borderId="2" xfId="0" applyNumberFormat="1" applyFont="1" applyBorder="1" applyAlignment="1">
      <alignment horizontal="center" vertical="center" wrapText="1"/>
    </xf>
    <xf numFmtId="43" fontId="7" fillId="0" borderId="37" xfId="0" applyNumberFormat="1" applyFont="1" applyBorder="1" applyAlignment="1">
      <alignment vertical="center"/>
    </xf>
    <xf numFmtId="0" fontId="7" fillId="0" borderId="230" xfId="0" applyFont="1" applyBorder="1" applyAlignment="1">
      <alignment vertical="center" wrapText="1"/>
    </xf>
    <xf numFmtId="0" fontId="29" fillId="17" borderId="91" xfId="0" applyFont="1" applyFill="1" applyBorder="1" applyAlignment="1">
      <alignment horizontal="center" vertical="center" wrapText="1"/>
    </xf>
    <xf numFmtId="0" fontId="33" fillId="0" borderId="232" xfId="0" applyFont="1" applyBorder="1"/>
    <xf numFmtId="0" fontId="33" fillId="0" borderId="232" xfId="0" applyFont="1" applyBorder="1" applyAlignment="1">
      <alignment horizontal="center"/>
    </xf>
    <xf numFmtId="3" fontId="2" fillId="0" borderId="232" xfId="0" applyNumberFormat="1" applyFont="1" applyBorder="1" applyAlignment="1">
      <alignment horizontal="right" vertical="center"/>
    </xf>
    <xf numFmtId="0" fontId="33" fillId="0" borderId="232" xfId="0" applyFont="1" applyBorder="1" applyAlignment="1">
      <alignment wrapText="1"/>
    </xf>
    <xf numFmtId="0" fontId="33" fillId="0" borderId="0" xfId="0" applyFont="1" applyAlignment="1">
      <alignment horizontal="left" wrapText="1"/>
    </xf>
    <xf numFmtId="0" fontId="31" fillId="0" borderId="2" xfId="0" applyFont="1" applyBorder="1" applyAlignment="1">
      <alignment vertical="center" wrapText="1"/>
    </xf>
    <xf numFmtId="0" fontId="33" fillId="0" borderId="239" xfId="0" applyFont="1" applyBorder="1" applyAlignment="1">
      <alignment horizontal="right" vertical="center"/>
    </xf>
    <xf numFmtId="0" fontId="44" fillId="64" borderId="232" xfId="56" applyFont="1" applyFill="1" applyBorder="1" applyAlignment="1">
      <alignment horizontal="center" vertical="center" wrapText="1"/>
    </xf>
    <xf numFmtId="0" fontId="44" fillId="64" borderId="12" xfId="56" applyFont="1" applyFill="1" applyBorder="1" applyAlignment="1">
      <alignment vertical="center" wrapText="1"/>
    </xf>
    <xf numFmtId="0" fontId="31" fillId="0" borderId="232" xfId="56" applyFont="1" applyBorder="1" applyAlignment="1">
      <alignment horizontal="center" vertical="center" wrapText="1"/>
    </xf>
    <xf numFmtId="165" fontId="31" fillId="65" borderId="232" xfId="56" applyNumberFormat="1" applyFont="1" applyFill="1" applyBorder="1" applyAlignment="1">
      <alignment horizontal="center" vertical="center" wrapText="1"/>
    </xf>
    <xf numFmtId="3" fontId="31" fillId="0" borderId="232" xfId="56" applyNumberFormat="1" applyFont="1" applyBorder="1" applyAlignment="1">
      <alignment horizontal="center" vertical="center" wrapText="1"/>
    </xf>
    <xf numFmtId="3" fontId="31" fillId="0" borderId="234" xfId="56" applyNumberFormat="1" applyFont="1" applyBorder="1" applyAlignment="1">
      <alignment horizontal="center" vertical="center" wrapText="1"/>
    </xf>
    <xf numFmtId="0" fontId="85" fillId="5" borderId="112" xfId="56" applyFont="1" applyFill="1" applyBorder="1" applyAlignment="1">
      <alignment vertical="center" wrapText="1"/>
    </xf>
    <xf numFmtId="0" fontId="63" fillId="8" borderId="236" xfId="56" applyFont="1" applyFill="1" applyBorder="1" applyAlignment="1">
      <alignment horizontal="left" vertical="center"/>
    </xf>
    <xf numFmtId="0" fontId="31" fillId="67" borderId="16" xfId="56" applyFont="1" applyFill="1" applyBorder="1" applyAlignment="1">
      <alignment horizontal="left" vertical="center"/>
    </xf>
    <xf numFmtId="0" fontId="31" fillId="67" borderId="0" xfId="56" applyFont="1" applyFill="1" applyAlignment="1">
      <alignment horizontal="left" vertical="center"/>
    </xf>
    <xf numFmtId="0" fontId="63" fillId="8" borderId="0" xfId="56" applyFont="1" applyFill="1" applyAlignment="1">
      <alignment horizontal="left" vertical="center"/>
    </xf>
    <xf numFmtId="0" fontId="86" fillId="0" borderId="0" xfId="5" applyFont="1" applyAlignment="1">
      <alignment horizontal="left" vertical="top"/>
    </xf>
    <xf numFmtId="0" fontId="56" fillId="0" borderId="0" xfId="0" applyFont="1"/>
    <xf numFmtId="0" fontId="85" fillId="66" borderId="3" xfId="56" applyFont="1" applyFill="1" applyBorder="1" applyAlignment="1">
      <alignment vertical="center" wrapText="1"/>
    </xf>
    <xf numFmtId="0" fontId="85" fillId="66" borderId="10" xfId="56" applyFont="1" applyFill="1" applyBorder="1" applyAlignment="1">
      <alignment vertical="center" wrapText="1"/>
    </xf>
    <xf numFmtId="0" fontId="44" fillId="66" borderId="10" xfId="56" applyFont="1" applyFill="1" applyBorder="1" applyAlignment="1">
      <alignment vertical="center" wrapText="1"/>
    </xf>
    <xf numFmtId="0" fontId="85" fillId="66" borderId="10" xfId="56" applyFont="1" applyFill="1" applyBorder="1" applyAlignment="1">
      <alignment horizontal="left" vertical="center" wrapText="1"/>
    </xf>
    <xf numFmtId="0" fontId="85" fillId="66" borderId="246" xfId="56" applyFont="1" applyFill="1" applyBorder="1" applyAlignment="1">
      <alignment vertical="center" wrapText="1"/>
    </xf>
    <xf numFmtId="3" fontId="31" fillId="67" borderId="0" xfId="6" applyNumberFormat="1" applyFont="1" applyFill="1" applyAlignment="1">
      <alignment horizontal="left" vertical="center"/>
    </xf>
    <xf numFmtId="0" fontId="31" fillId="67" borderId="244" xfId="56" applyFont="1" applyFill="1" applyBorder="1" applyAlignment="1">
      <alignment horizontal="left" vertical="center"/>
    </xf>
    <xf numFmtId="0" fontId="31" fillId="0" borderId="0" xfId="56" applyFont="1"/>
    <xf numFmtId="2" fontId="31" fillId="0" borderId="233" xfId="56" applyNumberFormat="1" applyFont="1" applyBorder="1" applyAlignment="1">
      <alignment horizontal="center" vertical="center" wrapText="1"/>
    </xf>
    <xf numFmtId="0" fontId="0" fillId="0" borderId="3" xfId="0" applyBorder="1" applyAlignment="1">
      <alignment horizontal="center" vertical="center"/>
    </xf>
    <xf numFmtId="3" fontId="0" fillId="0" borderId="0" xfId="0" applyNumberFormat="1" applyAlignment="1">
      <alignment horizontal="center" vertical="center"/>
    </xf>
    <xf numFmtId="0" fontId="0" fillId="0" borderId="247" xfId="0" applyBorder="1" applyAlignment="1">
      <alignment horizontal="center" vertical="center"/>
    </xf>
    <xf numFmtId="0" fontId="63" fillId="0" borderId="0" xfId="0" applyFont="1" applyAlignment="1">
      <alignment wrapText="1"/>
    </xf>
    <xf numFmtId="3" fontId="56" fillId="0" borderId="0" xfId="0" applyNumberFormat="1" applyFont="1"/>
    <xf numFmtId="167" fontId="56" fillId="0" borderId="0" xfId="0" applyNumberFormat="1" applyFont="1"/>
    <xf numFmtId="0" fontId="44" fillId="5" borderId="248" xfId="56" applyFont="1" applyFill="1" applyBorder="1" applyAlignment="1">
      <alignment vertical="center" wrapText="1"/>
    </xf>
    <xf numFmtId="0" fontId="31" fillId="0" borderId="232" xfId="0" applyFont="1" applyBorder="1" applyAlignment="1">
      <alignment wrapText="1"/>
    </xf>
    <xf numFmtId="1" fontId="31" fillId="0" borderId="0" xfId="0" applyNumberFormat="1" applyFont="1"/>
    <xf numFmtId="0" fontId="31" fillId="0" borderId="0" xfId="0" applyFont="1" applyAlignment="1">
      <alignment horizontal="left" wrapText="1"/>
    </xf>
    <xf numFmtId="165" fontId="33" fillId="0" borderId="0" xfId="0" applyNumberFormat="1" applyFont="1"/>
    <xf numFmtId="2" fontId="31" fillId="0" borderId="232" xfId="0" applyNumberFormat="1" applyFont="1" applyBorder="1" applyAlignment="1">
      <alignment horizontal="right"/>
    </xf>
    <xf numFmtId="1" fontId="2" fillId="0" borderId="232" xfId="0" applyNumberFormat="1" applyFont="1" applyBorder="1" applyAlignment="1">
      <alignment horizontal="right"/>
    </xf>
    <xf numFmtId="0" fontId="31" fillId="0" borderId="2" xfId="0" applyFont="1" applyBorder="1" applyAlignment="1">
      <alignment horizontal="center" vertical="center" wrapText="1"/>
    </xf>
    <xf numFmtId="0" fontId="7" fillId="0" borderId="2" xfId="0" applyFont="1" applyBorder="1" applyAlignment="1">
      <alignment horizontal="center" vertical="center" wrapText="1"/>
    </xf>
    <xf numFmtId="0" fontId="9" fillId="17" borderId="67" xfId="0" applyFont="1" applyFill="1" applyBorder="1" applyAlignment="1">
      <alignment horizontal="center" vertical="center" wrapText="1"/>
    </xf>
    <xf numFmtId="0" fontId="9" fillId="7" borderId="67" xfId="0" applyFont="1" applyFill="1" applyBorder="1" applyAlignment="1">
      <alignment horizontal="center" vertical="center"/>
    </xf>
    <xf numFmtId="0" fontId="9" fillId="17" borderId="67" xfId="0" applyFont="1" applyFill="1" applyBorder="1" applyAlignment="1">
      <alignment horizontal="center" vertical="center"/>
    </xf>
    <xf numFmtId="0" fontId="7" fillId="4" borderId="0" xfId="0" applyFont="1" applyFill="1" applyAlignment="1">
      <alignment horizontal="left" vertical="center"/>
    </xf>
    <xf numFmtId="0" fontId="33" fillId="4" borderId="0" xfId="0" applyFont="1" applyFill="1" applyAlignment="1">
      <alignment horizontal="center" vertical="center" wrapText="1"/>
    </xf>
    <xf numFmtId="0" fontId="20" fillId="0" borderId="0" xfId="5" applyFont="1" applyFill="1" applyBorder="1"/>
    <xf numFmtId="9" fontId="7" fillId="0" borderId="0" xfId="0" applyNumberFormat="1" applyFont="1"/>
    <xf numFmtId="0" fontId="33" fillId="0" borderId="0" xfId="0" applyFont="1" applyAlignment="1">
      <alignment horizontal="left" vertical="top" wrapText="1"/>
    </xf>
    <xf numFmtId="0" fontId="7" fillId="4" borderId="13" xfId="0" applyFont="1" applyFill="1" applyBorder="1" applyAlignment="1">
      <alignment vertical="center" wrapText="1"/>
    </xf>
    <xf numFmtId="0" fontId="7" fillId="4" borderId="14" xfId="0" applyFont="1" applyFill="1" applyBorder="1" applyAlignment="1">
      <alignment vertical="center" wrapText="1"/>
    </xf>
    <xf numFmtId="0" fontId="7" fillId="4" borderId="16" xfId="0" applyFont="1" applyFill="1" applyBorder="1" applyAlignment="1">
      <alignment vertical="center" wrapText="1"/>
    </xf>
    <xf numFmtId="0" fontId="7" fillId="4" borderId="17" xfId="0" applyFont="1" applyFill="1" applyBorder="1" applyAlignment="1">
      <alignment vertical="center" wrapText="1"/>
    </xf>
    <xf numFmtId="0" fontId="7" fillId="4" borderId="19" xfId="0" applyFont="1" applyFill="1" applyBorder="1" applyAlignment="1">
      <alignment vertical="center" wrapText="1"/>
    </xf>
    <xf numFmtId="0" fontId="7" fillId="4" borderId="21" xfId="0" applyFont="1" applyFill="1" applyBorder="1" applyAlignment="1">
      <alignment vertical="center" wrapText="1"/>
    </xf>
    <xf numFmtId="0" fontId="44" fillId="7" borderId="67" xfId="0" applyFont="1" applyFill="1" applyBorder="1" applyAlignment="1">
      <alignment horizontal="center" vertical="center" wrapText="1"/>
    </xf>
    <xf numFmtId="0" fontId="7" fillId="0" borderId="11" xfId="0" applyFont="1" applyBorder="1" applyAlignment="1">
      <alignment horizontal="center" vertical="center" wrapText="1"/>
    </xf>
    <xf numFmtId="0" fontId="2" fillId="0" borderId="11" xfId="3" applyFont="1" applyFill="1" applyBorder="1" applyAlignment="1">
      <alignment horizontal="center" vertical="center" wrapText="1"/>
    </xf>
    <xf numFmtId="0" fontId="31" fillId="0" borderId="109" xfId="0" applyFont="1" applyBorder="1" applyAlignment="1">
      <alignment horizontal="center" vertical="center"/>
    </xf>
    <xf numFmtId="0" fontId="7" fillId="67" borderId="244" xfId="56" applyFont="1" applyFill="1" applyBorder="1" applyAlignment="1">
      <alignment horizontal="left" vertical="center"/>
    </xf>
    <xf numFmtId="0" fontId="31" fillId="8" borderId="0" xfId="56" applyFont="1" applyFill="1" applyAlignment="1">
      <alignment horizontal="left" vertical="center"/>
    </xf>
    <xf numFmtId="0" fontId="31" fillId="8" borderId="17" xfId="56" applyFont="1" applyFill="1" applyBorder="1" applyAlignment="1">
      <alignment horizontal="left" vertical="center"/>
    </xf>
    <xf numFmtId="0" fontId="31" fillId="67" borderId="242" xfId="56" applyFont="1" applyFill="1" applyBorder="1" applyAlignment="1">
      <alignment horizontal="left" vertical="center"/>
    </xf>
    <xf numFmtId="0" fontId="31" fillId="67" borderId="243" xfId="56" applyFont="1" applyFill="1" applyBorder="1" applyAlignment="1">
      <alignment horizontal="left" vertical="center"/>
    </xf>
    <xf numFmtId="0" fontId="7" fillId="67" borderId="245" xfId="56" applyFont="1" applyFill="1" applyBorder="1" applyAlignment="1">
      <alignment horizontal="left" vertical="center"/>
    </xf>
    <xf numFmtId="0" fontId="7" fillId="0" borderId="0" xfId="56" applyFont="1" applyAlignment="1">
      <alignment horizontal="left" vertical="center"/>
    </xf>
    <xf numFmtId="0" fontId="80" fillId="0" borderId="0" xfId="56" applyAlignment="1">
      <alignment horizontal="left" vertical="center"/>
    </xf>
    <xf numFmtId="0" fontId="63" fillId="8" borderId="20" xfId="56" applyFont="1" applyFill="1" applyBorder="1" applyAlignment="1">
      <alignment horizontal="left" vertical="center"/>
    </xf>
    <xf numFmtId="0" fontId="31" fillId="8" borderId="21" xfId="56" applyFont="1" applyFill="1" applyBorder="1" applyAlignment="1">
      <alignment horizontal="left" vertical="center"/>
    </xf>
    <xf numFmtId="0" fontId="9" fillId="7" borderId="25" xfId="0" applyFont="1" applyFill="1" applyBorder="1" applyAlignment="1">
      <alignment horizontal="center" vertical="center" wrapText="1"/>
    </xf>
    <xf numFmtId="0" fontId="7" fillId="8" borderId="36" xfId="0" applyFont="1" applyFill="1" applyBorder="1" applyAlignment="1">
      <alignment horizontal="center" vertical="center"/>
    </xf>
    <xf numFmtId="0" fontId="2" fillId="8" borderId="36" xfId="0" applyFont="1" applyFill="1" applyBorder="1" applyAlignment="1">
      <alignment horizontal="center" vertical="center" wrapText="1"/>
    </xf>
    <xf numFmtId="168" fontId="2" fillId="8" borderId="36" xfId="0" applyNumberFormat="1" applyFont="1" applyFill="1" applyBorder="1" applyAlignment="1">
      <alignment horizontal="center" vertical="center"/>
    </xf>
    <xf numFmtId="0" fontId="7" fillId="5" borderId="36" xfId="0" applyFont="1" applyFill="1" applyBorder="1" applyAlignment="1">
      <alignment horizontal="center" vertical="center"/>
    </xf>
    <xf numFmtId="0" fontId="2" fillId="5" borderId="36" xfId="0" applyFont="1" applyFill="1" applyBorder="1" applyAlignment="1">
      <alignment horizontal="center" vertical="center"/>
    </xf>
    <xf numFmtId="0" fontId="7" fillId="3" borderId="36" xfId="0" applyFont="1" applyFill="1" applyBorder="1" applyAlignment="1">
      <alignment horizontal="center" vertical="center"/>
    </xf>
    <xf numFmtId="0" fontId="2" fillId="3" borderId="36" xfId="0" applyFont="1" applyFill="1" applyBorder="1" applyAlignment="1">
      <alignment horizontal="center" vertical="center"/>
    </xf>
    <xf numFmtId="0" fontId="31" fillId="19" borderId="36" xfId="0" applyFont="1" applyFill="1" applyBorder="1" applyAlignment="1">
      <alignment horizontal="center" vertical="center"/>
    </xf>
    <xf numFmtId="0" fontId="7" fillId="69" borderId="36" xfId="0" applyFont="1" applyFill="1" applyBorder="1" applyAlignment="1">
      <alignment horizontal="center" vertical="center"/>
    </xf>
    <xf numFmtId="0" fontId="2" fillId="69" borderId="36" xfId="0" applyFont="1" applyFill="1" applyBorder="1" applyAlignment="1">
      <alignment horizontal="center" vertical="center"/>
    </xf>
    <xf numFmtId="0" fontId="2" fillId="8" borderId="36" xfId="0" applyFont="1" applyFill="1" applyBorder="1" applyAlignment="1">
      <alignment horizontal="center" vertical="center"/>
    </xf>
    <xf numFmtId="0" fontId="2" fillId="5" borderId="36" xfId="0" applyFont="1" applyFill="1" applyBorder="1" applyAlignment="1">
      <alignment horizontal="center" vertical="center" wrapText="1"/>
    </xf>
    <xf numFmtId="0" fontId="7" fillId="5" borderId="36" xfId="0" applyFont="1" applyFill="1" applyBorder="1" applyAlignment="1">
      <alignment horizontal="center" vertical="center" wrapText="1"/>
    </xf>
    <xf numFmtId="0" fontId="31" fillId="70" borderId="36" xfId="0" applyFont="1" applyFill="1" applyBorder="1" applyAlignment="1">
      <alignment horizontal="center" vertical="center"/>
    </xf>
    <xf numFmtId="168" fontId="31" fillId="70" borderId="36" xfId="0" applyNumberFormat="1" applyFont="1" applyFill="1" applyBorder="1" applyAlignment="1">
      <alignment horizontal="center" vertical="center"/>
    </xf>
    <xf numFmtId="0" fontId="2" fillId="71" borderId="36" xfId="0" applyFont="1" applyFill="1" applyBorder="1" applyAlignment="1">
      <alignment horizontal="center" vertical="center"/>
    </xf>
    <xf numFmtId="0" fontId="7" fillId="71" borderId="36" xfId="0" applyFont="1" applyFill="1" applyBorder="1" applyAlignment="1">
      <alignment horizontal="center" vertical="center"/>
    </xf>
    <xf numFmtId="0" fontId="7" fillId="0" borderId="61" xfId="0" applyFont="1" applyBorder="1" applyAlignment="1">
      <alignment horizontal="center" vertical="center"/>
    </xf>
    <xf numFmtId="2" fontId="2" fillId="0" borderId="36" xfId="0" applyNumberFormat="1" applyFont="1" applyBorder="1" applyAlignment="1">
      <alignment horizontal="center" vertical="center"/>
    </xf>
    <xf numFmtId="2" fontId="2" fillId="8" borderId="36" xfId="0" applyNumberFormat="1" applyFont="1" applyFill="1" applyBorder="1" applyAlignment="1">
      <alignment horizontal="center" vertical="center"/>
    </xf>
    <xf numFmtId="2" fontId="2" fillId="5" borderId="36" xfId="0" applyNumberFormat="1" applyFont="1" applyFill="1" applyBorder="1" applyAlignment="1">
      <alignment horizontal="center" vertical="center"/>
    </xf>
    <xf numFmtId="2" fontId="2" fillId="3" borderId="36" xfId="0" applyNumberFormat="1" applyFont="1" applyFill="1" applyBorder="1" applyAlignment="1">
      <alignment horizontal="center" vertical="center"/>
    </xf>
    <xf numFmtId="2" fontId="87" fillId="72" borderId="253" xfId="0" applyNumberFormat="1" applyFont="1" applyFill="1" applyBorder="1"/>
    <xf numFmtId="2" fontId="2" fillId="71" borderId="36" xfId="0" applyNumberFormat="1" applyFont="1" applyFill="1" applyBorder="1" applyAlignment="1">
      <alignment horizontal="center" vertical="center"/>
    </xf>
    <xf numFmtId="168" fontId="87" fillId="72" borderId="253" xfId="0" applyNumberFormat="1" applyFont="1" applyFill="1" applyBorder="1"/>
    <xf numFmtId="2" fontId="31" fillId="70" borderId="36" xfId="0" applyNumberFormat="1" applyFont="1" applyFill="1" applyBorder="1" applyAlignment="1">
      <alignment horizontal="center" vertical="center"/>
    </xf>
    <xf numFmtId="0" fontId="44" fillId="17" borderId="232" xfId="0" applyFont="1" applyFill="1" applyBorder="1" applyAlignment="1">
      <alignment horizontal="center" vertical="center" wrapText="1"/>
    </xf>
    <xf numFmtId="0" fontId="7" fillId="0" borderId="109" xfId="0" applyFont="1" applyBorder="1" applyAlignment="1">
      <alignment horizontal="center" vertical="center" wrapText="1"/>
    </xf>
    <xf numFmtId="0" fontId="31" fillId="0" borderId="22" xfId="0" applyFont="1" applyBorder="1" applyAlignment="1">
      <alignment horizontal="center" vertical="center" wrapText="1"/>
    </xf>
    <xf numFmtId="0" fontId="2" fillId="0" borderId="0" xfId="0" applyFont="1" applyAlignment="1">
      <alignment horizontal="center" vertical="center" wrapText="1"/>
    </xf>
    <xf numFmtId="0" fontId="88" fillId="0" borderId="0" xfId="0" applyFont="1"/>
    <xf numFmtId="0" fontId="43" fillId="0" borderId="0" xfId="0" applyFont="1"/>
    <xf numFmtId="168" fontId="31" fillId="0" borderId="36" xfId="0" applyNumberFormat="1" applyFont="1" applyBorder="1" applyAlignment="1">
      <alignment horizontal="center" vertical="center"/>
    </xf>
    <xf numFmtId="168" fontId="31" fillId="0" borderId="67" xfId="0" applyNumberFormat="1" applyFont="1" applyBorder="1" applyAlignment="1">
      <alignment horizontal="center" vertical="center"/>
    </xf>
    <xf numFmtId="168" fontId="89" fillId="0" borderId="2" xfId="0" applyNumberFormat="1" applyFont="1" applyBorder="1" applyAlignment="1">
      <alignment vertical="center"/>
    </xf>
    <xf numFmtId="0" fontId="34" fillId="0" borderId="0" xfId="0" applyFont="1" applyAlignment="1">
      <alignment vertical="center"/>
    </xf>
    <xf numFmtId="0" fontId="7" fillId="0" borderId="0" xfId="4" applyAlignment="1">
      <alignment vertical="center"/>
    </xf>
    <xf numFmtId="9" fontId="2" fillId="0" borderId="0" xfId="2" applyFont="1" applyFill="1" applyBorder="1" applyAlignment="1">
      <alignment vertical="center"/>
    </xf>
    <xf numFmtId="9" fontId="2" fillId="0" borderId="0" xfId="0" applyNumberFormat="1" applyFont="1"/>
    <xf numFmtId="0" fontId="31" fillId="0" borderId="260" xfId="0" applyFont="1" applyBorder="1" applyAlignment="1">
      <alignment horizontal="center" vertical="center" wrapText="1"/>
    </xf>
    <xf numFmtId="0" fontId="31" fillId="0" borderId="252" xfId="0" applyFont="1" applyBorder="1" applyAlignment="1">
      <alignment horizontal="center" vertical="center" wrapText="1"/>
    </xf>
    <xf numFmtId="0" fontId="7" fillId="0" borderId="0" xfId="0" applyFont="1" applyAlignment="1">
      <alignment horizontal="center"/>
    </xf>
    <xf numFmtId="0" fontId="7" fillId="0" borderId="36" xfId="0" applyFont="1" applyBorder="1" applyAlignment="1">
      <alignment horizontal="center" vertical="center"/>
    </xf>
    <xf numFmtId="0" fontId="2" fillId="0" borderId="36" xfId="0" applyFont="1" applyBorder="1" applyAlignment="1">
      <alignment horizontal="center" vertical="center"/>
    </xf>
    <xf numFmtId="0" fontId="31" fillId="0" borderId="36" xfId="0" applyFont="1" applyBorder="1" applyAlignment="1">
      <alignment horizontal="center" vertical="center" wrapText="1"/>
    </xf>
    <xf numFmtId="0" fontId="7" fillId="0" borderId="2" xfId="0" applyFont="1" applyBorder="1" applyAlignment="1">
      <alignment horizontal="center" vertical="center"/>
    </xf>
    <xf numFmtId="0" fontId="7" fillId="0" borderId="0" xfId="0" applyFont="1" applyAlignment="1">
      <alignment horizontal="left" vertical="center"/>
    </xf>
    <xf numFmtId="0" fontId="7" fillId="0" borderId="0" xfId="0" applyFont="1" applyAlignment="1">
      <alignment vertical="center" wrapText="1"/>
    </xf>
    <xf numFmtId="0" fontId="33" fillId="51" borderId="18" xfId="0" applyFont="1" applyFill="1" applyBorder="1" applyAlignment="1">
      <alignment vertical="center"/>
    </xf>
    <xf numFmtId="0" fontId="33" fillId="55" borderId="18" xfId="0" applyFont="1" applyFill="1" applyBorder="1" applyAlignment="1">
      <alignment vertical="center"/>
    </xf>
    <xf numFmtId="0" fontId="7" fillId="0" borderId="12" xfId="0" applyFont="1" applyBorder="1" applyAlignment="1">
      <alignment horizontal="center" vertical="center" wrapText="1"/>
    </xf>
    <xf numFmtId="0" fontId="2" fillId="0" borderId="18" xfId="0" applyFont="1" applyBorder="1" applyAlignment="1">
      <alignment horizontal="center" vertical="center" wrapText="1"/>
    </xf>
    <xf numFmtId="0" fontId="7" fillId="0" borderId="12" xfId="0" applyFont="1" applyBorder="1" applyAlignment="1">
      <alignment horizontal="center" vertical="center"/>
    </xf>
    <xf numFmtId="0" fontId="31" fillId="0" borderId="109" xfId="0" applyFont="1" applyBorder="1" applyAlignment="1">
      <alignment horizontal="center" vertical="center" wrapText="1"/>
    </xf>
    <xf numFmtId="0" fontId="2" fillId="0" borderId="109" xfId="0" applyFont="1" applyBorder="1" applyAlignment="1">
      <alignment horizontal="center" vertical="center" wrapText="1"/>
    </xf>
    <xf numFmtId="0" fontId="7" fillId="0" borderId="109" xfId="0" applyFont="1" applyBorder="1" applyAlignment="1">
      <alignment horizontal="center" vertical="center"/>
    </xf>
    <xf numFmtId="0" fontId="7" fillId="0" borderId="0" xfId="0" applyFont="1" applyAlignment="1">
      <alignment horizontal="left" vertical="top" wrapText="1"/>
    </xf>
    <xf numFmtId="0" fontId="33" fillId="0" borderId="2" xfId="0" applyFont="1" applyBorder="1" applyAlignment="1">
      <alignment horizontal="center" vertical="center" wrapText="1"/>
    </xf>
    <xf numFmtId="0" fontId="2" fillId="0" borderId="239" xfId="0" applyFont="1" applyBorder="1" applyAlignment="1">
      <alignment horizontal="left" vertical="center"/>
    </xf>
    <xf numFmtId="0" fontId="2" fillId="0" borderId="240" xfId="0" applyFont="1" applyBorder="1" applyAlignment="1">
      <alignment horizontal="left" vertical="center"/>
    </xf>
    <xf numFmtId="0" fontId="2" fillId="0" borderId="241" xfId="0" applyFont="1" applyBorder="1" applyAlignment="1">
      <alignment horizontal="left" vertical="center"/>
    </xf>
    <xf numFmtId="0" fontId="33" fillId="0" borderId="238" xfId="0" applyFont="1" applyBorder="1" applyAlignment="1">
      <alignment horizontal="center" vertical="center" wrapText="1"/>
    </xf>
    <xf numFmtId="0" fontId="9" fillId="7" borderId="42" xfId="0" applyFont="1" applyFill="1" applyBorder="1" applyAlignment="1">
      <alignment horizontal="center" vertical="center" wrapText="1"/>
    </xf>
    <xf numFmtId="0" fontId="69" fillId="0" borderId="42" xfId="0" applyFont="1" applyBorder="1" applyAlignment="1">
      <alignment horizontal="center" vertical="center" wrapText="1"/>
    </xf>
    <xf numFmtId="0" fontId="2" fillId="0" borderId="42" xfId="0" applyFont="1" applyBorder="1" applyAlignment="1">
      <alignment horizontal="center" vertical="center" wrapText="1"/>
    </xf>
    <xf numFmtId="0" fontId="7" fillId="0" borderId="42" xfId="0" applyFont="1" applyBorder="1" applyAlignment="1">
      <alignment horizontal="center" vertical="center" wrapText="1"/>
    </xf>
    <xf numFmtId="0" fontId="9" fillId="7" borderId="0" xfId="0" applyFont="1" applyFill="1" applyAlignment="1">
      <alignment horizontal="center" vertical="center"/>
    </xf>
    <xf numFmtId="0" fontId="32" fillId="0" borderId="27" xfId="0" applyFont="1" applyBorder="1" applyAlignment="1">
      <alignment horizontal="center" vertical="center" wrapText="1"/>
    </xf>
    <xf numFmtId="0" fontId="32" fillId="0" borderId="8" xfId="0" applyFont="1" applyBorder="1" applyAlignment="1">
      <alignment horizontal="center" vertical="center" wrapText="1"/>
    </xf>
    <xf numFmtId="0" fontId="32" fillId="0" borderId="49" xfId="0" applyFont="1" applyBorder="1" applyAlignment="1">
      <alignment horizontal="center" vertical="center" wrapText="1"/>
    </xf>
    <xf numFmtId="0" fontId="9" fillId="7" borderId="12" xfId="0" applyFont="1" applyFill="1" applyBorder="1" applyAlignment="1">
      <alignment horizontal="center" vertical="center"/>
    </xf>
    <xf numFmtId="0" fontId="29" fillId="7" borderId="2" xfId="0" applyFont="1" applyFill="1" applyBorder="1" applyAlignment="1">
      <alignment horizontal="center" vertical="center" wrapText="1"/>
    </xf>
    <xf numFmtId="9" fontId="7" fillId="0" borderId="36" xfId="2" applyFont="1" applyFill="1" applyBorder="1" applyAlignment="1">
      <alignment horizontal="center" vertical="center"/>
    </xf>
    <xf numFmtId="0" fontId="34" fillId="7" borderId="36" xfId="0" applyFont="1" applyFill="1" applyBorder="1" applyAlignment="1">
      <alignment horizontal="center" vertical="center"/>
    </xf>
    <xf numFmtId="3" fontId="88" fillId="0" borderId="109" xfId="1" applyNumberFormat="1" applyFont="1" applyBorder="1" applyAlignment="1">
      <alignment horizontal="center" vertical="center" wrapText="1"/>
    </xf>
    <xf numFmtId="0" fontId="43" fillId="0" borderId="0" xfId="0" applyFont="1"/>
    <xf numFmtId="0" fontId="33" fillId="17" borderId="15" xfId="0" applyFont="1" applyFill="1" applyBorder="1" applyAlignment="1">
      <alignment vertical="center" wrapText="1"/>
    </xf>
    <xf numFmtId="0" fontId="33" fillId="17" borderId="18" xfId="0" applyFont="1" applyFill="1" applyBorder="1" applyAlignment="1">
      <alignment vertical="center" wrapText="1"/>
    </xf>
    <xf numFmtId="0" fontId="68" fillId="52" borderId="10" xfId="0" applyFont="1" applyFill="1" applyBorder="1" applyAlignment="1">
      <alignment horizontal="center" vertical="center" wrapText="1"/>
    </xf>
    <xf numFmtId="0" fontId="7" fillId="56" borderId="12" xfId="0" applyFont="1" applyFill="1" applyBorder="1" applyAlignment="1">
      <alignment horizontal="left" vertical="center"/>
    </xf>
    <xf numFmtId="0" fontId="7" fillId="56" borderId="15" xfId="0" applyFont="1" applyFill="1" applyBorder="1" applyAlignment="1">
      <alignment horizontal="left" vertical="center"/>
    </xf>
    <xf numFmtId="0" fontId="7" fillId="56" borderId="18" xfId="0" applyFont="1" applyFill="1" applyBorder="1" applyAlignment="1">
      <alignment horizontal="left" vertical="center"/>
    </xf>
    <xf numFmtId="0" fontId="46" fillId="12" borderId="3" xfId="1" applyFont="1" applyFill="1" applyBorder="1" applyAlignment="1">
      <alignment horizontal="center" vertical="center" wrapText="1"/>
    </xf>
    <xf numFmtId="0" fontId="46" fillId="12" borderId="10" xfId="1" applyFont="1" applyFill="1" applyBorder="1" applyAlignment="1">
      <alignment horizontal="center" vertical="center" wrapText="1"/>
    </xf>
    <xf numFmtId="0" fontId="78" fillId="12" borderId="77" xfId="0" applyFont="1" applyFill="1" applyBorder="1" applyAlignment="1">
      <alignment horizontal="center" vertical="center" wrapText="1"/>
    </xf>
    <xf numFmtId="0" fontId="78" fillId="12" borderId="78" xfId="0" applyFont="1" applyFill="1" applyBorder="1" applyAlignment="1">
      <alignment horizontal="center" vertical="center" wrapText="1"/>
    </xf>
    <xf numFmtId="0" fontId="78" fillId="12" borderId="79" xfId="0" applyFont="1" applyFill="1" applyBorder="1" applyAlignment="1">
      <alignment horizontal="center" vertical="center" wrapText="1"/>
    </xf>
    <xf numFmtId="0" fontId="33" fillId="54" borderId="15" xfId="0" applyFont="1" applyFill="1" applyBorder="1" applyAlignment="1">
      <alignment vertical="center"/>
    </xf>
    <xf numFmtId="0" fontId="33" fillId="54" borderId="18" xfId="0" applyFont="1" applyFill="1" applyBorder="1" applyAlignment="1">
      <alignment vertical="center"/>
    </xf>
    <xf numFmtId="0" fontId="33" fillId="51" borderId="15" xfId="0" applyFont="1" applyFill="1" applyBorder="1" applyAlignment="1">
      <alignment vertical="center"/>
    </xf>
    <xf numFmtId="0" fontId="33" fillId="51" borderId="18" xfId="0" applyFont="1" applyFill="1" applyBorder="1" applyAlignment="1">
      <alignment vertical="center"/>
    </xf>
    <xf numFmtId="0" fontId="33" fillId="55" borderId="15" xfId="0" applyFont="1" applyFill="1" applyBorder="1" applyAlignment="1">
      <alignment vertical="center"/>
    </xf>
    <xf numFmtId="0" fontId="33" fillId="55" borderId="18" xfId="0" applyFont="1" applyFill="1" applyBorder="1" applyAlignment="1">
      <alignment vertical="center"/>
    </xf>
    <xf numFmtId="0" fontId="33" fillId="17" borderId="15" xfId="0" applyFont="1" applyFill="1" applyBorder="1" applyAlignment="1">
      <alignment vertical="center"/>
    </xf>
    <xf numFmtId="0" fontId="33" fillId="17" borderId="18" xfId="0" applyFont="1" applyFill="1" applyBorder="1" applyAlignment="1">
      <alignment vertical="center"/>
    </xf>
    <xf numFmtId="0" fontId="68" fillId="0" borderId="115" xfId="0" applyFont="1" applyBorder="1" applyAlignment="1">
      <alignment horizontal="center" vertical="center"/>
    </xf>
    <xf numFmtId="0" fontId="68" fillId="0" borderId="88" xfId="0" applyFont="1" applyBorder="1" applyAlignment="1">
      <alignment horizontal="center" vertical="center"/>
    </xf>
    <xf numFmtId="0" fontId="7" fillId="0" borderId="2" xfId="0" applyFont="1" applyBorder="1" applyAlignment="1">
      <alignment horizontal="center" vertical="center"/>
    </xf>
    <xf numFmtId="0" fontId="7" fillId="0" borderId="0" xfId="0" applyFont="1" applyAlignment="1">
      <alignment horizontal="left" vertical="center"/>
    </xf>
    <xf numFmtId="0" fontId="46" fillId="12" borderId="0" xfId="0" applyFont="1" applyFill="1" applyAlignment="1">
      <alignment horizontal="center" vertical="center"/>
    </xf>
    <xf numFmtId="0" fontId="7" fillId="0" borderId="0" xfId="0" applyFont="1" applyAlignment="1">
      <alignment vertical="center" wrapText="1"/>
    </xf>
    <xf numFmtId="0" fontId="7" fillId="0" borderId="0" xfId="0" applyFont="1" applyAlignment="1">
      <alignment horizontal="left" vertical="center" wrapText="1"/>
    </xf>
    <xf numFmtId="0" fontId="31" fillId="0" borderId="36" xfId="0" applyFont="1" applyBorder="1" applyAlignment="1">
      <alignment horizontal="center" vertical="center"/>
    </xf>
    <xf numFmtId="0" fontId="31" fillId="0" borderId="257" xfId="0" applyFont="1" applyBorder="1" applyAlignment="1">
      <alignment horizontal="center" vertical="center"/>
    </xf>
    <xf numFmtId="0" fontId="31" fillId="0" borderId="67" xfId="0" applyFont="1" applyBorder="1" applyAlignment="1">
      <alignment horizontal="center" vertical="center"/>
    </xf>
    <xf numFmtId="0" fontId="31" fillId="0" borderId="94" xfId="0" applyFont="1" applyBorder="1" applyAlignment="1">
      <alignment horizontal="center" vertical="center"/>
    </xf>
    <xf numFmtId="0" fontId="31" fillId="0" borderId="258" xfId="0" applyFont="1" applyBorder="1" applyAlignment="1">
      <alignment horizontal="center" vertical="center"/>
    </xf>
    <xf numFmtId="0" fontId="31" fillId="0" borderId="255" xfId="0" applyFont="1" applyBorder="1" applyAlignment="1">
      <alignment horizontal="center" vertical="center"/>
    </xf>
    <xf numFmtId="0" fontId="31" fillId="0" borderId="86" xfId="0" applyFont="1" applyBorder="1" applyAlignment="1">
      <alignment horizontal="center" vertical="center"/>
    </xf>
    <xf numFmtId="0" fontId="31" fillId="0" borderId="259" xfId="0" applyFont="1" applyBorder="1" applyAlignment="1">
      <alignment horizontal="center" vertical="center"/>
    </xf>
    <xf numFmtId="0" fontId="7" fillId="0" borderId="0" xfId="0" applyFont="1" applyAlignment="1">
      <alignment horizontal="center"/>
    </xf>
    <xf numFmtId="0" fontId="46" fillId="12" borderId="0" xfId="0" applyFont="1" applyFill="1" applyAlignment="1">
      <alignment horizontal="center" vertical="center" wrapText="1"/>
    </xf>
    <xf numFmtId="0" fontId="2" fillId="0" borderId="36" xfId="0" applyFont="1" applyBorder="1" applyAlignment="1">
      <alignment horizontal="center" vertical="center" wrapText="1"/>
    </xf>
    <xf numFmtId="0" fontId="7" fillId="0" borderId="36" xfId="0" applyFont="1" applyBorder="1" applyAlignment="1">
      <alignment horizontal="center" vertical="center"/>
    </xf>
    <xf numFmtId="0" fontId="7" fillId="0" borderId="36" xfId="0" applyFont="1" applyBorder="1" applyAlignment="1">
      <alignment horizontal="center" vertical="center" wrapText="1"/>
    </xf>
    <xf numFmtId="0" fontId="2" fillId="0" borderId="36" xfId="0" applyFont="1" applyBorder="1" applyAlignment="1">
      <alignment horizontal="center" vertical="center"/>
    </xf>
    <xf numFmtId="167" fontId="2" fillId="0" borderId="84" xfId="0" applyNumberFormat="1" applyFont="1" applyBorder="1" applyAlignment="1">
      <alignment horizontal="center" vertical="center" wrapText="1"/>
    </xf>
    <xf numFmtId="167" fontId="2" fillId="0" borderId="85" xfId="0" applyNumberFormat="1" applyFont="1" applyBorder="1" applyAlignment="1">
      <alignment horizontal="center" vertical="center" wrapText="1"/>
    </xf>
    <xf numFmtId="167" fontId="2" fillId="0" borderId="83" xfId="0" applyNumberFormat="1" applyFont="1" applyBorder="1" applyAlignment="1">
      <alignment horizontal="center" vertical="center" wrapText="1"/>
    </xf>
    <xf numFmtId="0" fontId="9" fillId="7" borderId="84" xfId="0" applyFont="1" applyFill="1" applyBorder="1" applyAlignment="1">
      <alignment horizontal="center" vertical="center" wrapText="1"/>
    </xf>
    <xf numFmtId="0" fontId="9" fillId="7" borderId="85" xfId="0" applyFont="1" applyFill="1" applyBorder="1" applyAlignment="1">
      <alignment horizontal="center" vertical="center" wrapText="1"/>
    </xf>
    <xf numFmtId="0" fontId="9" fillId="7" borderId="83" xfId="0" applyFont="1" applyFill="1" applyBorder="1" applyAlignment="1">
      <alignment horizontal="center" vertical="center" wrapText="1"/>
    </xf>
    <xf numFmtId="0" fontId="31" fillId="0" borderId="237" xfId="0" applyFont="1" applyBorder="1" applyAlignment="1">
      <alignment horizontal="center" vertical="center"/>
    </xf>
    <xf numFmtId="0" fontId="31" fillId="0" borderId="238" xfId="0" applyFont="1" applyBorder="1" applyAlignment="1">
      <alignment horizontal="center" vertical="center"/>
    </xf>
    <xf numFmtId="0" fontId="31" fillId="0" borderId="254" xfId="0" applyFont="1" applyBorder="1" applyAlignment="1">
      <alignment horizontal="center" vertical="center"/>
    </xf>
    <xf numFmtId="167" fontId="31" fillId="0" borderId="84" xfId="0" applyNumberFormat="1" applyFont="1" applyBorder="1" applyAlignment="1">
      <alignment horizontal="center" vertical="center" wrapText="1"/>
    </xf>
    <xf numFmtId="167" fontId="31" fillId="0" borderId="85" xfId="0" applyNumberFormat="1" applyFont="1" applyBorder="1" applyAlignment="1">
      <alignment horizontal="center" vertical="center" wrapText="1"/>
    </xf>
    <xf numFmtId="167" fontId="31" fillId="0" borderId="83" xfId="0" applyNumberFormat="1" applyFont="1" applyBorder="1" applyAlignment="1">
      <alignment horizontal="center" vertical="center" wrapText="1"/>
    </xf>
    <xf numFmtId="167" fontId="31" fillId="0" borderId="252" xfId="0" applyNumberFormat="1" applyFont="1" applyBorder="1" applyAlignment="1">
      <alignment horizontal="center" vertical="center" wrapText="1"/>
    </xf>
    <xf numFmtId="167" fontId="31" fillId="0" borderId="138" xfId="0" applyNumberFormat="1" applyFont="1" applyBorder="1" applyAlignment="1">
      <alignment horizontal="center" vertical="center" wrapText="1"/>
    </xf>
    <xf numFmtId="167" fontId="31" fillId="0" borderId="209" xfId="0" applyNumberFormat="1" applyFont="1" applyBorder="1" applyAlignment="1">
      <alignment horizontal="center" vertical="center" wrapText="1"/>
    </xf>
    <xf numFmtId="164" fontId="31" fillId="0" borderId="256" xfId="0" applyNumberFormat="1" applyFont="1" applyBorder="1" applyAlignment="1">
      <alignment horizontal="left" vertical="center"/>
    </xf>
    <xf numFmtId="0" fontId="31" fillId="0" borderId="36" xfId="0" applyFont="1" applyBorder="1" applyAlignment="1">
      <alignment horizontal="center" vertical="center" wrapText="1"/>
    </xf>
    <xf numFmtId="0" fontId="31" fillId="0" borderId="257" xfId="0" applyFont="1" applyBorder="1" applyAlignment="1">
      <alignment horizontal="center" vertical="center" wrapText="1"/>
    </xf>
    <xf numFmtId="0" fontId="7" fillId="16" borderId="66" xfId="0" applyFont="1" applyFill="1" applyBorder="1" applyAlignment="1">
      <alignment horizontal="center" vertical="center"/>
    </xf>
    <xf numFmtId="0" fontId="7" fillId="16" borderId="63" xfId="0" applyFont="1" applyFill="1" applyBorder="1" applyAlignment="1">
      <alignment horizontal="center" vertical="center"/>
    </xf>
    <xf numFmtId="0" fontId="9" fillId="14" borderId="33" xfId="0" applyFont="1" applyFill="1" applyBorder="1" applyAlignment="1">
      <alignment horizontal="center" vertical="center"/>
    </xf>
    <xf numFmtId="0" fontId="9" fillId="14" borderId="34" xfId="0" applyFont="1" applyFill="1" applyBorder="1" applyAlignment="1">
      <alignment horizontal="center" vertical="center"/>
    </xf>
    <xf numFmtId="0" fontId="2" fillId="4" borderId="13" xfId="0" applyFont="1" applyFill="1" applyBorder="1" applyAlignment="1">
      <alignment horizontal="center" vertical="center" wrapText="1"/>
    </xf>
    <xf numFmtId="0" fontId="2" fillId="4" borderId="16" xfId="0" applyFont="1" applyFill="1" applyBorder="1" applyAlignment="1">
      <alignment horizontal="center" vertical="center" wrapText="1"/>
    </xf>
    <xf numFmtId="0" fontId="2" fillId="4" borderId="19" xfId="0" applyFont="1" applyFill="1" applyBorder="1" applyAlignment="1">
      <alignment horizontal="center" vertical="center" wrapText="1"/>
    </xf>
    <xf numFmtId="0" fontId="7" fillId="6" borderId="62" xfId="0" applyFont="1" applyFill="1" applyBorder="1" applyAlignment="1">
      <alignment horizontal="center" vertical="center" wrapText="1"/>
    </xf>
    <xf numFmtId="0" fontId="7" fillId="6" borderId="18" xfId="0" applyFont="1" applyFill="1" applyBorder="1" applyAlignment="1">
      <alignment horizontal="center" vertical="center" wrapText="1"/>
    </xf>
    <xf numFmtId="0" fontId="9" fillId="6" borderId="30" xfId="0" applyFont="1" applyFill="1" applyBorder="1" applyAlignment="1">
      <alignment horizontal="center" vertical="center"/>
    </xf>
    <xf numFmtId="0" fontId="9" fillId="6" borderId="32" xfId="0" applyFont="1" applyFill="1" applyBorder="1" applyAlignment="1">
      <alignment horizontal="center" vertical="center"/>
    </xf>
    <xf numFmtId="0" fontId="9" fillId="6" borderId="31" xfId="0" applyFont="1" applyFill="1" applyBorder="1" applyAlignment="1">
      <alignment horizontal="center" vertical="center"/>
    </xf>
    <xf numFmtId="0" fontId="7" fillId="15" borderId="64" xfId="0" applyFont="1" applyFill="1" applyBorder="1" applyAlignment="1">
      <alignment horizontal="center" vertical="center" wrapText="1"/>
    </xf>
    <xf numFmtId="0" fontId="7" fillId="15" borderId="65" xfId="0" applyFont="1" applyFill="1" applyBorder="1" applyAlignment="1">
      <alignment horizontal="center" vertical="center" wrapText="1"/>
    </xf>
    <xf numFmtId="0" fontId="7" fillId="14" borderId="12" xfId="0" applyFont="1" applyFill="1" applyBorder="1" applyAlignment="1">
      <alignment horizontal="center" vertical="center" wrapText="1"/>
    </xf>
    <xf numFmtId="0" fontId="7" fillId="14" borderId="18" xfId="0" applyFont="1" applyFill="1" applyBorder="1" applyAlignment="1">
      <alignment horizontal="center" vertical="center" wrapText="1"/>
    </xf>
    <xf numFmtId="0" fontId="46" fillId="12" borderId="20" xfId="0" applyFont="1" applyFill="1" applyBorder="1" applyAlignment="1">
      <alignment horizontal="center" vertical="center" wrapText="1"/>
    </xf>
    <xf numFmtId="0" fontId="7" fillId="0" borderId="12" xfId="0" applyFont="1" applyBorder="1" applyAlignment="1">
      <alignment horizontal="center" vertical="center"/>
    </xf>
    <xf numFmtId="0" fontId="7" fillId="0" borderId="18" xfId="0" applyFont="1" applyBorder="1" applyAlignment="1">
      <alignment horizontal="center" vertical="center"/>
    </xf>
    <xf numFmtId="0" fontId="7" fillId="0" borderId="12" xfId="0" applyFont="1" applyBorder="1" applyAlignment="1">
      <alignment horizontal="center" vertical="center" wrapText="1"/>
    </xf>
    <xf numFmtId="0" fontId="7" fillId="0" borderId="18"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18" xfId="0" applyFont="1" applyBorder="1" applyAlignment="1">
      <alignment horizontal="center" vertical="center" wrapText="1"/>
    </xf>
    <xf numFmtId="0" fontId="46" fillId="18" borderId="2" xfId="0" applyFont="1" applyFill="1" applyBorder="1" applyAlignment="1">
      <alignment horizontal="center" vertical="center"/>
    </xf>
    <xf numFmtId="0" fontId="46" fillId="18" borderId="251" xfId="0" applyFont="1" applyFill="1" applyBorder="1" applyAlignment="1">
      <alignment horizontal="center" vertical="center"/>
    </xf>
    <xf numFmtId="0" fontId="31" fillId="0" borderId="109" xfId="0" applyFont="1" applyBorder="1" applyAlignment="1">
      <alignment horizontal="center" vertical="center" wrapText="1"/>
    </xf>
    <xf numFmtId="0" fontId="2" fillId="0" borderId="109" xfId="0" applyFont="1" applyBorder="1" applyAlignment="1">
      <alignment horizontal="center" vertical="center" wrapText="1"/>
    </xf>
    <xf numFmtId="0" fontId="7" fillId="0" borderId="15" xfId="0" applyFont="1" applyBorder="1" applyAlignment="1">
      <alignment horizontal="center" vertical="center" wrapText="1"/>
    </xf>
    <xf numFmtId="0" fontId="31" fillId="0" borderId="0" xfId="0" applyFont="1" applyAlignment="1">
      <alignment horizontal="left" vertical="top" wrapText="1"/>
    </xf>
    <xf numFmtId="0" fontId="31" fillId="68" borderId="109" xfId="0" applyFont="1" applyFill="1" applyBorder="1" applyAlignment="1">
      <alignment horizontal="center" vertical="center" wrapText="1"/>
    </xf>
    <xf numFmtId="0" fontId="7" fillId="0" borderId="109" xfId="0" applyFont="1" applyBorder="1" applyAlignment="1">
      <alignment horizontal="center" vertical="center"/>
    </xf>
    <xf numFmtId="0" fontId="10" fillId="0" borderId="109" xfId="5" applyBorder="1" applyAlignment="1">
      <alignment horizontal="center" vertical="center" wrapText="1"/>
    </xf>
    <xf numFmtId="0" fontId="7" fillId="0" borderId="0" xfId="0" applyFont="1" applyAlignment="1">
      <alignment horizontal="left" vertical="top" wrapText="1"/>
    </xf>
    <xf numFmtId="0" fontId="31" fillId="0" borderId="109" xfId="5" applyFont="1" applyBorder="1" applyAlignment="1">
      <alignment horizontal="center" vertical="center" wrapText="1"/>
    </xf>
    <xf numFmtId="0" fontId="31" fillId="0" borderId="235" xfId="0" applyFont="1" applyBorder="1" applyAlignment="1">
      <alignment horizontal="center" vertical="center" wrapText="1"/>
    </xf>
    <xf numFmtId="0" fontId="31" fillId="0" borderId="249" xfId="0" applyFont="1" applyBorder="1" applyAlignment="1">
      <alignment horizontal="center" vertical="center" wrapText="1"/>
    </xf>
    <xf numFmtId="0" fontId="31" fillId="0" borderId="250" xfId="0" applyFont="1" applyBorder="1" applyAlignment="1">
      <alignment horizontal="center" vertical="center" wrapText="1"/>
    </xf>
    <xf numFmtId="0" fontId="0" fillId="0" borderId="2" xfId="0" applyBorder="1" applyAlignment="1">
      <alignment horizontal="center" vertical="center" wrapText="1"/>
    </xf>
    <xf numFmtId="0" fontId="33" fillId="0" borderId="2" xfId="0" applyFont="1" applyBorder="1" applyAlignment="1">
      <alignment horizontal="center" vertical="center"/>
    </xf>
    <xf numFmtId="0" fontId="33" fillId="0" borderId="2" xfId="0" applyFont="1" applyBorder="1" applyAlignment="1">
      <alignment horizontal="center" vertical="center" wrapText="1"/>
    </xf>
    <xf numFmtId="0" fontId="34" fillId="17" borderId="89" xfId="0" applyFont="1" applyFill="1" applyBorder="1" applyAlignment="1">
      <alignment horizontal="center" vertical="center"/>
    </xf>
    <xf numFmtId="0" fontId="34" fillId="17" borderId="90" xfId="0" applyFont="1" applyFill="1" applyBorder="1" applyAlignment="1">
      <alignment horizontal="center" vertical="center"/>
    </xf>
    <xf numFmtId="0" fontId="33" fillId="0" borderId="36" xfId="0" applyFont="1" applyBorder="1" applyAlignment="1">
      <alignment horizontal="center" vertical="center"/>
    </xf>
    <xf numFmtId="0" fontId="46" fillId="18" borderId="92" xfId="0" applyFont="1" applyFill="1" applyBorder="1" applyAlignment="1">
      <alignment horizontal="center" vertical="center" wrapText="1"/>
    </xf>
    <xf numFmtId="165" fontId="7" fillId="8" borderId="3" xfId="0" applyNumberFormat="1" applyFont="1" applyFill="1" applyBorder="1" applyAlignment="1">
      <alignment horizontal="center"/>
    </xf>
    <xf numFmtId="165" fontId="7" fillId="8" borderId="11" xfId="0" applyNumberFormat="1" applyFont="1" applyFill="1" applyBorder="1" applyAlignment="1">
      <alignment horizontal="center"/>
    </xf>
    <xf numFmtId="0" fontId="73" fillId="18" borderId="92" xfId="0" applyFont="1" applyFill="1" applyBorder="1" applyAlignment="1">
      <alignment horizontal="center" vertical="center" wrapText="1"/>
    </xf>
    <xf numFmtId="0" fontId="33" fillId="0" borderId="97" xfId="0" applyFont="1" applyBorder="1" applyAlignment="1">
      <alignment horizontal="left" vertical="center"/>
    </xf>
    <xf numFmtId="0" fontId="2" fillId="0" borderId="239" xfId="0" applyFont="1" applyBorder="1" applyAlignment="1">
      <alignment horizontal="left" vertical="center"/>
    </xf>
    <xf numFmtId="0" fontId="2" fillId="0" borderId="240" xfId="0" applyFont="1" applyBorder="1" applyAlignment="1">
      <alignment horizontal="left" vertical="center"/>
    </xf>
    <xf numFmtId="0" fontId="2" fillId="0" borderId="241" xfId="0" applyFont="1" applyBorder="1" applyAlignment="1">
      <alignment horizontal="left" vertical="center"/>
    </xf>
    <xf numFmtId="0" fontId="33" fillId="0" borderId="237" xfId="0" applyFont="1" applyBorder="1" applyAlignment="1">
      <alignment horizontal="center" vertical="center" wrapText="1"/>
    </xf>
    <xf numFmtId="0" fontId="33" fillId="0" borderId="238" xfId="0" applyFont="1" applyBorder="1" applyAlignment="1">
      <alignment horizontal="center" vertical="center" wrapText="1"/>
    </xf>
    <xf numFmtId="0" fontId="67" fillId="0" borderId="239" xfId="0" applyFont="1" applyBorder="1" applyAlignment="1">
      <alignment horizontal="left" vertical="center"/>
    </xf>
    <xf numFmtId="0" fontId="67" fillId="0" borderId="240" xfId="0" applyFont="1" applyBorder="1" applyAlignment="1">
      <alignment horizontal="left" vertical="center"/>
    </xf>
    <xf numFmtId="0" fontId="67" fillId="0" borderId="241" xfId="0" applyFont="1" applyBorder="1" applyAlignment="1">
      <alignment horizontal="left" vertical="center"/>
    </xf>
    <xf numFmtId="0" fontId="46" fillId="63" borderId="231" xfId="56" applyFont="1" applyFill="1" applyBorder="1" applyAlignment="1">
      <alignment horizontal="center" vertical="center" wrapText="1"/>
    </xf>
    <xf numFmtId="0" fontId="46" fillId="63" borderId="0" xfId="56" applyFont="1" applyFill="1" applyAlignment="1">
      <alignment horizontal="center" vertical="center" wrapText="1"/>
    </xf>
    <xf numFmtId="0" fontId="44" fillId="64" borderId="2" xfId="56" applyFont="1" applyFill="1" applyBorder="1" applyAlignment="1">
      <alignment horizontal="center" vertical="center" wrapText="1"/>
    </xf>
    <xf numFmtId="0" fontId="46" fillId="12" borderId="16" xfId="0" applyFont="1" applyFill="1" applyBorder="1" applyAlignment="1">
      <alignment horizontal="center" vertical="center" wrapText="1"/>
    </xf>
    <xf numFmtId="43" fontId="44" fillId="0" borderId="3" xfId="6" applyFont="1" applyBorder="1" applyAlignment="1">
      <alignment horizontal="center" vertical="center"/>
    </xf>
    <xf numFmtId="43" fontId="44" fillId="0" borderId="10" xfId="6" applyFont="1" applyBorder="1" applyAlignment="1">
      <alignment horizontal="center" vertical="center"/>
    </xf>
    <xf numFmtId="43" fontId="44" fillId="0" borderId="11" xfId="6" applyFont="1" applyBorder="1" applyAlignment="1">
      <alignment horizontal="center" vertical="center"/>
    </xf>
    <xf numFmtId="43" fontId="31" fillId="0" borderId="15" xfId="6" applyFont="1" applyBorder="1" applyAlignment="1">
      <alignment horizontal="center" vertical="center" wrapText="1"/>
    </xf>
    <xf numFmtId="43" fontId="31" fillId="0" borderId="18" xfId="6" applyFont="1" applyBorder="1" applyAlignment="1">
      <alignment horizontal="center" vertical="center" wrapText="1"/>
    </xf>
    <xf numFmtId="0" fontId="46" fillId="12" borderId="19" xfId="0" applyFont="1" applyFill="1" applyBorder="1" applyAlignment="1">
      <alignment horizontal="center" vertical="center" wrapText="1"/>
    </xf>
    <xf numFmtId="0" fontId="46" fillId="12" borderId="42" xfId="0" applyFont="1" applyFill="1" applyBorder="1" applyAlignment="1">
      <alignment horizontal="center" vertical="center" wrapText="1"/>
    </xf>
    <xf numFmtId="0" fontId="9" fillId="7" borderId="42" xfId="0" applyFont="1" applyFill="1" applyBorder="1" applyAlignment="1">
      <alignment horizontal="center" vertical="center"/>
    </xf>
    <xf numFmtId="0" fontId="9" fillId="7" borderId="42" xfId="0" applyFont="1" applyFill="1" applyBorder="1" applyAlignment="1">
      <alignment horizontal="center" vertical="center" wrapText="1"/>
    </xf>
    <xf numFmtId="0" fontId="69" fillId="0" borderId="42" xfId="0" applyFont="1" applyBorder="1" applyAlignment="1">
      <alignment horizontal="center" vertical="center" wrapText="1"/>
    </xf>
    <xf numFmtId="0" fontId="2" fillId="0" borderId="42" xfId="0" applyFont="1" applyBorder="1" applyAlignment="1">
      <alignment horizontal="center" vertical="center" wrapText="1"/>
    </xf>
    <xf numFmtId="0" fontId="7" fillId="0" borderId="42" xfId="0" applyFont="1" applyBorder="1" applyAlignment="1">
      <alignment horizontal="center" vertical="center" wrapText="1"/>
    </xf>
    <xf numFmtId="0" fontId="7" fillId="8" borderId="36" xfId="0" applyFont="1" applyFill="1" applyBorder="1" applyAlignment="1">
      <alignment horizontal="left" vertical="center"/>
    </xf>
    <xf numFmtId="0" fontId="46" fillId="12" borderId="36" xfId="0" applyFont="1" applyFill="1" applyBorder="1" applyAlignment="1">
      <alignment horizontal="center" vertical="center"/>
    </xf>
    <xf numFmtId="0" fontId="34" fillId="7" borderId="37" xfId="0" applyFont="1" applyFill="1" applyBorder="1" applyAlignment="1">
      <alignment horizontal="center" vertical="center" wrapText="1"/>
    </xf>
    <xf numFmtId="0" fontId="34" fillId="7" borderId="38" xfId="0" applyFont="1" applyFill="1" applyBorder="1" applyAlignment="1">
      <alignment horizontal="center" vertical="center" wrapText="1"/>
    </xf>
    <xf numFmtId="0" fontId="46" fillId="12" borderId="96" xfId="0" applyFont="1" applyFill="1" applyBorder="1" applyAlignment="1">
      <alignment horizontal="center" vertical="center"/>
    </xf>
    <xf numFmtId="0" fontId="46" fillId="12" borderId="88" xfId="0" applyFont="1" applyFill="1" applyBorder="1" applyAlignment="1">
      <alignment horizontal="center" vertical="center"/>
    </xf>
    <xf numFmtId="0" fontId="7" fillId="0" borderId="26" xfId="0" applyFont="1" applyBorder="1" applyAlignment="1">
      <alignment horizontal="center" vertical="center"/>
    </xf>
    <xf numFmtId="0" fontId="7" fillId="0" borderId="23" xfId="0" applyFont="1" applyBorder="1" applyAlignment="1">
      <alignment horizontal="center" vertical="center"/>
    </xf>
    <xf numFmtId="0" fontId="7" fillId="0" borderId="24" xfId="0" applyFont="1" applyBorder="1" applyAlignment="1">
      <alignment horizontal="center" vertical="center"/>
    </xf>
    <xf numFmtId="0" fontId="33" fillId="0" borderId="222" xfId="0" applyFont="1" applyBorder="1" applyAlignment="1">
      <alignment horizontal="center" vertical="center"/>
    </xf>
    <xf numFmtId="0" fontId="33" fillId="0" borderId="224" xfId="0" applyFont="1" applyBorder="1" applyAlignment="1">
      <alignment horizontal="center" vertical="center"/>
    </xf>
    <xf numFmtId="0" fontId="46" fillId="12" borderId="228" xfId="0" applyFont="1" applyFill="1" applyBorder="1" applyAlignment="1">
      <alignment horizontal="center" vertical="center"/>
    </xf>
    <xf numFmtId="0" fontId="46" fillId="18" borderId="218" xfId="0" applyFont="1" applyFill="1" applyBorder="1" applyAlignment="1">
      <alignment horizontal="center" vertical="center"/>
    </xf>
    <xf numFmtId="0" fontId="46" fillId="18" borderId="0" xfId="0" applyFont="1" applyFill="1" applyAlignment="1">
      <alignment horizontal="center" vertical="center"/>
    </xf>
    <xf numFmtId="0" fontId="46" fillId="18" borderId="81" xfId="0" applyFont="1" applyFill="1" applyBorder="1" applyAlignment="1">
      <alignment horizontal="center" vertical="center"/>
    </xf>
    <xf numFmtId="0" fontId="32" fillId="0" borderId="4" xfId="0" applyFont="1" applyBorder="1" applyAlignment="1">
      <alignment horizontal="center" vertical="center" wrapText="1"/>
    </xf>
    <xf numFmtId="0" fontId="32" fillId="0" borderId="6" xfId="0" applyFont="1" applyBorder="1" applyAlignment="1">
      <alignment horizontal="center" vertical="center" wrapText="1"/>
    </xf>
    <xf numFmtId="0" fontId="32" fillId="0" borderId="57" xfId="0" applyFont="1" applyBorder="1" applyAlignment="1">
      <alignment horizontal="center" vertical="center" wrapText="1"/>
    </xf>
    <xf numFmtId="0" fontId="32" fillId="0" borderId="1" xfId="0" applyFont="1" applyBorder="1" applyAlignment="1">
      <alignment horizontal="center" vertical="center"/>
    </xf>
    <xf numFmtId="0" fontId="32" fillId="0" borderId="2" xfId="0" applyFont="1" applyBorder="1" applyAlignment="1">
      <alignment horizontal="center" vertical="center"/>
    </xf>
    <xf numFmtId="0" fontId="32" fillId="0" borderId="12" xfId="0" applyFont="1" applyBorder="1" applyAlignment="1">
      <alignment horizontal="center" vertical="center"/>
    </xf>
    <xf numFmtId="0" fontId="32" fillId="0" borderId="120" xfId="0" applyFont="1" applyBorder="1" applyAlignment="1">
      <alignment horizontal="center" vertical="center" wrapText="1"/>
    </xf>
    <xf numFmtId="0" fontId="32" fillId="0" borderId="121" xfId="0" applyFont="1" applyBorder="1" applyAlignment="1">
      <alignment horizontal="center" vertical="center" wrapText="1"/>
    </xf>
    <xf numFmtId="0" fontId="32" fillId="0" borderId="154" xfId="0" applyFont="1" applyBorder="1" applyAlignment="1">
      <alignment horizontal="center" vertical="center" wrapText="1"/>
    </xf>
    <xf numFmtId="0" fontId="32" fillId="0" borderId="149" xfId="0" applyFont="1" applyBorder="1" applyAlignment="1">
      <alignment horizontal="center" vertical="center" wrapText="1"/>
    </xf>
    <xf numFmtId="0" fontId="32" fillId="0" borderId="147" xfId="0" applyFont="1" applyBorder="1" applyAlignment="1">
      <alignment horizontal="center" vertical="center" wrapText="1"/>
    </xf>
    <xf numFmtId="0" fontId="32" fillId="0" borderId="148" xfId="0" applyFont="1" applyBorder="1" applyAlignment="1">
      <alignment horizontal="center" vertical="center" wrapText="1"/>
    </xf>
    <xf numFmtId="0" fontId="32" fillId="0" borderId="214" xfId="0" applyFont="1" applyBorder="1" applyAlignment="1">
      <alignment horizontal="center" vertical="center" wrapText="1"/>
    </xf>
    <xf numFmtId="0" fontId="32" fillId="0" borderId="198" xfId="0" applyFont="1" applyBorder="1" applyAlignment="1">
      <alignment horizontal="center" vertical="center" wrapText="1"/>
    </xf>
    <xf numFmtId="0" fontId="32" fillId="0" borderId="216" xfId="0" applyFont="1" applyBorder="1" applyAlignment="1">
      <alignment horizontal="center" vertical="center" wrapText="1"/>
    </xf>
    <xf numFmtId="0" fontId="32" fillId="0" borderId="173" xfId="0" applyFont="1" applyBorder="1" applyAlignment="1">
      <alignment horizontal="center" vertical="center"/>
    </xf>
    <xf numFmtId="0" fontId="32" fillId="0" borderId="217" xfId="0" applyFont="1" applyBorder="1" applyAlignment="1">
      <alignment horizontal="center" vertical="center"/>
    </xf>
    <xf numFmtId="0" fontId="32" fillId="0" borderId="215" xfId="0" applyFont="1" applyBorder="1" applyAlignment="1">
      <alignment horizontal="center" vertical="center" wrapText="1"/>
    </xf>
    <xf numFmtId="0" fontId="32" fillId="0" borderId="15" xfId="0" applyFont="1" applyBorder="1" applyAlignment="1">
      <alignment horizontal="center" vertical="center" wrapText="1"/>
    </xf>
    <xf numFmtId="0" fontId="32" fillId="0" borderId="192" xfId="0" applyFont="1" applyBorder="1" applyAlignment="1">
      <alignment horizontal="center" vertical="center" wrapText="1"/>
    </xf>
    <xf numFmtId="0" fontId="32" fillId="0" borderId="210" xfId="0" applyFont="1" applyBorder="1" applyAlignment="1">
      <alignment horizontal="center" vertical="center" wrapText="1"/>
    </xf>
    <xf numFmtId="0" fontId="32" fillId="0" borderId="204" xfId="0" applyFont="1" applyBorder="1" applyAlignment="1">
      <alignment horizontal="center" vertical="center" wrapText="1"/>
    </xf>
    <xf numFmtId="0" fontId="32" fillId="0" borderId="207" xfId="0" applyFont="1" applyBorder="1" applyAlignment="1">
      <alignment horizontal="center" vertical="center" wrapText="1"/>
    </xf>
    <xf numFmtId="0" fontId="32" fillId="0" borderId="195" xfId="0" applyFont="1" applyBorder="1" applyAlignment="1">
      <alignment horizontal="center" vertical="center" wrapText="1"/>
    </xf>
    <xf numFmtId="0" fontId="32" fillId="0" borderId="176" xfId="0" applyFont="1" applyBorder="1" applyAlignment="1">
      <alignment horizontal="center" vertical="center" wrapText="1"/>
    </xf>
    <xf numFmtId="0" fontId="32" fillId="0" borderId="132" xfId="0" applyFont="1" applyBorder="1" applyAlignment="1">
      <alignment horizontal="center" vertical="center" wrapText="1"/>
    </xf>
    <xf numFmtId="0" fontId="32" fillId="0" borderId="136" xfId="0" applyFont="1" applyBorder="1" applyAlignment="1">
      <alignment horizontal="center" vertical="center" wrapText="1"/>
    </xf>
    <xf numFmtId="0" fontId="32" fillId="0" borderId="139" xfId="0" applyFont="1" applyBorder="1" applyAlignment="1">
      <alignment horizontal="center" vertical="center" wrapText="1"/>
    </xf>
    <xf numFmtId="0" fontId="32" fillId="0" borderId="133" xfId="0" applyFont="1" applyBorder="1" applyAlignment="1">
      <alignment horizontal="center" vertical="center"/>
    </xf>
    <xf numFmtId="0" fontId="32" fillId="0" borderId="36" xfId="0" applyFont="1" applyBorder="1" applyAlignment="1">
      <alignment horizontal="center" vertical="center"/>
    </xf>
    <xf numFmtId="0" fontId="32" fillId="0" borderId="140" xfId="0" applyFont="1" applyBorder="1" applyAlignment="1">
      <alignment horizontal="center" vertical="center"/>
    </xf>
    <xf numFmtId="0" fontId="32" fillId="0" borderId="133" xfId="0" applyFont="1" applyBorder="1" applyAlignment="1">
      <alignment horizontal="center" vertical="center" wrapText="1"/>
    </xf>
    <xf numFmtId="0" fontId="32" fillId="0" borderId="94" xfId="0" applyFont="1" applyBorder="1" applyAlignment="1">
      <alignment horizontal="center" vertical="center" wrapText="1"/>
    </xf>
    <xf numFmtId="0" fontId="32" fillId="0" borderId="165" xfId="0" applyFont="1" applyBorder="1" applyAlignment="1">
      <alignment horizontal="center" vertical="center" wrapText="1"/>
    </xf>
    <xf numFmtId="0" fontId="32" fillId="0" borderId="134" xfId="0" applyFont="1" applyBorder="1" applyAlignment="1">
      <alignment horizontal="center" vertical="center" wrapText="1"/>
    </xf>
    <xf numFmtId="0" fontId="32" fillId="0" borderId="137" xfId="0" applyFont="1" applyBorder="1" applyAlignment="1">
      <alignment horizontal="center" vertical="center" wrapText="1"/>
    </xf>
    <xf numFmtId="0" fontId="32" fillId="0" borderId="141" xfId="0" applyFont="1" applyBorder="1" applyAlignment="1">
      <alignment horizontal="center" vertical="center" wrapText="1"/>
    </xf>
    <xf numFmtId="0" fontId="32" fillId="0" borderId="157" xfId="0" applyFont="1" applyBorder="1" applyAlignment="1">
      <alignment horizontal="center" vertical="center" wrapText="1"/>
    </xf>
    <xf numFmtId="0" fontId="32" fillId="0" borderId="127" xfId="0" applyFont="1" applyBorder="1" applyAlignment="1">
      <alignment horizontal="center" vertical="center" wrapText="1"/>
    </xf>
    <xf numFmtId="0" fontId="32" fillId="0" borderId="160" xfId="0" applyFont="1" applyBorder="1" applyAlignment="1">
      <alignment horizontal="center" vertical="center" wrapText="1"/>
    </xf>
    <xf numFmtId="0" fontId="32" fillId="0" borderId="95" xfId="0" applyFont="1" applyBorder="1" applyAlignment="1">
      <alignment horizontal="center" vertical="center"/>
    </xf>
    <xf numFmtId="0" fontId="32" fillId="0" borderId="143" xfId="0" applyFont="1" applyBorder="1" applyAlignment="1">
      <alignment horizontal="center" vertical="center"/>
    </xf>
    <xf numFmtId="0" fontId="32" fillId="0" borderId="95" xfId="0" applyFont="1" applyBorder="1" applyAlignment="1">
      <alignment horizontal="center" vertical="center" wrapText="1"/>
    </xf>
    <xf numFmtId="0" fontId="32" fillId="0" borderId="161" xfId="0" applyFont="1" applyBorder="1" applyAlignment="1">
      <alignment horizontal="center" vertical="center" wrapText="1"/>
    </xf>
    <xf numFmtId="0" fontId="32" fillId="0" borderId="162" xfId="0" applyFont="1" applyBorder="1" applyAlignment="1">
      <alignment horizontal="center" vertical="center" wrapText="1"/>
    </xf>
    <xf numFmtId="0" fontId="9" fillId="7" borderId="86" xfId="0" applyFont="1" applyFill="1" applyBorder="1" applyAlignment="1">
      <alignment horizontal="center" vertical="center"/>
    </xf>
    <xf numFmtId="0" fontId="9" fillId="7" borderId="0" xfId="0" applyFont="1" applyFill="1" applyAlignment="1">
      <alignment horizontal="center" vertical="center"/>
    </xf>
    <xf numFmtId="0" fontId="9" fillId="7" borderId="87" xfId="0" applyFont="1" applyFill="1" applyBorder="1" applyAlignment="1">
      <alignment horizontal="center" vertical="center"/>
    </xf>
    <xf numFmtId="0" fontId="32" fillId="0" borderId="181" xfId="0" applyFont="1" applyBorder="1" applyAlignment="1">
      <alignment horizontal="center" vertical="center" wrapText="1"/>
    </xf>
    <xf numFmtId="0" fontId="32" fillId="0" borderId="203" xfId="0" applyFont="1" applyBorder="1" applyAlignment="1">
      <alignment horizontal="center" vertical="center" wrapText="1"/>
    </xf>
    <xf numFmtId="0" fontId="32" fillId="0" borderId="205" xfId="0" applyFont="1" applyBorder="1" applyAlignment="1">
      <alignment horizontal="center" vertical="center" wrapText="1"/>
    </xf>
    <xf numFmtId="0" fontId="60" fillId="0" borderId="182" xfId="0" applyFont="1" applyBorder="1" applyAlignment="1">
      <alignment horizontal="center" vertical="center"/>
    </xf>
    <xf numFmtId="0" fontId="60" fillId="0" borderId="36" xfId="0" applyFont="1" applyBorder="1" applyAlignment="1">
      <alignment horizontal="center" vertical="center"/>
    </xf>
    <xf numFmtId="0" fontId="60" fillId="0" borderId="206" xfId="0" applyFont="1" applyBorder="1" applyAlignment="1">
      <alignment horizontal="center" vertical="center"/>
    </xf>
    <xf numFmtId="0" fontId="32" fillId="0" borderId="182" xfId="0" applyFont="1" applyBorder="1" applyAlignment="1">
      <alignment horizontal="center" vertical="center" wrapText="1"/>
    </xf>
    <xf numFmtId="0" fontId="32" fillId="0" borderId="36" xfId="0" applyFont="1" applyBorder="1" applyAlignment="1">
      <alignment horizontal="center" vertical="center" wrapText="1"/>
    </xf>
    <xf numFmtId="0" fontId="32" fillId="0" borderId="206" xfId="0" applyFont="1" applyBorder="1" applyAlignment="1">
      <alignment horizontal="center" vertical="center" wrapText="1"/>
    </xf>
    <xf numFmtId="0" fontId="32" fillId="0" borderId="199" xfId="0" applyFont="1" applyBorder="1" applyAlignment="1">
      <alignment horizontal="center" vertical="center" wrapText="1"/>
    </xf>
    <xf numFmtId="0" fontId="32" fillId="0" borderId="200" xfId="0" applyFont="1" applyBorder="1" applyAlignment="1">
      <alignment horizontal="center" vertical="center" wrapText="1"/>
    </xf>
    <xf numFmtId="0" fontId="32" fillId="0" borderId="177" xfId="0" applyFont="1" applyBorder="1" applyAlignment="1">
      <alignment horizontal="center" vertical="center" wrapText="1"/>
    </xf>
    <xf numFmtId="0" fontId="32" fillId="0" borderId="179" xfId="0" applyFont="1" applyBorder="1" applyAlignment="1">
      <alignment horizontal="center" vertical="center"/>
    </xf>
    <xf numFmtId="0" fontId="32" fillId="0" borderId="174" xfId="0" applyFont="1" applyBorder="1" applyAlignment="1">
      <alignment horizontal="center" vertical="center" wrapText="1"/>
    </xf>
    <xf numFmtId="0" fontId="32" fillId="0" borderId="175" xfId="0" applyFont="1" applyBorder="1" applyAlignment="1">
      <alignment horizontal="center" vertical="center" wrapText="1"/>
    </xf>
    <xf numFmtId="0" fontId="32" fillId="0" borderId="180" xfId="0" applyFont="1" applyBorder="1" applyAlignment="1">
      <alignment horizontal="center" vertical="center" wrapText="1"/>
    </xf>
    <xf numFmtId="0" fontId="32" fillId="0" borderId="15" xfId="0" applyFont="1" applyBorder="1" applyAlignment="1">
      <alignment horizontal="center" vertical="center"/>
    </xf>
    <xf numFmtId="0" fontId="32" fillId="0" borderId="151" xfId="0" applyFont="1" applyBorder="1" applyAlignment="1">
      <alignment horizontal="center" vertical="center"/>
    </xf>
    <xf numFmtId="0" fontId="32" fillId="0" borderId="151" xfId="0" applyFont="1" applyBorder="1" applyAlignment="1">
      <alignment horizontal="center" vertical="center" wrapText="1"/>
    </xf>
    <xf numFmtId="0" fontId="32" fillId="0" borderId="197" xfId="0" applyFont="1" applyBorder="1" applyAlignment="1">
      <alignment horizontal="center" vertical="center" wrapText="1"/>
    </xf>
    <xf numFmtId="0" fontId="32" fillId="0" borderId="172" xfId="0" applyFont="1" applyBorder="1" applyAlignment="1">
      <alignment horizontal="center" vertical="center" wrapText="1"/>
    </xf>
    <xf numFmtId="0" fontId="32" fillId="0" borderId="178" xfId="0" applyFont="1" applyBorder="1" applyAlignment="1">
      <alignment horizontal="center" vertical="center" wrapText="1"/>
    </xf>
    <xf numFmtId="0" fontId="32" fillId="0" borderId="184" xfId="0" applyFont="1" applyBorder="1" applyAlignment="1">
      <alignment horizontal="center" vertical="center" wrapText="1"/>
    </xf>
    <xf numFmtId="0" fontId="32" fillId="0" borderId="212" xfId="0" applyFont="1" applyBorder="1" applyAlignment="1">
      <alignment horizontal="center" vertical="center" wrapText="1"/>
    </xf>
    <xf numFmtId="0" fontId="60" fillId="0" borderId="133" xfId="0" applyFont="1" applyBorder="1" applyAlignment="1">
      <alignment horizontal="center" vertical="center"/>
    </xf>
    <xf numFmtId="0" fontId="60" fillId="0" borderId="67" xfId="0" applyFont="1" applyBorder="1" applyAlignment="1">
      <alignment horizontal="center" vertical="center"/>
    </xf>
    <xf numFmtId="0" fontId="32" fillId="0" borderId="67" xfId="0" applyFont="1" applyBorder="1" applyAlignment="1">
      <alignment horizontal="center" vertical="center" wrapText="1"/>
    </xf>
    <xf numFmtId="0" fontId="32" fillId="0" borderId="202" xfId="0" applyFont="1" applyBorder="1" applyAlignment="1">
      <alignment horizontal="center" vertical="center" wrapText="1"/>
    </xf>
    <xf numFmtId="0" fontId="32" fillId="0" borderId="213" xfId="0" applyFont="1" applyBorder="1" applyAlignment="1">
      <alignment horizontal="center" vertical="center" wrapText="1"/>
    </xf>
    <xf numFmtId="0" fontId="32" fillId="0" borderId="196" xfId="0" applyFont="1" applyBorder="1" applyAlignment="1">
      <alignment horizontal="center" vertical="center" wrapText="1"/>
    </xf>
    <xf numFmtId="0" fontId="32" fillId="0" borderId="18" xfId="0" applyFont="1" applyBorder="1" applyAlignment="1">
      <alignment horizontal="center" vertical="center"/>
    </xf>
    <xf numFmtId="0" fontId="32" fillId="0" borderId="123" xfId="0" applyFont="1" applyBorder="1" applyAlignment="1">
      <alignment horizontal="center" vertical="center" wrapText="1"/>
    </xf>
    <xf numFmtId="0" fontId="32" fillId="0" borderId="27" xfId="0" applyFont="1" applyBorder="1" applyAlignment="1">
      <alignment horizontal="center" vertical="center"/>
    </xf>
    <xf numFmtId="0" fontId="32" fillId="0" borderId="1" xfId="0" applyFont="1" applyBorder="1" applyAlignment="1">
      <alignment horizontal="center" vertical="center" wrapText="1"/>
    </xf>
    <xf numFmtId="0" fontId="32" fillId="0" borderId="2" xfId="0" applyFont="1" applyBorder="1" applyAlignment="1">
      <alignment horizontal="center" vertical="center" wrapText="1"/>
    </xf>
    <xf numFmtId="0" fontId="32" fillId="0" borderId="27" xfId="0" applyFont="1" applyBorder="1" applyAlignment="1">
      <alignment horizontal="center" vertical="center" wrapText="1"/>
    </xf>
    <xf numFmtId="0" fontId="32" fillId="0" borderId="201" xfId="0" applyFont="1" applyBorder="1" applyAlignment="1">
      <alignment horizontal="center" vertical="center" wrapText="1"/>
    </xf>
    <xf numFmtId="0" fontId="32" fillId="0" borderId="152" xfId="0" applyFont="1" applyBorder="1" applyAlignment="1">
      <alignment horizontal="center" vertical="center" wrapText="1"/>
    </xf>
    <xf numFmtId="0" fontId="32" fillId="0" borderId="193" xfId="0" applyFont="1" applyBorder="1" applyAlignment="1">
      <alignment horizontal="center" vertical="center"/>
    </xf>
    <xf numFmtId="0" fontId="32" fillId="0" borderId="194" xfId="0" applyFont="1" applyBorder="1" applyAlignment="1">
      <alignment horizontal="center" vertical="center"/>
    </xf>
    <xf numFmtId="0" fontId="32" fillId="0" borderId="177" xfId="0" applyFont="1" applyBorder="1" applyAlignment="1">
      <alignment horizontal="center" vertical="center"/>
    </xf>
    <xf numFmtId="0" fontId="32" fillId="0" borderId="116" xfId="0" applyFont="1" applyBorder="1" applyAlignment="1">
      <alignment horizontal="center" vertical="center" wrapText="1"/>
    </xf>
    <xf numFmtId="0" fontId="32" fillId="0" borderId="179" xfId="0" applyFont="1" applyBorder="1" applyAlignment="1">
      <alignment horizontal="center" vertical="center" wrapText="1"/>
    </xf>
    <xf numFmtId="0" fontId="32" fillId="0" borderId="159" xfId="0" applyFont="1" applyBorder="1" applyAlignment="1">
      <alignment horizontal="center" vertical="center" wrapText="1"/>
    </xf>
    <xf numFmtId="0" fontId="32" fillId="0" borderId="126" xfId="0" applyFont="1" applyBorder="1" applyAlignment="1">
      <alignment horizontal="center" vertical="center" wrapText="1"/>
    </xf>
    <xf numFmtId="0" fontId="32" fillId="0" borderId="191" xfId="0" applyFont="1" applyBorder="1" applyAlignment="1">
      <alignment horizontal="center" vertical="center" wrapText="1"/>
    </xf>
    <xf numFmtId="0" fontId="32" fillId="0" borderId="59" xfId="0" applyFont="1" applyBorder="1" applyAlignment="1">
      <alignment horizontal="center" vertical="center" wrapText="1"/>
    </xf>
    <xf numFmtId="0" fontId="32" fillId="0" borderId="169" xfId="0" applyFont="1" applyBorder="1" applyAlignment="1">
      <alignment horizontal="center" vertical="center" wrapText="1"/>
    </xf>
    <xf numFmtId="0" fontId="32" fillId="0" borderId="170" xfId="0" applyFont="1" applyBorder="1" applyAlignment="1">
      <alignment horizontal="center" vertical="center"/>
    </xf>
    <xf numFmtId="0" fontId="32" fillId="0" borderId="170" xfId="0" applyFont="1" applyBorder="1" applyAlignment="1">
      <alignment horizontal="center" vertical="center" wrapText="1"/>
    </xf>
    <xf numFmtId="0" fontId="32" fillId="0" borderId="118" xfId="0" applyFont="1" applyBorder="1" applyAlignment="1">
      <alignment horizontal="center" vertical="center" wrapText="1"/>
    </xf>
    <xf numFmtId="0" fontId="32" fillId="0" borderId="171" xfId="0" applyFont="1" applyBorder="1" applyAlignment="1">
      <alignment horizontal="center" vertical="center" wrapText="1"/>
    </xf>
    <xf numFmtId="0" fontId="32" fillId="0" borderId="124" xfId="0" applyFont="1" applyBorder="1" applyAlignment="1">
      <alignment horizontal="center" vertical="center" wrapText="1"/>
    </xf>
    <xf numFmtId="0" fontId="32" fillId="0" borderId="189" xfId="0" applyFont="1" applyBorder="1" applyAlignment="1">
      <alignment horizontal="center" vertical="center" wrapText="1"/>
    </xf>
    <xf numFmtId="0" fontId="60" fillId="0" borderId="95" xfId="0" applyFont="1" applyBorder="1" applyAlignment="1">
      <alignment horizontal="center" vertical="center"/>
    </xf>
    <xf numFmtId="0" fontId="60" fillId="0" borderId="125" xfId="0" applyFont="1" applyBorder="1" applyAlignment="1">
      <alignment horizontal="center" vertical="center"/>
    </xf>
    <xf numFmtId="0" fontId="60" fillId="0" borderId="190" xfId="0" applyFont="1" applyBorder="1" applyAlignment="1">
      <alignment horizontal="center" vertical="center"/>
    </xf>
    <xf numFmtId="0" fontId="32" fillId="0" borderId="186" xfId="0" applyFont="1" applyBorder="1" applyAlignment="1">
      <alignment horizontal="center" vertical="center" wrapText="1"/>
    </xf>
    <xf numFmtId="0" fontId="60" fillId="0" borderId="187" xfId="0" applyFont="1" applyBorder="1" applyAlignment="1">
      <alignment horizontal="center" vertical="center"/>
    </xf>
    <xf numFmtId="0" fontId="32" fillId="0" borderId="8" xfId="0" applyFont="1" applyBorder="1" applyAlignment="1">
      <alignment horizontal="center" vertical="center" wrapText="1"/>
    </xf>
    <xf numFmtId="0" fontId="32" fillId="0" borderId="18" xfId="0" applyFont="1" applyBorder="1" applyAlignment="1">
      <alignment horizontal="center" vertical="center" wrapText="1"/>
    </xf>
    <xf numFmtId="0" fontId="32" fillId="0" borderId="40" xfId="0" applyFont="1" applyBorder="1" applyAlignment="1">
      <alignment horizontal="center" vertical="center" wrapText="1"/>
    </xf>
    <xf numFmtId="0" fontId="32" fillId="0" borderId="43" xfId="0" applyFont="1" applyBorder="1" applyAlignment="1">
      <alignment horizontal="center" vertical="center" wrapText="1"/>
    </xf>
    <xf numFmtId="0" fontId="32" fillId="0" borderId="49" xfId="0" applyFont="1" applyBorder="1" applyAlignment="1">
      <alignment horizontal="center" vertical="center" wrapText="1"/>
    </xf>
    <xf numFmtId="0" fontId="32" fillId="0" borderId="187" xfId="0" applyFont="1" applyBorder="1" applyAlignment="1">
      <alignment horizontal="center" vertical="center" wrapText="1"/>
    </xf>
    <xf numFmtId="0" fontId="32" fillId="0" borderId="183" xfId="0" applyFont="1" applyBorder="1" applyAlignment="1">
      <alignment horizontal="center" vertical="center" wrapText="1"/>
    </xf>
    <xf numFmtId="0" fontId="32" fillId="0" borderId="185" xfId="0" applyFont="1" applyBorder="1" applyAlignment="1">
      <alignment horizontal="center" vertical="center" wrapText="1"/>
    </xf>
    <xf numFmtId="0" fontId="32" fillId="0" borderId="188" xfId="0" applyFont="1" applyBorder="1" applyAlignment="1">
      <alignment horizontal="center" vertical="center" wrapText="1"/>
    </xf>
    <xf numFmtId="0" fontId="32" fillId="0" borderId="174" xfId="0" applyFont="1" applyBorder="1" applyAlignment="1">
      <alignment horizontal="center" vertical="center"/>
    </xf>
    <xf numFmtId="0" fontId="32" fillId="0" borderId="123" xfId="0" applyFont="1" applyBorder="1" applyAlignment="1">
      <alignment horizontal="center" vertical="center"/>
    </xf>
    <xf numFmtId="0" fontId="91" fillId="12" borderId="16" xfId="0" applyFont="1" applyFill="1" applyBorder="1" applyAlignment="1">
      <alignment horizontal="center" vertical="center" wrapText="1"/>
    </xf>
    <xf numFmtId="0" fontId="91" fillId="12" borderId="0" xfId="0" applyFont="1" applyFill="1" applyAlignment="1">
      <alignment horizontal="center" vertical="center" wrapText="1"/>
    </xf>
    <xf numFmtId="0" fontId="4" fillId="7" borderId="2" xfId="0" applyFont="1" applyFill="1" applyBorder="1" applyAlignment="1">
      <alignment horizontal="center" vertical="center"/>
    </xf>
    <xf numFmtId="0" fontId="32" fillId="0" borderId="173" xfId="0" applyFont="1" applyBorder="1" applyAlignment="1">
      <alignment horizontal="center" vertical="center" wrapText="1"/>
    </xf>
    <xf numFmtId="0" fontId="32" fillId="0" borderId="120" xfId="0" applyFont="1" applyBorder="1" applyAlignment="1">
      <alignment horizontal="center" vertical="center"/>
    </xf>
    <xf numFmtId="0" fontId="74" fillId="0" borderId="197" xfId="0" applyFont="1" applyBorder="1" applyAlignment="1">
      <alignment horizontal="center" vertical="center" wrapText="1"/>
    </xf>
    <xf numFmtId="0" fontId="9" fillId="7" borderId="2" xfId="0" applyFont="1" applyFill="1" applyBorder="1" applyAlignment="1">
      <alignment horizontal="center" vertical="center"/>
    </xf>
    <xf numFmtId="0" fontId="9" fillId="7" borderId="12" xfId="0" applyFont="1" applyFill="1" applyBorder="1" applyAlignment="1">
      <alignment horizontal="center" vertical="center"/>
    </xf>
    <xf numFmtId="0" fontId="46" fillId="12" borderId="21" xfId="0" applyFont="1" applyFill="1" applyBorder="1" applyAlignment="1">
      <alignment horizontal="center" vertical="center" wrapText="1"/>
    </xf>
    <xf numFmtId="0" fontId="32" fillId="0" borderId="122" xfId="0" applyFont="1" applyBorder="1" applyAlignment="1">
      <alignment horizontal="center" vertical="center" wrapText="1"/>
    </xf>
    <xf numFmtId="0" fontId="74" fillId="0" borderId="122" xfId="0" applyFont="1" applyBorder="1" applyAlignment="1">
      <alignment horizontal="center" vertical="center" wrapText="1"/>
    </xf>
    <xf numFmtId="0" fontId="29" fillId="7" borderId="2" xfId="0" applyFont="1" applyFill="1" applyBorder="1" applyAlignment="1">
      <alignment horizontal="center" vertical="center" wrapText="1"/>
    </xf>
    <xf numFmtId="0" fontId="32" fillId="0" borderId="153" xfId="0" applyFont="1" applyBorder="1" applyAlignment="1">
      <alignment horizontal="center" vertical="center" wrapText="1"/>
    </xf>
    <xf numFmtId="0" fontId="0" fillId="0" borderId="2" xfId="0" applyBorder="1" applyAlignment="1">
      <alignment horizontal="left"/>
    </xf>
    <xf numFmtId="0" fontId="90" fillId="12" borderId="0" xfId="0" applyFont="1" applyFill="1" applyAlignment="1">
      <alignment horizontal="center" vertical="center"/>
    </xf>
    <xf numFmtId="0" fontId="0" fillId="0" borderId="2" xfId="0" applyBorder="1" applyAlignment="1">
      <alignment horizontal="left" wrapText="1"/>
    </xf>
    <xf numFmtId="0" fontId="0" fillId="0" borderId="20" xfId="0" applyBorder="1" applyAlignment="1">
      <alignment horizontal="center"/>
    </xf>
    <xf numFmtId="0" fontId="13" fillId="0" borderId="0" xfId="0" applyFont="1" applyAlignment="1">
      <alignment horizontal="center"/>
    </xf>
    <xf numFmtId="0" fontId="12" fillId="13" borderId="0" xfId="0" applyFont="1" applyFill="1" applyAlignment="1">
      <alignment horizontal="center" vertical="center"/>
    </xf>
    <xf numFmtId="0" fontId="0" fillId="0" borderId="0" xfId="0" applyAlignment="1">
      <alignment horizontal="center" wrapText="1"/>
    </xf>
    <xf numFmtId="9" fontId="7" fillId="0" borderId="36" xfId="2" applyFont="1" applyFill="1" applyBorder="1" applyAlignment="1">
      <alignment horizontal="center" vertical="center"/>
    </xf>
    <xf numFmtId="0" fontId="34" fillId="7" borderId="36" xfId="0" applyFont="1" applyFill="1" applyBorder="1" applyAlignment="1">
      <alignment horizontal="center" vertical="center"/>
    </xf>
    <xf numFmtId="0" fontId="0" fillId="0" borderId="0" xfId="0" applyAlignment="1">
      <alignment horizontal="center"/>
    </xf>
    <xf numFmtId="0" fontId="28" fillId="0" borderId="20" xfId="0" applyFont="1" applyBorder="1" applyAlignment="1">
      <alignment horizontal="left" vertical="center"/>
    </xf>
  </cellXfs>
  <cellStyles count="57">
    <cellStyle name="20% - Accent1" xfId="29" builtinId="30" customBuiltin="1"/>
    <cellStyle name="20% - Accent2" xfId="32" builtinId="34" customBuiltin="1"/>
    <cellStyle name="20% - Accent3" xfId="35" builtinId="38" customBuiltin="1"/>
    <cellStyle name="20% - Accent4" xfId="38" builtinId="42" customBuiltin="1"/>
    <cellStyle name="20% - Accent5" xfId="41" builtinId="46" customBuiltin="1"/>
    <cellStyle name="20% - Accent6" xfId="44" builtinId="50" customBuiltin="1"/>
    <cellStyle name="40% - Accent1" xfId="30" builtinId="31" customBuiltin="1"/>
    <cellStyle name="40% - Accent2" xfId="33" builtinId="35" customBuiltin="1"/>
    <cellStyle name="40% - Accent3" xfId="36" builtinId="39" customBuiltin="1"/>
    <cellStyle name="40% - Accent4" xfId="39" builtinId="43" customBuiltin="1"/>
    <cellStyle name="40% - Accent5" xfId="42" builtinId="47" customBuiltin="1"/>
    <cellStyle name="40% - Accent6" xfId="45" builtinId="51" customBuiltin="1"/>
    <cellStyle name="60% - Accent1 2" xfId="48" xr:uid="{742F182D-DE19-4ABD-8125-542911AC2871}"/>
    <cellStyle name="60% - Accent2 2" xfId="49" xr:uid="{C203D7A7-4D1E-4E4D-9A55-425F304335D3}"/>
    <cellStyle name="60% - Accent3 2" xfId="50" xr:uid="{D575A5F1-76FC-4DEE-A89E-DFDABCBF86AA}"/>
    <cellStyle name="60% - Accent4 2" xfId="51" xr:uid="{D57D9030-641B-49DF-B44E-F0A7AC7C8BB7}"/>
    <cellStyle name="60% - Accent5 2" xfId="52" xr:uid="{EA6BFE8E-04CA-4DDE-A801-C5177F36DCFD}"/>
    <cellStyle name="60% - Accent6 2" xfId="53" xr:uid="{B263CC10-573D-4AC3-9866-0BC54A3DA634}"/>
    <cellStyle name="Accent1" xfId="28" builtinId="29" customBuiltin="1"/>
    <cellStyle name="Accent2" xfId="31" builtinId="33" customBuiltin="1"/>
    <cellStyle name="Accent3" xfId="34" builtinId="37" customBuiltin="1"/>
    <cellStyle name="Accent4" xfId="37" builtinId="41" customBuiltin="1"/>
    <cellStyle name="Accent5" xfId="40" builtinId="45" customBuiltin="1"/>
    <cellStyle name="Accent6" xfId="43" builtinId="49" customBuiltin="1"/>
    <cellStyle name="Bad" xfId="18" builtinId="27" customBuiltin="1"/>
    <cellStyle name="Calculation" xfId="21" builtinId="22" customBuiltin="1"/>
    <cellStyle name="Check Cell" xfId="23" builtinId="23" customBuiltin="1"/>
    <cellStyle name="Comma" xfId="6" builtinId="3"/>
    <cellStyle name="Explanatory Text" xfId="26" builtinId="53" customBuiltin="1"/>
    <cellStyle name="Good" xfId="17" builtinId="26" customBuiltin="1"/>
    <cellStyle name="Heading 1" xfId="13" builtinId="16" customBuiltin="1"/>
    <cellStyle name="Heading 2" xfId="14" builtinId="17" customBuiltin="1"/>
    <cellStyle name="Heading 3" xfId="15" builtinId="18" customBuiltin="1"/>
    <cellStyle name="Heading 4" xfId="16" builtinId="19" customBuiltin="1"/>
    <cellStyle name="Hyperlink" xfId="5" builtinId="8"/>
    <cellStyle name="Hyperlink 2" xfId="10" xr:uid="{10C1E3C0-F46B-4E25-BD9A-EE5D62F88FF2}"/>
    <cellStyle name="Input" xfId="19" builtinId="20" customBuiltin="1"/>
    <cellStyle name="Linked Cell" xfId="22" builtinId="24" customBuiltin="1"/>
    <cellStyle name="Neutral 2" xfId="47" xr:uid="{65990A78-3418-4385-8A90-6596C12444EC}"/>
    <cellStyle name="Normal" xfId="0" builtinId="0"/>
    <cellStyle name="Normal 2" xfId="3" xr:uid="{E38C2638-0821-4BB2-9C33-A89D3950ADA6}"/>
    <cellStyle name="Normal 2 2" xfId="4" xr:uid="{7604919E-E68F-4366-A693-6A7B8B8DA661}"/>
    <cellStyle name="Normal 2 3" xfId="9" xr:uid="{8A1E39CD-7ABA-4D79-A464-67010D1209C1}"/>
    <cellStyle name="Normal 2 4" xfId="55" xr:uid="{AE4B3509-A26F-46BA-8AEA-0889CC1E7DEC}"/>
    <cellStyle name="Normal 3" xfId="7" xr:uid="{1C10DAE4-4F9C-4E19-81E4-5574511A6741}"/>
    <cellStyle name="Normal 4" xfId="11" xr:uid="{43272557-B37F-4996-BC18-AA3EDEAFA379}"/>
    <cellStyle name="Normal 5" xfId="12" xr:uid="{642BE191-BE2F-4847-8420-1C59B95E270E}"/>
    <cellStyle name="Normal 6" xfId="54" xr:uid="{40F62795-0E60-4B52-B70B-B046DFB737FF}"/>
    <cellStyle name="Normal 7" xfId="56" xr:uid="{FA32BA9C-5D4D-4191-B1FD-7FE7BC8F9643}"/>
    <cellStyle name="Normal_Prototype_Scorecard-LgOffice-2008-03-13" xfId="1" xr:uid="{F839F8A1-86E5-4008-9801-0F032E8A3317}"/>
    <cellStyle name="Note" xfId="25" builtinId="10" customBuiltin="1"/>
    <cellStyle name="Output" xfId="20" builtinId="21" customBuiltin="1"/>
    <cellStyle name="Percent" xfId="2" builtinId="5"/>
    <cellStyle name="Percent 2" xfId="8" xr:uid="{CB789C3E-741F-4464-8065-385A956411E6}"/>
    <cellStyle name="Title 2" xfId="46" xr:uid="{3F21AD8F-936B-4DFB-B4CB-549B9F2D7A8B}"/>
    <cellStyle name="Total" xfId="27" builtinId="25" customBuiltin="1"/>
    <cellStyle name="Warning Text" xfId="24" builtinId="11" customBuiltin="1"/>
  </cellStyles>
  <dxfs count="7">
    <dxf>
      <font>
        <b/>
        <i val="0"/>
      </font>
      <fill>
        <patternFill>
          <bgColor theme="0" tint="-0.14996795556505021"/>
        </patternFill>
      </fill>
      <border>
        <left style="thin">
          <color auto="1"/>
        </left>
        <right style="thin">
          <color auto="1"/>
        </right>
        <top style="thin">
          <color auto="1"/>
        </top>
        <bottom style="thin">
          <color auto="1"/>
        </bottom>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ont>
        <b/>
        <i val="0"/>
      </font>
    </dxf>
    <dxf>
      <font>
        <b/>
        <i val="0"/>
      </font>
    </dxf>
    <dxf>
      <font>
        <b/>
        <i val="0"/>
      </font>
      <border diagonalDown="1">
        <left style="thin">
          <color auto="1"/>
        </left>
        <right style="thin">
          <color auto="1"/>
        </right>
        <top style="thin">
          <color auto="1"/>
        </top>
        <bottom style="thin">
          <color auto="1"/>
        </bottom>
        <diagonal style="thin">
          <color auto="1"/>
        </diagonal>
        <vertical style="thin">
          <color auto="1"/>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border>
    </dxf>
  </dxfs>
  <tableStyles count="1" defaultTableStyle="TableStyleMedium2" defaultPivotStyle="PivotStyleLight16">
    <tableStyle name="PivotTable Style_MFA1" table="0" count="7" xr9:uid="{14E84246-083A-4927-8273-A88944943105}">
      <tableStyleElement type="wholeTable" dxfId="6"/>
      <tableStyleElement type="headerRow" dxfId="5"/>
      <tableStyleElement type="totalRow" dxfId="4"/>
      <tableStyleElement type="firstColumn" dxfId="3"/>
      <tableStyleElement type="lastColumn" dxfId="2"/>
      <tableStyleElement type="pageFieldLabels" dxfId="1"/>
      <tableStyleElement type="pageFieldValues" dxfId="0"/>
    </tableStyle>
  </tableStyles>
  <colors>
    <mruColors>
      <color rgb="FF808080"/>
      <color rgb="FFA6A6A6"/>
      <color rgb="FFF1EAF2"/>
      <color rgb="FFDFD1E1"/>
      <color rgb="FFEFE8F0"/>
      <color rgb="FFE3D7E5"/>
      <color rgb="FFCCCCFF"/>
      <color rgb="FF002F8E"/>
      <color rgb="FF8238BA"/>
      <color rgb="FF8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RestaurantFastFood</a:t>
            </a:r>
            <a:r>
              <a:rPr lang="en-US" baseline="0"/>
              <a:t> </a:t>
            </a:r>
            <a:r>
              <a:rPr lang="en-US"/>
              <a:t>CalBEM Prototype vs. CEUS 2022</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Usage'!$U$2</c:f>
              <c:strCache>
                <c:ptCount val="1"/>
                <c:pt idx="0">
                  <c:v>Acceptable Range (25% Lower)</c:v>
                </c:pt>
              </c:strCache>
            </c:strRef>
          </c:tx>
          <c:spPr>
            <a:noFill/>
            <a:ln>
              <a:noFill/>
            </a:ln>
            <a:effectLst/>
          </c:spPr>
          <c:invertIfNegative val="0"/>
          <c:val>
            <c:numRef>
              <c:f>'Energy Usage'!$U$3:$U$18</c:f>
              <c:numCache>
                <c:formatCode>0.0</c:formatCode>
                <c:ptCount val="16"/>
                <c:pt idx="0">
                  <c:v>246.45760872702002</c:v>
                </c:pt>
                <c:pt idx="1">
                  <c:v>220.52276347213933</c:v>
                </c:pt>
                <c:pt idx="2">
                  <c:v>224.5108983857213</c:v>
                </c:pt>
                <c:pt idx="3">
                  <c:v>224.18194940063478</c:v>
                </c:pt>
                <c:pt idx="4">
                  <c:v>224.68278436156663</c:v>
                </c:pt>
                <c:pt idx="5">
                  <c:v>243.87767064893626</c:v>
                </c:pt>
                <c:pt idx="6">
                  <c:v>276.14819481777937</c:v>
                </c:pt>
                <c:pt idx="7">
                  <c:v>262.58350973340777</c:v>
                </c:pt>
                <c:pt idx="8">
                  <c:v>247.38313105186069</c:v>
                </c:pt>
                <c:pt idx="9">
                  <c:v>270.75566139567621</c:v>
                </c:pt>
                <c:pt idx="10">
                  <c:v>235.14753442028919</c:v>
                </c:pt>
                <c:pt idx="11">
                  <c:v>252.94664522247081</c:v>
                </c:pt>
                <c:pt idx="12">
                  <c:v>256.58799286800985</c:v>
                </c:pt>
                <c:pt idx="13">
                  <c:v>251.31841996543454</c:v>
                </c:pt>
                <c:pt idx="14">
                  <c:v>299.99140315973068</c:v>
                </c:pt>
                <c:pt idx="15">
                  <c:v>244.72604766701858</c:v>
                </c:pt>
              </c:numCache>
            </c:numRef>
          </c:val>
          <c:extLst>
            <c:ext xmlns:c16="http://schemas.microsoft.com/office/drawing/2014/chart" uri="{C3380CC4-5D6E-409C-BE32-E72D297353CC}">
              <c16:uniqueId val="{00000000-858E-4C7B-A470-667B40492FA6}"/>
            </c:ext>
          </c:extLst>
        </c:ser>
        <c:ser>
          <c:idx val="2"/>
          <c:order val="1"/>
          <c:tx>
            <c:strRef>
              <c:f>'Energy Usage'!$V$2</c:f>
              <c:strCache>
                <c:ptCount val="1"/>
                <c:pt idx="0">
                  <c:v>CEUS 2022 Acceptable EUI Range </c:v>
                </c:pt>
              </c:strCache>
            </c:strRef>
          </c:tx>
          <c:spPr>
            <a:solidFill>
              <a:schemeClr val="accent4">
                <a:lumMod val="40000"/>
                <a:lumOff val="60000"/>
              </a:schemeClr>
            </a:solidFill>
            <a:ln>
              <a:solidFill>
                <a:schemeClr val="accent4">
                  <a:lumMod val="75000"/>
                </a:schemeClr>
              </a:solidFill>
            </a:ln>
            <a:effectLst/>
          </c:spPr>
          <c:invertIfNegative val="0"/>
          <c:val>
            <c:numRef>
              <c:f>'Energy Usage'!$V$3:$V$18</c:f>
              <c:numCache>
                <c:formatCode>0.0</c:formatCode>
                <c:ptCount val="16"/>
                <c:pt idx="0">
                  <c:v>164.30507248468004</c:v>
                </c:pt>
                <c:pt idx="1">
                  <c:v>147.01517564809285</c:v>
                </c:pt>
                <c:pt idx="2">
                  <c:v>149.6739322571475</c:v>
                </c:pt>
                <c:pt idx="3">
                  <c:v>149.45463293375656</c:v>
                </c:pt>
                <c:pt idx="4">
                  <c:v>149.78852290771113</c:v>
                </c:pt>
                <c:pt idx="5">
                  <c:v>162.58511376595754</c:v>
                </c:pt>
                <c:pt idx="6">
                  <c:v>184.09879654518625</c:v>
                </c:pt>
                <c:pt idx="7">
                  <c:v>175.05567315560518</c:v>
                </c:pt>
                <c:pt idx="8">
                  <c:v>164.92208736790712</c:v>
                </c:pt>
                <c:pt idx="9">
                  <c:v>180.50377426378418</c:v>
                </c:pt>
                <c:pt idx="10">
                  <c:v>156.76502294685949</c:v>
                </c:pt>
                <c:pt idx="11">
                  <c:v>168.63109681498054</c:v>
                </c:pt>
                <c:pt idx="12">
                  <c:v>171.05866191200653</c:v>
                </c:pt>
                <c:pt idx="13">
                  <c:v>167.5456133102897</c:v>
                </c:pt>
                <c:pt idx="14">
                  <c:v>199.99426877315375</c:v>
                </c:pt>
                <c:pt idx="15">
                  <c:v>163.15069844467905</c:v>
                </c:pt>
              </c:numCache>
            </c:numRef>
          </c:val>
          <c:extLst>
            <c:ext xmlns:c16="http://schemas.microsoft.com/office/drawing/2014/chart" uri="{C3380CC4-5D6E-409C-BE32-E72D297353CC}">
              <c16:uniqueId val="{00000001-858E-4C7B-A470-667B40492FA6}"/>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c:formatCode>
                <c:ptCount val="16"/>
              </c:numCache>
            </c:numRef>
          </c:yVal>
          <c:smooth val="0"/>
          <c:extLst>
            <c:ext xmlns:c16="http://schemas.microsoft.com/office/drawing/2014/chart" uri="{C3380CC4-5D6E-409C-BE32-E72D297353CC}">
              <c16:uniqueId val="{00000002-858E-4C7B-A470-667B40492FA6}"/>
            </c:ext>
          </c:extLst>
        </c:ser>
        <c:ser>
          <c:idx val="3"/>
          <c:order val="3"/>
          <c:tx>
            <c:strRef>
              <c:f>'Energy Usage'!$H$2</c:f>
              <c:strCache>
                <c:ptCount val="1"/>
                <c:pt idx="0">
                  <c:v>New Construction  Total EUI (KBTU/ft²)</c:v>
                </c:pt>
              </c:strCache>
            </c:strRef>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0.0</c:formatCode>
                <c:ptCount val="16"/>
              </c:numCache>
            </c:numRef>
          </c:yVal>
          <c:smooth val="0"/>
          <c:extLst>
            <c:ext xmlns:c16="http://schemas.microsoft.com/office/drawing/2014/chart" uri="{C3380CC4-5D6E-409C-BE32-E72D297353CC}">
              <c16:uniqueId val="{00000003-858E-4C7B-A470-667B40492FA6}"/>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ax val="60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majorUnit val="10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RestaurantFastFood CalBEM Prototype vs. National Average</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Usage'!$K$2</c:f>
              <c:strCache>
                <c:ptCount val="1"/>
                <c:pt idx="0">
                  <c:v>Acceptable Range (25% Lower)</c:v>
                </c:pt>
              </c:strCache>
            </c:strRef>
          </c:tx>
          <c:spPr>
            <a:noFill/>
            <a:ln>
              <a:noFill/>
            </a:ln>
            <a:effectLst/>
          </c:spPr>
          <c:invertIfNegative val="0"/>
          <c:val>
            <c:numRef>
              <c:f>'Energy Usage'!$K$3:$K$18</c:f>
              <c:numCache>
                <c:formatCode>General</c:formatCode>
                <c:ptCount val="16"/>
                <c:pt idx="0">
                  <c:v>331.95000000000005</c:v>
                </c:pt>
                <c:pt idx="1">
                  <c:v>331.95000000000005</c:v>
                </c:pt>
                <c:pt idx="2">
                  <c:v>331.95000000000005</c:v>
                </c:pt>
                <c:pt idx="3">
                  <c:v>331.95000000000005</c:v>
                </c:pt>
                <c:pt idx="4">
                  <c:v>331.95000000000005</c:v>
                </c:pt>
                <c:pt idx="5">
                  <c:v>331.95000000000005</c:v>
                </c:pt>
                <c:pt idx="6">
                  <c:v>331.95000000000005</c:v>
                </c:pt>
                <c:pt idx="7">
                  <c:v>331.95000000000005</c:v>
                </c:pt>
                <c:pt idx="8">
                  <c:v>331.95000000000005</c:v>
                </c:pt>
                <c:pt idx="9">
                  <c:v>331.95000000000005</c:v>
                </c:pt>
                <c:pt idx="10">
                  <c:v>331.95000000000005</c:v>
                </c:pt>
                <c:pt idx="11">
                  <c:v>331.95000000000005</c:v>
                </c:pt>
                <c:pt idx="12">
                  <c:v>331.95000000000005</c:v>
                </c:pt>
                <c:pt idx="13">
                  <c:v>331.95000000000005</c:v>
                </c:pt>
                <c:pt idx="14">
                  <c:v>331.95000000000005</c:v>
                </c:pt>
                <c:pt idx="15">
                  <c:v>331.95000000000005</c:v>
                </c:pt>
              </c:numCache>
            </c:numRef>
          </c:val>
          <c:extLst>
            <c:ext xmlns:c16="http://schemas.microsoft.com/office/drawing/2014/chart" uri="{C3380CC4-5D6E-409C-BE32-E72D297353CC}">
              <c16:uniqueId val="{00000000-0A43-4978-ACB4-6DC038DA3856}"/>
            </c:ext>
          </c:extLst>
        </c:ser>
        <c:ser>
          <c:idx val="2"/>
          <c:order val="1"/>
          <c:tx>
            <c:strRef>
              <c:f>'Energy Usage'!$L$2</c:f>
              <c:strCache>
                <c:ptCount val="1"/>
                <c:pt idx="0">
                  <c:v>National Average Acceptable EUI Range</c:v>
                </c:pt>
              </c:strCache>
            </c:strRef>
          </c:tx>
          <c:spPr>
            <a:solidFill>
              <a:srgbClr val="CCCCFF"/>
            </a:solidFill>
            <a:ln>
              <a:solidFill>
                <a:srgbClr val="8238BA"/>
              </a:solidFill>
            </a:ln>
            <a:effectLst/>
          </c:spPr>
          <c:invertIfNegative val="0"/>
          <c:val>
            <c:numRef>
              <c:f>'Energy Usage'!$L$3:$L$18</c:f>
              <c:numCache>
                <c:formatCode>0.0</c:formatCode>
                <c:ptCount val="16"/>
                <c:pt idx="0">
                  <c:v>221.29999999999995</c:v>
                </c:pt>
                <c:pt idx="1">
                  <c:v>221.29999999999995</c:v>
                </c:pt>
                <c:pt idx="2">
                  <c:v>221.29999999999995</c:v>
                </c:pt>
                <c:pt idx="3">
                  <c:v>221.29999999999995</c:v>
                </c:pt>
                <c:pt idx="4">
                  <c:v>221.29999999999995</c:v>
                </c:pt>
                <c:pt idx="5">
                  <c:v>221.29999999999995</c:v>
                </c:pt>
                <c:pt idx="6">
                  <c:v>221.29999999999995</c:v>
                </c:pt>
                <c:pt idx="7">
                  <c:v>221.29999999999995</c:v>
                </c:pt>
                <c:pt idx="8">
                  <c:v>221.29999999999995</c:v>
                </c:pt>
                <c:pt idx="9">
                  <c:v>221.29999999999995</c:v>
                </c:pt>
                <c:pt idx="10">
                  <c:v>221.29999999999995</c:v>
                </c:pt>
                <c:pt idx="11">
                  <c:v>221.29999999999995</c:v>
                </c:pt>
                <c:pt idx="12">
                  <c:v>221.29999999999995</c:v>
                </c:pt>
                <c:pt idx="13">
                  <c:v>221.29999999999995</c:v>
                </c:pt>
                <c:pt idx="14">
                  <c:v>221.29999999999995</c:v>
                </c:pt>
                <c:pt idx="15">
                  <c:v>221.29999999999995</c:v>
                </c:pt>
              </c:numCache>
            </c:numRef>
          </c:val>
          <c:extLst>
            <c:ext xmlns:c16="http://schemas.microsoft.com/office/drawing/2014/chart" uri="{C3380CC4-5D6E-409C-BE32-E72D297353CC}">
              <c16:uniqueId val="{00000001-0A43-4978-ACB4-6DC038DA3856}"/>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c:formatCode>
                <c:ptCount val="16"/>
              </c:numCache>
            </c:numRef>
          </c:yVal>
          <c:smooth val="0"/>
          <c:extLst>
            <c:ext xmlns:c16="http://schemas.microsoft.com/office/drawing/2014/chart" uri="{C3380CC4-5D6E-409C-BE32-E72D297353CC}">
              <c16:uniqueId val="{00000002-0A43-4978-ACB4-6DC038DA3856}"/>
            </c:ext>
          </c:extLst>
        </c:ser>
        <c:ser>
          <c:idx val="3"/>
          <c:order val="3"/>
          <c:tx>
            <c:strRef>
              <c:f>'Energy Usage'!$H$2</c:f>
              <c:strCache>
                <c:ptCount val="1"/>
                <c:pt idx="0">
                  <c:v>New Construction  Total EUI (KBTU/ft²)</c:v>
                </c:pt>
              </c:strCache>
            </c:strRef>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0.0</c:formatCode>
                <c:ptCount val="16"/>
              </c:numCache>
            </c:numRef>
          </c:yVal>
          <c:smooth val="0"/>
          <c:extLst>
            <c:ext xmlns:c16="http://schemas.microsoft.com/office/drawing/2014/chart" uri="{C3380CC4-5D6E-409C-BE32-E72D297353CC}">
              <c16:uniqueId val="{00000003-0A43-4978-ACB4-6DC038DA3856}"/>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ax val="60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majorUnit val="10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Schedules!$F$7:$AC$7</c:f>
              <c:numCache>
                <c:formatCode>0.00</c:formatCode>
                <c:ptCount val="24"/>
                <c:pt idx="0">
                  <c:v>0.15</c:v>
                </c:pt>
                <c:pt idx="1">
                  <c:v>0.15</c:v>
                </c:pt>
                <c:pt idx="2">
                  <c:v>0.15</c:v>
                </c:pt>
                <c:pt idx="3">
                  <c:v>0.15</c:v>
                </c:pt>
                <c:pt idx="4">
                  <c:v>0.15</c:v>
                </c:pt>
                <c:pt idx="5">
                  <c:v>0.2</c:v>
                </c:pt>
                <c:pt idx="6">
                  <c:v>0.3</c:v>
                </c:pt>
                <c:pt idx="7">
                  <c:v>0.66999999999999993</c:v>
                </c:pt>
                <c:pt idx="8">
                  <c:v>0.73</c:v>
                </c:pt>
                <c:pt idx="9">
                  <c:v>0.75</c:v>
                </c:pt>
                <c:pt idx="10">
                  <c:v>0.85</c:v>
                </c:pt>
                <c:pt idx="11">
                  <c:v>0.85</c:v>
                </c:pt>
                <c:pt idx="12">
                  <c:v>0.85</c:v>
                </c:pt>
                <c:pt idx="13">
                  <c:v>0.83</c:v>
                </c:pt>
                <c:pt idx="14">
                  <c:v>0.72</c:v>
                </c:pt>
                <c:pt idx="15">
                  <c:v>0.64999999999999991</c:v>
                </c:pt>
                <c:pt idx="16">
                  <c:v>0.66999999999999993</c:v>
                </c:pt>
                <c:pt idx="17">
                  <c:v>0.75</c:v>
                </c:pt>
                <c:pt idx="18">
                  <c:v>0.85</c:v>
                </c:pt>
                <c:pt idx="19">
                  <c:v>0.85</c:v>
                </c:pt>
                <c:pt idx="20">
                  <c:v>0.85</c:v>
                </c:pt>
                <c:pt idx="21">
                  <c:v>0.75</c:v>
                </c:pt>
                <c:pt idx="22">
                  <c:v>0.56999999999999995</c:v>
                </c:pt>
                <c:pt idx="23">
                  <c:v>0.3</c:v>
                </c:pt>
              </c:numCache>
            </c:numRef>
          </c:val>
          <c:smooth val="0"/>
          <c:extLst>
            <c:ext xmlns:c16="http://schemas.microsoft.com/office/drawing/2014/chart" uri="{C3380CC4-5D6E-409C-BE32-E72D297353CC}">
              <c16:uniqueId val="{00000000-2801-4868-A297-9CE8C024DA05}"/>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Schedules!$F$8:$AC$8</c:f>
              <c:numCache>
                <c:formatCode>0.00</c:formatCode>
                <c:ptCount val="24"/>
                <c:pt idx="0">
                  <c:v>0.15</c:v>
                </c:pt>
                <c:pt idx="1">
                  <c:v>0.15</c:v>
                </c:pt>
                <c:pt idx="2">
                  <c:v>0.15</c:v>
                </c:pt>
                <c:pt idx="3">
                  <c:v>0.15</c:v>
                </c:pt>
                <c:pt idx="4">
                  <c:v>0.15</c:v>
                </c:pt>
                <c:pt idx="5">
                  <c:v>0.2</c:v>
                </c:pt>
                <c:pt idx="6">
                  <c:v>0.3</c:v>
                </c:pt>
                <c:pt idx="7">
                  <c:v>0.66999999999999993</c:v>
                </c:pt>
                <c:pt idx="8">
                  <c:v>0.73</c:v>
                </c:pt>
                <c:pt idx="9">
                  <c:v>0.75</c:v>
                </c:pt>
                <c:pt idx="10">
                  <c:v>0.85</c:v>
                </c:pt>
                <c:pt idx="11">
                  <c:v>0.85</c:v>
                </c:pt>
                <c:pt idx="12">
                  <c:v>0.85</c:v>
                </c:pt>
                <c:pt idx="13">
                  <c:v>0.83</c:v>
                </c:pt>
                <c:pt idx="14">
                  <c:v>0.72</c:v>
                </c:pt>
                <c:pt idx="15">
                  <c:v>0.64999999999999991</c:v>
                </c:pt>
                <c:pt idx="16">
                  <c:v>0.66999999999999993</c:v>
                </c:pt>
                <c:pt idx="17">
                  <c:v>0.75</c:v>
                </c:pt>
                <c:pt idx="18">
                  <c:v>0.85</c:v>
                </c:pt>
                <c:pt idx="19">
                  <c:v>0.85</c:v>
                </c:pt>
                <c:pt idx="20">
                  <c:v>0.85</c:v>
                </c:pt>
                <c:pt idx="21">
                  <c:v>0.75</c:v>
                </c:pt>
                <c:pt idx="22">
                  <c:v>0.56999999999999995</c:v>
                </c:pt>
                <c:pt idx="23">
                  <c:v>0.3</c:v>
                </c:pt>
              </c:numCache>
            </c:numRef>
          </c:val>
          <c:smooth val="0"/>
          <c:extLst>
            <c:ext xmlns:c16="http://schemas.microsoft.com/office/drawing/2014/chart" uri="{C3380CC4-5D6E-409C-BE32-E72D297353CC}">
              <c16:uniqueId val="{00000001-2801-4868-A297-9CE8C024DA05}"/>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Schedules!$F$9:$AC$9</c:f>
              <c:numCache>
                <c:formatCode>0.00</c:formatCode>
                <c:ptCount val="24"/>
                <c:pt idx="0">
                  <c:v>0.2</c:v>
                </c:pt>
                <c:pt idx="1">
                  <c:v>0.15</c:v>
                </c:pt>
                <c:pt idx="2">
                  <c:v>0.15</c:v>
                </c:pt>
                <c:pt idx="3">
                  <c:v>0.15</c:v>
                </c:pt>
                <c:pt idx="4">
                  <c:v>0.15</c:v>
                </c:pt>
                <c:pt idx="5">
                  <c:v>0.15</c:v>
                </c:pt>
                <c:pt idx="6">
                  <c:v>0.3</c:v>
                </c:pt>
                <c:pt idx="7">
                  <c:v>0.66999999999999993</c:v>
                </c:pt>
                <c:pt idx="8">
                  <c:v>0.73</c:v>
                </c:pt>
                <c:pt idx="9">
                  <c:v>0.75</c:v>
                </c:pt>
                <c:pt idx="10">
                  <c:v>0.85</c:v>
                </c:pt>
                <c:pt idx="11">
                  <c:v>0.85</c:v>
                </c:pt>
                <c:pt idx="12">
                  <c:v>0.85</c:v>
                </c:pt>
                <c:pt idx="13">
                  <c:v>0.83</c:v>
                </c:pt>
                <c:pt idx="14">
                  <c:v>0.72</c:v>
                </c:pt>
                <c:pt idx="15">
                  <c:v>0.64999999999999991</c:v>
                </c:pt>
                <c:pt idx="16">
                  <c:v>0.66999999999999993</c:v>
                </c:pt>
                <c:pt idx="17">
                  <c:v>0.75</c:v>
                </c:pt>
                <c:pt idx="18">
                  <c:v>0.85</c:v>
                </c:pt>
                <c:pt idx="19">
                  <c:v>0.85</c:v>
                </c:pt>
                <c:pt idx="20">
                  <c:v>0.85</c:v>
                </c:pt>
                <c:pt idx="21">
                  <c:v>0.75</c:v>
                </c:pt>
                <c:pt idx="22">
                  <c:v>0.56999999999999995</c:v>
                </c:pt>
                <c:pt idx="23">
                  <c:v>0.3</c:v>
                </c:pt>
              </c:numCache>
            </c:numRef>
          </c:val>
          <c:smooth val="0"/>
          <c:extLst>
            <c:ext xmlns:c16="http://schemas.microsoft.com/office/drawing/2014/chart" uri="{C3380CC4-5D6E-409C-BE32-E72D297353CC}">
              <c16:uniqueId val="{00000002-2801-4868-A297-9CE8C024DA05}"/>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Schedules!$C$10</c:f>
          <c:strCache>
            <c:ptCount val="1"/>
            <c:pt idx="0">
              <c:v>ElecEquipment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Schedules!$F$10:$AC$10</c:f>
              <c:numCache>
                <c:formatCode>0.00</c:formatCode>
                <c:ptCount val="24"/>
                <c:pt idx="0">
                  <c:v>0.15</c:v>
                </c:pt>
                <c:pt idx="1">
                  <c:v>0.15</c:v>
                </c:pt>
                <c:pt idx="2">
                  <c:v>0.15</c:v>
                </c:pt>
                <c:pt idx="3">
                  <c:v>0.15</c:v>
                </c:pt>
                <c:pt idx="4">
                  <c:v>0.15</c:v>
                </c:pt>
                <c:pt idx="5">
                  <c:v>0.2</c:v>
                </c:pt>
                <c:pt idx="6">
                  <c:v>0.3</c:v>
                </c:pt>
                <c:pt idx="7">
                  <c:v>0.72</c:v>
                </c:pt>
                <c:pt idx="8">
                  <c:v>0.78</c:v>
                </c:pt>
                <c:pt idx="9">
                  <c:v>0.8</c:v>
                </c:pt>
                <c:pt idx="10">
                  <c:v>0.9</c:v>
                </c:pt>
                <c:pt idx="11">
                  <c:v>0.9</c:v>
                </c:pt>
                <c:pt idx="12">
                  <c:v>0.9</c:v>
                </c:pt>
                <c:pt idx="13">
                  <c:v>0.88</c:v>
                </c:pt>
                <c:pt idx="14">
                  <c:v>0.77</c:v>
                </c:pt>
                <c:pt idx="15">
                  <c:v>0.7</c:v>
                </c:pt>
                <c:pt idx="16">
                  <c:v>0.72</c:v>
                </c:pt>
                <c:pt idx="17">
                  <c:v>0.8</c:v>
                </c:pt>
                <c:pt idx="18">
                  <c:v>0.9</c:v>
                </c:pt>
                <c:pt idx="19">
                  <c:v>0.9</c:v>
                </c:pt>
                <c:pt idx="20">
                  <c:v>0.9</c:v>
                </c:pt>
                <c:pt idx="21">
                  <c:v>0.8</c:v>
                </c:pt>
                <c:pt idx="22">
                  <c:v>0.62</c:v>
                </c:pt>
                <c:pt idx="23">
                  <c:v>0.3</c:v>
                </c:pt>
              </c:numCache>
            </c:numRef>
          </c:val>
          <c:smooth val="0"/>
          <c:extLst>
            <c:ext xmlns:c16="http://schemas.microsoft.com/office/drawing/2014/chart" uri="{C3380CC4-5D6E-409C-BE32-E72D297353CC}">
              <c16:uniqueId val="{00000000-0748-4F4D-90B3-3FD2F8F642B0}"/>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Schedules!$F$11:$AC$11</c:f>
              <c:numCache>
                <c:formatCode>0.00</c:formatCode>
                <c:ptCount val="24"/>
                <c:pt idx="0">
                  <c:v>0.15</c:v>
                </c:pt>
                <c:pt idx="1">
                  <c:v>0.15</c:v>
                </c:pt>
                <c:pt idx="2">
                  <c:v>0.15</c:v>
                </c:pt>
                <c:pt idx="3">
                  <c:v>0.15</c:v>
                </c:pt>
                <c:pt idx="4">
                  <c:v>0.15</c:v>
                </c:pt>
                <c:pt idx="5">
                  <c:v>0.2</c:v>
                </c:pt>
                <c:pt idx="6">
                  <c:v>0.3</c:v>
                </c:pt>
                <c:pt idx="7">
                  <c:v>0.72</c:v>
                </c:pt>
                <c:pt idx="8">
                  <c:v>0.78</c:v>
                </c:pt>
                <c:pt idx="9">
                  <c:v>0.8</c:v>
                </c:pt>
                <c:pt idx="10">
                  <c:v>0.9</c:v>
                </c:pt>
                <c:pt idx="11">
                  <c:v>0.9</c:v>
                </c:pt>
                <c:pt idx="12">
                  <c:v>0.9</c:v>
                </c:pt>
                <c:pt idx="13">
                  <c:v>0.88</c:v>
                </c:pt>
                <c:pt idx="14">
                  <c:v>0.77</c:v>
                </c:pt>
                <c:pt idx="15">
                  <c:v>0.7</c:v>
                </c:pt>
                <c:pt idx="16">
                  <c:v>0.72</c:v>
                </c:pt>
                <c:pt idx="17">
                  <c:v>0.8</c:v>
                </c:pt>
                <c:pt idx="18">
                  <c:v>0.9</c:v>
                </c:pt>
                <c:pt idx="19">
                  <c:v>0.9</c:v>
                </c:pt>
                <c:pt idx="20">
                  <c:v>0.9</c:v>
                </c:pt>
                <c:pt idx="21">
                  <c:v>0.8</c:v>
                </c:pt>
                <c:pt idx="22">
                  <c:v>0.62</c:v>
                </c:pt>
                <c:pt idx="23">
                  <c:v>0.3</c:v>
                </c:pt>
              </c:numCache>
            </c:numRef>
          </c:val>
          <c:smooth val="0"/>
          <c:extLst>
            <c:ext xmlns:c16="http://schemas.microsoft.com/office/drawing/2014/chart" uri="{C3380CC4-5D6E-409C-BE32-E72D297353CC}">
              <c16:uniqueId val="{00000001-0748-4F4D-90B3-3FD2F8F642B0}"/>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Schedules!$F$12:$AC$12</c:f>
              <c:numCache>
                <c:formatCode>0.00</c:formatCode>
                <c:ptCount val="24"/>
                <c:pt idx="0">
                  <c:v>0.2</c:v>
                </c:pt>
                <c:pt idx="1">
                  <c:v>0.15</c:v>
                </c:pt>
                <c:pt idx="2">
                  <c:v>0.15</c:v>
                </c:pt>
                <c:pt idx="3">
                  <c:v>0.15</c:v>
                </c:pt>
                <c:pt idx="4">
                  <c:v>0.15</c:v>
                </c:pt>
                <c:pt idx="5">
                  <c:v>0.15</c:v>
                </c:pt>
                <c:pt idx="6">
                  <c:v>0.3</c:v>
                </c:pt>
                <c:pt idx="7">
                  <c:v>0.72</c:v>
                </c:pt>
                <c:pt idx="8">
                  <c:v>0.78</c:v>
                </c:pt>
                <c:pt idx="9">
                  <c:v>0.8</c:v>
                </c:pt>
                <c:pt idx="10">
                  <c:v>0.9</c:v>
                </c:pt>
                <c:pt idx="11">
                  <c:v>0.9</c:v>
                </c:pt>
                <c:pt idx="12">
                  <c:v>0.9</c:v>
                </c:pt>
                <c:pt idx="13">
                  <c:v>0.88</c:v>
                </c:pt>
                <c:pt idx="14">
                  <c:v>0.77</c:v>
                </c:pt>
                <c:pt idx="15">
                  <c:v>0.7</c:v>
                </c:pt>
                <c:pt idx="16">
                  <c:v>0.72</c:v>
                </c:pt>
                <c:pt idx="17">
                  <c:v>0.8</c:v>
                </c:pt>
                <c:pt idx="18">
                  <c:v>0.9</c:v>
                </c:pt>
                <c:pt idx="19">
                  <c:v>0.9</c:v>
                </c:pt>
                <c:pt idx="20">
                  <c:v>0.9</c:v>
                </c:pt>
                <c:pt idx="21">
                  <c:v>0.8</c:v>
                </c:pt>
                <c:pt idx="22">
                  <c:v>0.62</c:v>
                </c:pt>
                <c:pt idx="23">
                  <c:v>0.3</c:v>
                </c:pt>
              </c:numCache>
            </c:numRef>
          </c:val>
          <c:smooth val="0"/>
          <c:extLst>
            <c:ext xmlns:c16="http://schemas.microsoft.com/office/drawing/2014/chart" uri="{C3380CC4-5D6E-409C-BE32-E72D297353CC}">
              <c16:uniqueId val="{00000002-0748-4F4D-90B3-3FD2F8F642B0}"/>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Schedules!$C$35</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Schedules!$E$35</c:f>
              <c:strCache>
                <c:ptCount val="1"/>
                <c:pt idx="0">
                  <c:v>Weekday</c:v>
                </c:pt>
              </c:strCache>
            </c:strRef>
          </c:tx>
          <c:spPr>
            <a:ln w="28575" cap="rnd">
              <a:solidFill>
                <a:schemeClr val="accent1"/>
              </a:solidFill>
              <a:round/>
            </a:ln>
            <a:effectLst/>
          </c:spPr>
          <c:marker>
            <c:symbol val="none"/>
          </c:marker>
          <c:val>
            <c:numRef>
              <c:f>Schedules!$F$35:$AC$35</c:f>
              <c:numCache>
                <c:formatCode>0.00</c:formatCode>
                <c:ptCount val="24"/>
                <c:pt idx="0">
                  <c:v>0.15</c:v>
                </c:pt>
                <c:pt idx="1">
                  <c:v>0.15</c:v>
                </c:pt>
                <c:pt idx="2">
                  <c:v>0.15</c:v>
                </c:pt>
                <c:pt idx="3">
                  <c:v>0.15</c:v>
                </c:pt>
                <c:pt idx="4">
                  <c:v>0.15</c:v>
                </c:pt>
                <c:pt idx="5">
                  <c:v>0.2</c:v>
                </c:pt>
                <c:pt idx="6">
                  <c:v>0.3</c:v>
                </c:pt>
                <c:pt idx="7">
                  <c:v>0.66999999999999993</c:v>
                </c:pt>
                <c:pt idx="8">
                  <c:v>0.73</c:v>
                </c:pt>
                <c:pt idx="9">
                  <c:v>0.75</c:v>
                </c:pt>
                <c:pt idx="10">
                  <c:v>0.85</c:v>
                </c:pt>
                <c:pt idx="11">
                  <c:v>0.85</c:v>
                </c:pt>
                <c:pt idx="12">
                  <c:v>0.85</c:v>
                </c:pt>
                <c:pt idx="13">
                  <c:v>0.83</c:v>
                </c:pt>
                <c:pt idx="14">
                  <c:v>0.72</c:v>
                </c:pt>
                <c:pt idx="15">
                  <c:v>0.64999999999999991</c:v>
                </c:pt>
                <c:pt idx="16">
                  <c:v>0.66999999999999993</c:v>
                </c:pt>
                <c:pt idx="17">
                  <c:v>0.75</c:v>
                </c:pt>
                <c:pt idx="18">
                  <c:v>0.85</c:v>
                </c:pt>
                <c:pt idx="19">
                  <c:v>0.85</c:v>
                </c:pt>
                <c:pt idx="20">
                  <c:v>0.85</c:v>
                </c:pt>
                <c:pt idx="21">
                  <c:v>0.75</c:v>
                </c:pt>
                <c:pt idx="22">
                  <c:v>0.56999999999999995</c:v>
                </c:pt>
                <c:pt idx="23">
                  <c:v>0.3</c:v>
                </c:pt>
              </c:numCache>
            </c:numRef>
          </c:val>
          <c:smooth val="0"/>
          <c:extLst>
            <c:ext xmlns:c16="http://schemas.microsoft.com/office/drawing/2014/chart" uri="{C3380CC4-5D6E-409C-BE32-E72D297353CC}">
              <c16:uniqueId val="{00000000-CDA0-47AB-BB9C-56C2B9BA9FF5}"/>
            </c:ext>
          </c:extLst>
        </c:ser>
        <c:ser>
          <c:idx val="1"/>
          <c:order val="1"/>
          <c:tx>
            <c:strRef>
              <c:f>Schedules!$E$36</c:f>
              <c:strCache>
                <c:ptCount val="1"/>
                <c:pt idx="0">
                  <c:v>Saturday</c:v>
                </c:pt>
              </c:strCache>
            </c:strRef>
          </c:tx>
          <c:spPr>
            <a:ln w="28575" cap="rnd">
              <a:solidFill>
                <a:schemeClr val="accent2"/>
              </a:solidFill>
              <a:round/>
            </a:ln>
            <a:effectLst/>
          </c:spPr>
          <c:marker>
            <c:symbol val="none"/>
          </c:marker>
          <c:val>
            <c:numRef>
              <c:f>Schedules!$F$36:$AC$36</c:f>
              <c:numCache>
                <c:formatCode>0.00</c:formatCode>
                <c:ptCount val="24"/>
                <c:pt idx="0">
                  <c:v>0.15</c:v>
                </c:pt>
                <c:pt idx="1">
                  <c:v>0.15</c:v>
                </c:pt>
                <c:pt idx="2">
                  <c:v>0.15</c:v>
                </c:pt>
                <c:pt idx="3">
                  <c:v>0.15</c:v>
                </c:pt>
                <c:pt idx="4">
                  <c:v>0.15</c:v>
                </c:pt>
                <c:pt idx="5">
                  <c:v>0.2</c:v>
                </c:pt>
                <c:pt idx="6">
                  <c:v>0.3</c:v>
                </c:pt>
                <c:pt idx="7">
                  <c:v>0.66999999999999993</c:v>
                </c:pt>
                <c:pt idx="8">
                  <c:v>0.73</c:v>
                </c:pt>
                <c:pt idx="9">
                  <c:v>0.75</c:v>
                </c:pt>
                <c:pt idx="10">
                  <c:v>0.85</c:v>
                </c:pt>
                <c:pt idx="11">
                  <c:v>0.85</c:v>
                </c:pt>
                <c:pt idx="12">
                  <c:v>0.85</c:v>
                </c:pt>
                <c:pt idx="13">
                  <c:v>0.83</c:v>
                </c:pt>
                <c:pt idx="14">
                  <c:v>0.72</c:v>
                </c:pt>
                <c:pt idx="15">
                  <c:v>0.64999999999999991</c:v>
                </c:pt>
                <c:pt idx="16">
                  <c:v>0.66999999999999993</c:v>
                </c:pt>
                <c:pt idx="17">
                  <c:v>0.75</c:v>
                </c:pt>
                <c:pt idx="18">
                  <c:v>0.85</c:v>
                </c:pt>
                <c:pt idx="19">
                  <c:v>0.85</c:v>
                </c:pt>
                <c:pt idx="20">
                  <c:v>0.85</c:v>
                </c:pt>
                <c:pt idx="21">
                  <c:v>0.75</c:v>
                </c:pt>
                <c:pt idx="22">
                  <c:v>0.56999999999999995</c:v>
                </c:pt>
                <c:pt idx="23">
                  <c:v>0.3</c:v>
                </c:pt>
              </c:numCache>
            </c:numRef>
          </c:val>
          <c:smooth val="0"/>
          <c:extLst>
            <c:ext xmlns:c16="http://schemas.microsoft.com/office/drawing/2014/chart" uri="{C3380CC4-5D6E-409C-BE32-E72D297353CC}">
              <c16:uniqueId val="{00000001-CDA0-47AB-BB9C-56C2B9BA9FF5}"/>
            </c:ext>
          </c:extLst>
        </c:ser>
        <c:ser>
          <c:idx val="2"/>
          <c:order val="2"/>
          <c:tx>
            <c:strRef>
              <c:f>Schedules!$E$37</c:f>
              <c:strCache>
                <c:ptCount val="1"/>
                <c:pt idx="0">
                  <c:v>Sunday</c:v>
                </c:pt>
              </c:strCache>
            </c:strRef>
          </c:tx>
          <c:spPr>
            <a:ln w="28575" cap="rnd">
              <a:solidFill>
                <a:schemeClr val="accent3"/>
              </a:solidFill>
              <a:round/>
            </a:ln>
            <a:effectLst/>
          </c:spPr>
          <c:marker>
            <c:symbol val="none"/>
          </c:marker>
          <c:val>
            <c:numRef>
              <c:f>Schedules!$F$37:$AC$37</c:f>
              <c:numCache>
                <c:formatCode>0.00</c:formatCode>
                <c:ptCount val="24"/>
                <c:pt idx="0">
                  <c:v>0.2</c:v>
                </c:pt>
                <c:pt idx="1">
                  <c:v>0.15</c:v>
                </c:pt>
                <c:pt idx="2">
                  <c:v>0.15</c:v>
                </c:pt>
                <c:pt idx="3">
                  <c:v>0.15</c:v>
                </c:pt>
                <c:pt idx="4">
                  <c:v>0.15</c:v>
                </c:pt>
                <c:pt idx="5">
                  <c:v>0.15</c:v>
                </c:pt>
                <c:pt idx="6">
                  <c:v>0.3</c:v>
                </c:pt>
                <c:pt idx="7">
                  <c:v>0.66999999999999993</c:v>
                </c:pt>
                <c:pt idx="8">
                  <c:v>0.73</c:v>
                </c:pt>
                <c:pt idx="9">
                  <c:v>0.75</c:v>
                </c:pt>
                <c:pt idx="10">
                  <c:v>0.85</c:v>
                </c:pt>
                <c:pt idx="11">
                  <c:v>0.85</c:v>
                </c:pt>
                <c:pt idx="12">
                  <c:v>0.85</c:v>
                </c:pt>
                <c:pt idx="13">
                  <c:v>0.83</c:v>
                </c:pt>
                <c:pt idx="14">
                  <c:v>0.72</c:v>
                </c:pt>
                <c:pt idx="15">
                  <c:v>0.64999999999999991</c:v>
                </c:pt>
                <c:pt idx="16">
                  <c:v>0.66999999999999993</c:v>
                </c:pt>
                <c:pt idx="17">
                  <c:v>0.75</c:v>
                </c:pt>
                <c:pt idx="18">
                  <c:v>0.85</c:v>
                </c:pt>
                <c:pt idx="19">
                  <c:v>0.85</c:v>
                </c:pt>
                <c:pt idx="20">
                  <c:v>0.85</c:v>
                </c:pt>
                <c:pt idx="21">
                  <c:v>0.75</c:v>
                </c:pt>
                <c:pt idx="22">
                  <c:v>0.56999999999999995</c:v>
                </c:pt>
                <c:pt idx="23">
                  <c:v>0.3</c:v>
                </c:pt>
              </c:numCache>
            </c:numRef>
          </c:val>
          <c:smooth val="0"/>
          <c:extLst>
            <c:ext xmlns:c16="http://schemas.microsoft.com/office/drawing/2014/chart" uri="{C3380CC4-5D6E-409C-BE32-E72D297353CC}">
              <c16:uniqueId val="{00000002-CDA0-47AB-BB9C-56C2B9BA9FF5}"/>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Schedules!$C$19</c:f>
          <c:strCache>
            <c:ptCount val="1"/>
            <c:pt idx="0">
              <c:v>Infiltration</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Schedules!$E$19</c:f>
              <c:strCache>
                <c:ptCount val="1"/>
                <c:pt idx="0">
                  <c:v>Weekday</c:v>
                </c:pt>
              </c:strCache>
            </c:strRef>
          </c:tx>
          <c:spPr>
            <a:ln w="28575" cap="rnd">
              <a:solidFill>
                <a:schemeClr val="accent1"/>
              </a:solidFill>
              <a:round/>
            </a:ln>
            <a:effectLst/>
          </c:spPr>
          <c:marker>
            <c:symbol val="none"/>
          </c:marker>
          <c:val>
            <c:numRef>
              <c:f>Schedules!$F$19:$AC$19</c:f>
              <c:numCache>
                <c:formatCode>0.00</c:formatCode>
                <c:ptCount val="24"/>
                <c:pt idx="0">
                  <c:v>0.25</c:v>
                </c:pt>
                <c:pt idx="1">
                  <c:v>0</c:v>
                </c:pt>
                <c:pt idx="2">
                  <c:v>0</c:v>
                </c:pt>
                <c:pt idx="3">
                  <c:v>1</c:v>
                </c:pt>
                <c:pt idx="4">
                  <c:v>0.25</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0-A267-4E1F-92B5-F569B6561890}"/>
            </c:ext>
          </c:extLst>
        </c:ser>
        <c:ser>
          <c:idx val="1"/>
          <c:order val="1"/>
          <c:tx>
            <c:strRef>
              <c:f>Schedules!$E$20</c:f>
              <c:strCache>
                <c:ptCount val="1"/>
                <c:pt idx="0">
                  <c:v>Saturday</c:v>
                </c:pt>
              </c:strCache>
            </c:strRef>
          </c:tx>
          <c:spPr>
            <a:ln w="28575" cap="rnd">
              <a:solidFill>
                <a:schemeClr val="accent2"/>
              </a:solidFill>
              <a:round/>
            </a:ln>
            <a:effectLst/>
          </c:spPr>
          <c:marker>
            <c:symbol val="none"/>
          </c:marker>
          <c:val>
            <c:numRef>
              <c:f>Schedules!$F$20:$AC$20</c:f>
              <c:numCache>
                <c:formatCode>0.00</c:formatCode>
                <c:ptCount val="24"/>
                <c:pt idx="0">
                  <c:v>0.25</c:v>
                </c:pt>
                <c:pt idx="1">
                  <c:v>0</c:v>
                </c:pt>
                <c:pt idx="2">
                  <c:v>0</c:v>
                </c:pt>
                <c:pt idx="3">
                  <c:v>1</c:v>
                </c:pt>
                <c:pt idx="4">
                  <c:v>1</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1-A267-4E1F-92B5-F569B6561890}"/>
            </c:ext>
          </c:extLst>
        </c:ser>
        <c:ser>
          <c:idx val="2"/>
          <c:order val="2"/>
          <c:tx>
            <c:strRef>
              <c:f>Schedules!$E$21</c:f>
              <c:strCache>
                <c:ptCount val="1"/>
                <c:pt idx="0">
                  <c:v>Sunday</c:v>
                </c:pt>
              </c:strCache>
            </c:strRef>
          </c:tx>
          <c:spPr>
            <a:ln w="28575" cap="rnd">
              <a:solidFill>
                <a:schemeClr val="accent3"/>
              </a:solidFill>
              <a:round/>
            </a:ln>
            <a:effectLst/>
          </c:spPr>
          <c:marker>
            <c:symbol val="none"/>
          </c:marker>
          <c:val>
            <c:numRef>
              <c:f>Schedules!$F$21:$AC$21</c:f>
              <c:numCache>
                <c:formatCode>0.00</c:formatCode>
                <c:ptCount val="24"/>
                <c:pt idx="0">
                  <c:v>0.25</c:v>
                </c:pt>
                <c:pt idx="1">
                  <c:v>0</c:v>
                </c:pt>
                <c:pt idx="2">
                  <c:v>0</c:v>
                </c:pt>
                <c:pt idx="3">
                  <c:v>1</c:v>
                </c:pt>
                <c:pt idx="4">
                  <c:v>1</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2-A267-4E1F-92B5-F569B6561890}"/>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Schedules!$C$13</c:f>
          <c:strCache>
            <c:ptCount val="1"/>
            <c:pt idx="0">
              <c:v>HVACAvail</c:v>
            </c:pt>
          </c:strCache>
        </c:strRef>
      </c:tx>
      <c:layout>
        <c:manualLayout>
          <c:xMode val="edge"/>
          <c:yMode val="edge"/>
          <c:x val="0.4052157003101885"/>
          <c:y val="4.6886614901292679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Schedules!$E$13</c:f>
              <c:strCache>
                <c:ptCount val="1"/>
                <c:pt idx="0">
                  <c:v>Weekday</c:v>
                </c:pt>
              </c:strCache>
            </c:strRef>
          </c:tx>
          <c:spPr>
            <a:ln w="28575" cap="rnd">
              <a:solidFill>
                <a:schemeClr val="accent1"/>
              </a:solidFill>
              <a:round/>
            </a:ln>
            <a:effectLst/>
          </c:spPr>
          <c:marker>
            <c:symbol val="none"/>
          </c:marker>
          <c:val>
            <c:numRef>
              <c:f>Schedules!$F$13:$AC$13</c:f>
              <c:numCache>
                <c:formatCode>0.00</c:formatCode>
                <c:ptCount val="24"/>
                <c:pt idx="0">
                  <c:v>1</c:v>
                </c:pt>
                <c:pt idx="1">
                  <c:v>0</c:v>
                </c:pt>
                <c:pt idx="2">
                  <c:v>0</c:v>
                </c:pt>
                <c:pt idx="3">
                  <c:v>0</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897E-40A6-ABDA-32B64FD7CDBB}"/>
            </c:ext>
          </c:extLst>
        </c:ser>
        <c:ser>
          <c:idx val="1"/>
          <c:order val="1"/>
          <c:tx>
            <c:strRef>
              <c:f>Schedules!$E$14</c:f>
              <c:strCache>
                <c:ptCount val="1"/>
                <c:pt idx="0">
                  <c:v>Saturday</c:v>
                </c:pt>
              </c:strCache>
            </c:strRef>
          </c:tx>
          <c:spPr>
            <a:ln w="28575" cap="rnd">
              <a:solidFill>
                <a:schemeClr val="accent2"/>
              </a:solidFill>
              <a:round/>
            </a:ln>
            <a:effectLst/>
          </c:spPr>
          <c:marker>
            <c:symbol val="none"/>
          </c:marker>
          <c:val>
            <c:numRef>
              <c:f>Schedules!$F$14:$AC$14</c:f>
              <c:numCache>
                <c:formatCode>0.00</c:formatCode>
                <c:ptCount val="24"/>
                <c:pt idx="0">
                  <c:v>1</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897E-40A6-ABDA-32B64FD7CDBB}"/>
            </c:ext>
          </c:extLst>
        </c:ser>
        <c:ser>
          <c:idx val="2"/>
          <c:order val="2"/>
          <c:tx>
            <c:strRef>
              <c:f>Schedules!$E$15</c:f>
              <c:strCache>
                <c:ptCount val="1"/>
                <c:pt idx="0">
                  <c:v>Sunday</c:v>
                </c:pt>
              </c:strCache>
            </c:strRef>
          </c:tx>
          <c:spPr>
            <a:ln w="28575" cap="rnd">
              <a:solidFill>
                <a:schemeClr val="accent3"/>
              </a:solidFill>
              <a:round/>
            </a:ln>
            <a:effectLst/>
          </c:spPr>
          <c:marker>
            <c:symbol val="none"/>
          </c:marker>
          <c:val>
            <c:numRef>
              <c:f>Schedules!$F$15:$AC$15</c:f>
              <c:numCache>
                <c:formatCode>0.00</c:formatCode>
                <c:ptCount val="24"/>
                <c:pt idx="0">
                  <c:v>1</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2-897E-40A6-ABDA-32B64FD7CDB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70147921451656803"/>
          <c:y val="4.561630707102851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Schedules!$C$16</c:f>
          <c:strCache>
            <c:ptCount val="1"/>
            <c:pt idx="0">
              <c:v>ServiceHotWater</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Schedules!$E$16</c:f>
              <c:strCache>
                <c:ptCount val="1"/>
                <c:pt idx="0">
                  <c:v>Weekday</c:v>
                </c:pt>
              </c:strCache>
            </c:strRef>
          </c:tx>
          <c:spPr>
            <a:ln w="28575" cap="rnd">
              <a:solidFill>
                <a:schemeClr val="accent1"/>
              </a:solidFill>
              <a:round/>
            </a:ln>
            <a:effectLst/>
          </c:spPr>
          <c:marker>
            <c:symbol val="none"/>
          </c:marker>
          <c:val>
            <c:numRef>
              <c:f>Schedules!$F$16:$AC$16</c:f>
              <c:numCache>
                <c:formatCode>0.00</c:formatCode>
                <c:ptCount val="24"/>
                <c:pt idx="0">
                  <c:v>0.2</c:v>
                </c:pt>
                <c:pt idx="1">
                  <c:v>0</c:v>
                </c:pt>
                <c:pt idx="2">
                  <c:v>0</c:v>
                </c:pt>
                <c:pt idx="3">
                  <c:v>0</c:v>
                </c:pt>
                <c:pt idx="4">
                  <c:v>0</c:v>
                </c:pt>
                <c:pt idx="5">
                  <c:v>0.6</c:v>
                </c:pt>
                <c:pt idx="6">
                  <c:v>0.6</c:v>
                </c:pt>
                <c:pt idx="7">
                  <c:v>0.6</c:v>
                </c:pt>
                <c:pt idx="8">
                  <c:v>0.55000000000000004</c:v>
                </c:pt>
                <c:pt idx="9">
                  <c:v>0.45</c:v>
                </c:pt>
                <c:pt idx="10">
                  <c:v>0.4</c:v>
                </c:pt>
                <c:pt idx="11">
                  <c:v>0.45</c:v>
                </c:pt>
                <c:pt idx="12">
                  <c:v>0.4</c:v>
                </c:pt>
                <c:pt idx="13">
                  <c:v>0.35</c:v>
                </c:pt>
                <c:pt idx="14">
                  <c:v>0.3</c:v>
                </c:pt>
                <c:pt idx="15">
                  <c:v>0.3</c:v>
                </c:pt>
                <c:pt idx="16">
                  <c:v>0.3</c:v>
                </c:pt>
                <c:pt idx="17">
                  <c:v>0.4</c:v>
                </c:pt>
                <c:pt idx="18">
                  <c:v>0.55000000000000004</c:v>
                </c:pt>
                <c:pt idx="19">
                  <c:v>0.6</c:v>
                </c:pt>
                <c:pt idx="20">
                  <c:v>0.5</c:v>
                </c:pt>
                <c:pt idx="21">
                  <c:v>0.55000000000000004</c:v>
                </c:pt>
                <c:pt idx="22">
                  <c:v>0.45</c:v>
                </c:pt>
                <c:pt idx="23">
                  <c:v>0.25</c:v>
                </c:pt>
              </c:numCache>
            </c:numRef>
          </c:val>
          <c:smooth val="0"/>
          <c:extLst>
            <c:ext xmlns:c16="http://schemas.microsoft.com/office/drawing/2014/chart" uri="{C3380CC4-5D6E-409C-BE32-E72D297353CC}">
              <c16:uniqueId val="{00000000-3892-4483-86FE-254C151EC2DC}"/>
            </c:ext>
          </c:extLst>
        </c:ser>
        <c:ser>
          <c:idx val="1"/>
          <c:order val="1"/>
          <c:tx>
            <c:strRef>
              <c:f>Schedules!$E$17</c:f>
              <c:strCache>
                <c:ptCount val="1"/>
                <c:pt idx="0">
                  <c:v>Saturday</c:v>
                </c:pt>
              </c:strCache>
            </c:strRef>
          </c:tx>
          <c:spPr>
            <a:ln w="28575" cap="rnd">
              <a:solidFill>
                <a:schemeClr val="accent2"/>
              </a:solidFill>
              <a:round/>
            </a:ln>
            <a:effectLst/>
          </c:spPr>
          <c:marker>
            <c:symbol val="none"/>
          </c:marker>
          <c:val>
            <c:numRef>
              <c:f>Schedules!$F$17:$AC$17</c:f>
              <c:numCache>
                <c:formatCode>0.00</c:formatCode>
                <c:ptCount val="24"/>
                <c:pt idx="0">
                  <c:v>0.2</c:v>
                </c:pt>
                <c:pt idx="1">
                  <c:v>0</c:v>
                </c:pt>
                <c:pt idx="2">
                  <c:v>0</c:v>
                </c:pt>
                <c:pt idx="3">
                  <c:v>0</c:v>
                </c:pt>
                <c:pt idx="4">
                  <c:v>0</c:v>
                </c:pt>
                <c:pt idx="5">
                  <c:v>0</c:v>
                </c:pt>
                <c:pt idx="6">
                  <c:v>0.5</c:v>
                </c:pt>
                <c:pt idx="7">
                  <c:v>0.5</c:v>
                </c:pt>
                <c:pt idx="8">
                  <c:v>0.5</c:v>
                </c:pt>
                <c:pt idx="9">
                  <c:v>0.5</c:v>
                </c:pt>
                <c:pt idx="10">
                  <c:v>0.45</c:v>
                </c:pt>
                <c:pt idx="11">
                  <c:v>0.5</c:v>
                </c:pt>
                <c:pt idx="12">
                  <c:v>0.5</c:v>
                </c:pt>
                <c:pt idx="13">
                  <c:v>0.45</c:v>
                </c:pt>
                <c:pt idx="14">
                  <c:v>0.4</c:v>
                </c:pt>
                <c:pt idx="15">
                  <c:v>0.4</c:v>
                </c:pt>
                <c:pt idx="16">
                  <c:v>0.35</c:v>
                </c:pt>
                <c:pt idx="17">
                  <c:v>0.4</c:v>
                </c:pt>
                <c:pt idx="18">
                  <c:v>0.55000000000000004</c:v>
                </c:pt>
                <c:pt idx="19">
                  <c:v>0.55000000000000004</c:v>
                </c:pt>
                <c:pt idx="20">
                  <c:v>0.5</c:v>
                </c:pt>
                <c:pt idx="21">
                  <c:v>0.55000000000000004</c:v>
                </c:pt>
                <c:pt idx="22">
                  <c:v>0.4</c:v>
                </c:pt>
                <c:pt idx="23">
                  <c:v>0.3</c:v>
                </c:pt>
              </c:numCache>
            </c:numRef>
          </c:val>
          <c:smooth val="0"/>
          <c:extLst>
            <c:ext xmlns:c16="http://schemas.microsoft.com/office/drawing/2014/chart" uri="{C3380CC4-5D6E-409C-BE32-E72D297353CC}">
              <c16:uniqueId val="{00000001-3892-4483-86FE-254C151EC2DC}"/>
            </c:ext>
          </c:extLst>
        </c:ser>
        <c:ser>
          <c:idx val="2"/>
          <c:order val="2"/>
          <c:tx>
            <c:strRef>
              <c:f>Schedules!$E$18</c:f>
              <c:strCache>
                <c:ptCount val="1"/>
                <c:pt idx="0">
                  <c:v>Sunday</c:v>
                </c:pt>
              </c:strCache>
            </c:strRef>
          </c:tx>
          <c:spPr>
            <a:ln w="28575" cap="rnd">
              <a:solidFill>
                <a:schemeClr val="accent3"/>
              </a:solidFill>
              <a:round/>
            </a:ln>
            <a:effectLst/>
          </c:spPr>
          <c:marker>
            <c:symbol val="none"/>
          </c:marker>
          <c:val>
            <c:numRef>
              <c:f>Schedules!$F$18:$AC$18</c:f>
              <c:numCache>
                <c:formatCode>0.00</c:formatCode>
                <c:ptCount val="24"/>
                <c:pt idx="0">
                  <c:v>0.25</c:v>
                </c:pt>
                <c:pt idx="1">
                  <c:v>0</c:v>
                </c:pt>
                <c:pt idx="2">
                  <c:v>0</c:v>
                </c:pt>
                <c:pt idx="3">
                  <c:v>0</c:v>
                </c:pt>
                <c:pt idx="4">
                  <c:v>0</c:v>
                </c:pt>
                <c:pt idx="5">
                  <c:v>0</c:v>
                </c:pt>
                <c:pt idx="6">
                  <c:v>0.5</c:v>
                </c:pt>
                <c:pt idx="7">
                  <c:v>0.5</c:v>
                </c:pt>
                <c:pt idx="8">
                  <c:v>0.5</c:v>
                </c:pt>
                <c:pt idx="9">
                  <c:v>0.5</c:v>
                </c:pt>
                <c:pt idx="10">
                  <c:v>0.5</c:v>
                </c:pt>
                <c:pt idx="11">
                  <c:v>0.5</c:v>
                </c:pt>
                <c:pt idx="12">
                  <c:v>0.4</c:v>
                </c:pt>
                <c:pt idx="13">
                  <c:v>0.4</c:v>
                </c:pt>
                <c:pt idx="14">
                  <c:v>0.3</c:v>
                </c:pt>
                <c:pt idx="15">
                  <c:v>0.3</c:v>
                </c:pt>
                <c:pt idx="16">
                  <c:v>0.3</c:v>
                </c:pt>
                <c:pt idx="17">
                  <c:v>0.4</c:v>
                </c:pt>
                <c:pt idx="18">
                  <c:v>0.5</c:v>
                </c:pt>
                <c:pt idx="19">
                  <c:v>0.5</c:v>
                </c:pt>
                <c:pt idx="20">
                  <c:v>0.4</c:v>
                </c:pt>
                <c:pt idx="21">
                  <c:v>0.5</c:v>
                </c:pt>
                <c:pt idx="22">
                  <c:v>0.4</c:v>
                </c:pt>
                <c:pt idx="23">
                  <c:v>0.2</c:v>
                </c:pt>
              </c:numCache>
            </c:numRef>
          </c:val>
          <c:smooth val="0"/>
          <c:extLst>
            <c:ext xmlns:c16="http://schemas.microsoft.com/office/drawing/2014/chart" uri="{C3380CC4-5D6E-409C-BE32-E72D297353CC}">
              <c16:uniqueId val="{00000002-3892-4483-86FE-254C151EC2D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Schedules!$C$38</c:f>
          <c:strCache>
            <c:ptCount val="1"/>
            <c:pt idx="0">
              <c:v>ElecEquipment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Schedules!$E$38</c:f>
              <c:strCache>
                <c:ptCount val="1"/>
                <c:pt idx="0">
                  <c:v>Weekday</c:v>
                </c:pt>
              </c:strCache>
            </c:strRef>
          </c:tx>
          <c:spPr>
            <a:ln w="28575" cap="rnd">
              <a:solidFill>
                <a:schemeClr val="accent1"/>
              </a:solidFill>
              <a:round/>
            </a:ln>
            <a:effectLst/>
          </c:spPr>
          <c:marker>
            <c:symbol val="none"/>
          </c:marker>
          <c:val>
            <c:numRef>
              <c:f>Schedules!$F$38:$AC$38</c:f>
              <c:numCache>
                <c:formatCode>0.00</c:formatCode>
                <c:ptCount val="24"/>
                <c:pt idx="0">
                  <c:v>0.15</c:v>
                </c:pt>
                <c:pt idx="1">
                  <c:v>0.15</c:v>
                </c:pt>
                <c:pt idx="2">
                  <c:v>0.15</c:v>
                </c:pt>
                <c:pt idx="3">
                  <c:v>0.15</c:v>
                </c:pt>
                <c:pt idx="4">
                  <c:v>0.15</c:v>
                </c:pt>
                <c:pt idx="5">
                  <c:v>0.2</c:v>
                </c:pt>
                <c:pt idx="6">
                  <c:v>0.3</c:v>
                </c:pt>
                <c:pt idx="7">
                  <c:v>0.72</c:v>
                </c:pt>
                <c:pt idx="8">
                  <c:v>0.78</c:v>
                </c:pt>
                <c:pt idx="9">
                  <c:v>0.8</c:v>
                </c:pt>
                <c:pt idx="10">
                  <c:v>0.9</c:v>
                </c:pt>
                <c:pt idx="11">
                  <c:v>0.9</c:v>
                </c:pt>
                <c:pt idx="12">
                  <c:v>0.9</c:v>
                </c:pt>
                <c:pt idx="13">
                  <c:v>0.88</c:v>
                </c:pt>
                <c:pt idx="14">
                  <c:v>0.77</c:v>
                </c:pt>
                <c:pt idx="15">
                  <c:v>0.7</c:v>
                </c:pt>
                <c:pt idx="16">
                  <c:v>0.72</c:v>
                </c:pt>
                <c:pt idx="17">
                  <c:v>0.8</c:v>
                </c:pt>
                <c:pt idx="18">
                  <c:v>0.9</c:v>
                </c:pt>
                <c:pt idx="19">
                  <c:v>0.9</c:v>
                </c:pt>
                <c:pt idx="20">
                  <c:v>0.9</c:v>
                </c:pt>
                <c:pt idx="21">
                  <c:v>0.8</c:v>
                </c:pt>
                <c:pt idx="22">
                  <c:v>0.62</c:v>
                </c:pt>
                <c:pt idx="23">
                  <c:v>0.3</c:v>
                </c:pt>
              </c:numCache>
            </c:numRef>
          </c:val>
          <c:smooth val="0"/>
          <c:extLst>
            <c:ext xmlns:c16="http://schemas.microsoft.com/office/drawing/2014/chart" uri="{C3380CC4-5D6E-409C-BE32-E72D297353CC}">
              <c16:uniqueId val="{00000000-86AA-42FD-A8D8-F82FAF02DE65}"/>
            </c:ext>
          </c:extLst>
        </c:ser>
        <c:ser>
          <c:idx val="1"/>
          <c:order val="1"/>
          <c:tx>
            <c:strRef>
              <c:f>Schedules!$E$39</c:f>
              <c:strCache>
                <c:ptCount val="1"/>
                <c:pt idx="0">
                  <c:v>Saturday</c:v>
                </c:pt>
              </c:strCache>
            </c:strRef>
          </c:tx>
          <c:spPr>
            <a:ln w="28575" cap="rnd">
              <a:solidFill>
                <a:schemeClr val="accent2"/>
              </a:solidFill>
              <a:round/>
            </a:ln>
            <a:effectLst/>
          </c:spPr>
          <c:marker>
            <c:symbol val="none"/>
          </c:marker>
          <c:val>
            <c:numRef>
              <c:f>Schedules!$F$39:$AC$39</c:f>
              <c:numCache>
                <c:formatCode>0.00</c:formatCode>
                <c:ptCount val="24"/>
                <c:pt idx="0">
                  <c:v>0.15</c:v>
                </c:pt>
                <c:pt idx="1">
                  <c:v>0.15</c:v>
                </c:pt>
                <c:pt idx="2">
                  <c:v>0.15</c:v>
                </c:pt>
                <c:pt idx="3">
                  <c:v>0.15</c:v>
                </c:pt>
                <c:pt idx="4">
                  <c:v>0.15</c:v>
                </c:pt>
                <c:pt idx="5">
                  <c:v>0.2</c:v>
                </c:pt>
                <c:pt idx="6">
                  <c:v>0.3</c:v>
                </c:pt>
                <c:pt idx="7">
                  <c:v>0.72</c:v>
                </c:pt>
                <c:pt idx="8">
                  <c:v>0.78</c:v>
                </c:pt>
                <c:pt idx="9">
                  <c:v>0.8</c:v>
                </c:pt>
                <c:pt idx="10">
                  <c:v>0.9</c:v>
                </c:pt>
                <c:pt idx="11">
                  <c:v>0.9</c:v>
                </c:pt>
                <c:pt idx="12">
                  <c:v>0.9</c:v>
                </c:pt>
                <c:pt idx="13">
                  <c:v>0.88</c:v>
                </c:pt>
                <c:pt idx="14">
                  <c:v>0.77</c:v>
                </c:pt>
                <c:pt idx="15">
                  <c:v>0.7</c:v>
                </c:pt>
                <c:pt idx="16">
                  <c:v>0.72</c:v>
                </c:pt>
                <c:pt idx="17">
                  <c:v>0.8</c:v>
                </c:pt>
                <c:pt idx="18">
                  <c:v>0.9</c:v>
                </c:pt>
                <c:pt idx="19">
                  <c:v>0.9</c:v>
                </c:pt>
                <c:pt idx="20">
                  <c:v>0.9</c:v>
                </c:pt>
                <c:pt idx="21">
                  <c:v>0.8</c:v>
                </c:pt>
                <c:pt idx="22">
                  <c:v>0.62</c:v>
                </c:pt>
                <c:pt idx="23">
                  <c:v>0.3</c:v>
                </c:pt>
              </c:numCache>
            </c:numRef>
          </c:val>
          <c:smooth val="0"/>
          <c:extLst>
            <c:ext xmlns:c16="http://schemas.microsoft.com/office/drawing/2014/chart" uri="{C3380CC4-5D6E-409C-BE32-E72D297353CC}">
              <c16:uniqueId val="{00000001-86AA-42FD-A8D8-F82FAF02DE65}"/>
            </c:ext>
          </c:extLst>
        </c:ser>
        <c:ser>
          <c:idx val="2"/>
          <c:order val="2"/>
          <c:tx>
            <c:strRef>
              <c:f>Schedules!$E$40</c:f>
              <c:strCache>
                <c:ptCount val="1"/>
                <c:pt idx="0">
                  <c:v>Sunday</c:v>
                </c:pt>
              </c:strCache>
            </c:strRef>
          </c:tx>
          <c:spPr>
            <a:ln w="28575" cap="rnd">
              <a:solidFill>
                <a:schemeClr val="accent3"/>
              </a:solidFill>
              <a:round/>
            </a:ln>
            <a:effectLst/>
          </c:spPr>
          <c:marker>
            <c:symbol val="none"/>
          </c:marker>
          <c:val>
            <c:numRef>
              <c:f>Schedules!$F$40:$AC$40</c:f>
              <c:numCache>
                <c:formatCode>0.00</c:formatCode>
                <c:ptCount val="24"/>
                <c:pt idx="0">
                  <c:v>0.2</c:v>
                </c:pt>
                <c:pt idx="1">
                  <c:v>0.15</c:v>
                </c:pt>
                <c:pt idx="2">
                  <c:v>0.15</c:v>
                </c:pt>
                <c:pt idx="3">
                  <c:v>0.15</c:v>
                </c:pt>
                <c:pt idx="4">
                  <c:v>0.15</c:v>
                </c:pt>
                <c:pt idx="5">
                  <c:v>0.15</c:v>
                </c:pt>
                <c:pt idx="6">
                  <c:v>0.3</c:v>
                </c:pt>
                <c:pt idx="7">
                  <c:v>0.72</c:v>
                </c:pt>
                <c:pt idx="8">
                  <c:v>0.78</c:v>
                </c:pt>
                <c:pt idx="9">
                  <c:v>0.8</c:v>
                </c:pt>
                <c:pt idx="10">
                  <c:v>0.9</c:v>
                </c:pt>
                <c:pt idx="11">
                  <c:v>0.9</c:v>
                </c:pt>
                <c:pt idx="12">
                  <c:v>0.9</c:v>
                </c:pt>
                <c:pt idx="13">
                  <c:v>0.88</c:v>
                </c:pt>
                <c:pt idx="14">
                  <c:v>0.77</c:v>
                </c:pt>
                <c:pt idx="15">
                  <c:v>0.7</c:v>
                </c:pt>
                <c:pt idx="16">
                  <c:v>0.72</c:v>
                </c:pt>
                <c:pt idx="17">
                  <c:v>0.8</c:v>
                </c:pt>
                <c:pt idx="18">
                  <c:v>0.9</c:v>
                </c:pt>
                <c:pt idx="19">
                  <c:v>0.9</c:v>
                </c:pt>
                <c:pt idx="20">
                  <c:v>0.9</c:v>
                </c:pt>
                <c:pt idx="21">
                  <c:v>0.8</c:v>
                </c:pt>
                <c:pt idx="22">
                  <c:v>0.62</c:v>
                </c:pt>
                <c:pt idx="23">
                  <c:v>0.3</c:v>
                </c:pt>
              </c:numCache>
            </c:numRef>
          </c:val>
          <c:smooth val="0"/>
          <c:extLst>
            <c:ext xmlns:c16="http://schemas.microsoft.com/office/drawing/2014/chart" uri="{C3380CC4-5D6E-409C-BE32-E72D297353CC}">
              <c16:uniqueId val="{00000002-86AA-42FD-A8D8-F82FAF02DE65}"/>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Schedules!$C$44</c:f>
          <c:strCache>
            <c:ptCount val="1"/>
            <c:pt idx="0">
              <c:v>ServiceHotWater</c:v>
            </c:pt>
          </c:strCache>
        </c:strRef>
      </c:tx>
      <c:layout>
        <c:manualLayout>
          <c:xMode val="edge"/>
          <c:yMode val="edge"/>
          <c:x val="0.35116381407767783"/>
          <c:y val="4.9997826112733838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Schedules!$E$44</c:f>
              <c:strCache>
                <c:ptCount val="1"/>
                <c:pt idx="0">
                  <c:v>Weekday</c:v>
                </c:pt>
              </c:strCache>
            </c:strRef>
          </c:tx>
          <c:spPr>
            <a:ln w="28575" cap="rnd">
              <a:solidFill>
                <a:schemeClr val="accent1"/>
              </a:solidFill>
              <a:round/>
            </a:ln>
            <a:effectLst/>
          </c:spPr>
          <c:marker>
            <c:symbol val="none"/>
          </c:marker>
          <c:val>
            <c:numRef>
              <c:f>Schedules!$F$44:$AC$44</c:f>
              <c:numCache>
                <c:formatCode>0.00</c:formatCode>
                <c:ptCount val="24"/>
                <c:pt idx="0">
                  <c:v>0.2</c:v>
                </c:pt>
                <c:pt idx="1">
                  <c:v>0</c:v>
                </c:pt>
                <c:pt idx="2">
                  <c:v>0</c:v>
                </c:pt>
                <c:pt idx="3">
                  <c:v>0</c:v>
                </c:pt>
                <c:pt idx="4">
                  <c:v>0</c:v>
                </c:pt>
                <c:pt idx="5">
                  <c:v>0.2</c:v>
                </c:pt>
                <c:pt idx="6">
                  <c:v>0.2</c:v>
                </c:pt>
                <c:pt idx="7">
                  <c:v>0.3</c:v>
                </c:pt>
                <c:pt idx="8">
                  <c:v>0.3</c:v>
                </c:pt>
                <c:pt idx="9">
                  <c:v>0.3</c:v>
                </c:pt>
                <c:pt idx="10">
                  <c:v>0.4</c:v>
                </c:pt>
                <c:pt idx="11">
                  <c:v>0.45</c:v>
                </c:pt>
                <c:pt idx="12">
                  <c:v>0.4</c:v>
                </c:pt>
                <c:pt idx="13">
                  <c:v>0.35</c:v>
                </c:pt>
                <c:pt idx="14">
                  <c:v>0.3</c:v>
                </c:pt>
                <c:pt idx="15">
                  <c:v>0.3</c:v>
                </c:pt>
                <c:pt idx="16">
                  <c:v>0.3</c:v>
                </c:pt>
                <c:pt idx="17">
                  <c:v>0.4</c:v>
                </c:pt>
                <c:pt idx="18">
                  <c:v>0.55000000000000004</c:v>
                </c:pt>
                <c:pt idx="19">
                  <c:v>0.6</c:v>
                </c:pt>
                <c:pt idx="20">
                  <c:v>0.5</c:v>
                </c:pt>
                <c:pt idx="21">
                  <c:v>0.55000000000000004</c:v>
                </c:pt>
                <c:pt idx="22">
                  <c:v>0.45</c:v>
                </c:pt>
                <c:pt idx="23">
                  <c:v>0.2</c:v>
                </c:pt>
              </c:numCache>
            </c:numRef>
          </c:val>
          <c:smooth val="0"/>
          <c:extLst>
            <c:ext xmlns:c16="http://schemas.microsoft.com/office/drawing/2014/chart" uri="{C3380CC4-5D6E-409C-BE32-E72D297353CC}">
              <c16:uniqueId val="{00000000-3FD9-442E-BAED-CDBB21663685}"/>
            </c:ext>
          </c:extLst>
        </c:ser>
        <c:ser>
          <c:idx val="1"/>
          <c:order val="1"/>
          <c:tx>
            <c:strRef>
              <c:f>Schedules!$E$45</c:f>
              <c:strCache>
                <c:ptCount val="1"/>
                <c:pt idx="0">
                  <c:v>Saturday</c:v>
                </c:pt>
              </c:strCache>
            </c:strRef>
          </c:tx>
          <c:spPr>
            <a:ln w="28575" cap="rnd">
              <a:solidFill>
                <a:schemeClr val="accent2"/>
              </a:solidFill>
              <a:round/>
            </a:ln>
            <a:effectLst/>
          </c:spPr>
          <c:marker>
            <c:symbol val="none"/>
          </c:marker>
          <c:val>
            <c:numRef>
              <c:f>Schedules!$F$45:$AC$45</c:f>
              <c:numCache>
                <c:formatCode>0.00</c:formatCode>
                <c:ptCount val="24"/>
                <c:pt idx="0">
                  <c:v>0.2</c:v>
                </c:pt>
                <c:pt idx="1">
                  <c:v>0</c:v>
                </c:pt>
                <c:pt idx="2">
                  <c:v>0</c:v>
                </c:pt>
                <c:pt idx="3">
                  <c:v>0</c:v>
                </c:pt>
                <c:pt idx="4">
                  <c:v>0</c:v>
                </c:pt>
                <c:pt idx="5">
                  <c:v>0</c:v>
                </c:pt>
                <c:pt idx="6">
                  <c:v>0.2</c:v>
                </c:pt>
                <c:pt idx="7">
                  <c:v>0.2</c:v>
                </c:pt>
                <c:pt idx="8">
                  <c:v>0.3</c:v>
                </c:pt>
                <c:pt idx="9">
                  <c:v>0.3</c:v>
                </c:pt>
                <c:pt idx="10">
                  <c:v>0.45</c:v>
                </c:pt>
                <c:pt idx="11">
                  <c:v>0.5</c:v>
                </c:pt>
                <c:pt idx="12">
                  <c:v>0.5</c:v>
                </c:pt>
                <c:pt idx="13">
                  <c:v>0.45</c:v>
                </c:pt>
                <c:pt idx="14">
                  <c:v>0.4</c:v>
                </c:pt>
                <c:pt idx="15">
                  <c:v>0.4</c:v>
                </c:pt>
                <c:pt idx="16">
                  <c:v>0.35</c:v>
                </c:pt>
                <c:pt idx="17">
                  <c:v>0.4</c:v>
                </c:pt>
                <c:pt idx="18">
                  <c:v>0.55000000000000004</c:v>
                </c:pt>
                <c:pt idx="19">
                  <c:v>0.55000000000000004</c:v>
                </c:pt>
                <c:pt idx="20">
                  <c:v>0.5</c:v>
                </c:pt>
                <c:pt idx="21">
                  <c:v>0.55000000000000004</c:v>
                </c:pt>
                <c:pt idx="22">
                  <c:v>0.4</c:v>
                </c:pt>
                <c:pt idx="23">
                  <c:v>0.2</c:v>
                </c:pt>
              </c:numCache>
            </c:numRef>
          </c:val>
          <c:smooth val="0"/>
          <c:extLst>
            <c:ext xmlns:c16="http://schemas.microsoft.com/office/drawing/2014/chart" uri="{C3380CC4-5D6E-409C-BE32-E72D297353CC}">
              <c16:uniqueId val="{00000001-3FD9-442E-BAED-CDBB21663685}"/>
            </c:ext>
          </c:extLst>
        </c:ser>
        <c:ser>
          <c:idx val="2"/>
          <c:order val="2"/>
          <c:tx>
            <c:strRef>
              <c:f>Schedules!$E$46</c:f>
              <c:strCache>
                <c:ptCount val="1"/>
                <c:pt idx="0">
                  <c:v>Sunday</c:v>
                </c:pt>
              </c:strCache>
            </c:strRef>
          </c:tx>
          <c:spPr>
            <a:ln w="28575" cap="rnd">
              <a:solidFill>
                <a:schemeClr val="accent3"/>
              </a:solidFill>
              <a:round/>
            </a:ln>
            <a:effectLst/>
          </c:spPr>
          <c:marker>
            <c:symbol val="none"/>
          </c:marker>
          <c:val>
            <c:numRef>
              <c:f>Schedules!$F$46:$AC$46</c:f>
              <c:numCache>
                <c:formatCode>0.00</c:formatCode>
                <c:ptCount val="24"/>
                <c:pt idx="0">
                  <c:v>0.25</c:v>
                </c:pt>
                <c:pt idx="1">
                  <c:v>0</c:v>
                </c:pt>
                <c:pt idx="2">
                  <c:v>0</c:v>
                </c:pt>
                <c:pt idx="3">
                  <c:v>0</c:v>
                </c:pt>
                <c:pt idx="4">
                  <c:v>0</c:v>
                </c:pt>
                <c:pt idx="5">
                  <c:v>0</c:v>
                </c:pt>
                <c:pt idx="6">
                  <c:v>0.2</c:v>
                </c:pt>
                <c:pt idx="7">
                  <c:v>0.2</c:v>
                </c:pt>
                <c:pt idx="8">
                  <c:v>0.3</c:v>
                </c:pt>
                <c:pt idx="9">
                  <c:v>0.3</c:v>
                </c:pt>
                <c:pt idx="10">
                  <c:v>0.3</c:v>
                </c:pt>
                <c:pt idx="11">
                  <c:v>0.5</c:v>
                </c:pt>
                <c:pt idx="12">
                  <c:v>0.4</c:v>
                </c:pt>
                <c:pt idx="13">
                  <c:v>0.4</c:v>
                </c:pt>
                <c:pt idx="14">
                  <c:v>0.3</c:v>
                </c:pt>
                <c:pt idx="15">
                  <c:v>0.3</c:v>
                </c:pt>
                <c:pt idx="16">
                  <c:v>0.3</c:v>
                </c:pt>
                <c:pt idx="17">
                  <c:v>0.4</c:v>
                </c:pt>
                <c:pt idx="18">
                  <c:v>0.5</c:v>
                </c:pt>
                <c:pt idx="19">
                  <c:v>0.5</c:v>
                </c:pt>
                <c:pt idx="20">
                  <c:v>0.4</c:v>
                </c:pt>
                <c:pt idx="21">
                  <c:v>0.5</c:v>
                </c:pt>
                <c:pt idx="22">
                  <c:v>0.4</c:v>
                </c:pt>
                <c:pt idx="23">
                  <c:v>0.2</c:v>
                </c:pt>
              </c:numCache>
            </c:numRef>
          </c:val>
          <c:smooth val="0"/>
          <c:extLst>
            <c:ext xmlns:c16="http://schemas.microsoft.com/office/drawing/2014/chart" uri="{C3380CC4-5D6E-409C-BE32-E72D297353CC}">
              <c16:uniqueId val="{00000002-3FD9-442E-BAED-CDBB21663685}"/>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Schedules!$C$41</c:f>
          <c:strCache>
            <c:ptCount val="1"/>
            <c:pt idx="0">
              <c:v>HVACAvail</c:v>
            </c:pt>
          </c:strCache>
        </c:strRef>
      </c:tx>
      <c:layout>
        <c:manualLayout>
          <c:xMode val="edge"/>
          <c:yMode val="edge"/>
          <c:x val="0.3774897497796682"/>
          <c:y val="2.061514260876764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Schedules!$E$41</c:f>
              <c:strCache>
                <c:ptCount val="1"/>
                <c:pt idx="0">
                  <c:v>Weekday</c:v>
                </c:pt>
              </c:strCache>
            </c:strRef>
          </c:tx>
          <c:spPr>
            <a:ln w="28575" cap="rnd">
              <a:solidFill>
                <a:schemeClr val="accent1"/>
              </a:solidFill>
              <a:round/>
            </a:ln>
            <a:effectLst/>
          </c:spPr>
          <c:marker>
            <c:symbol val="none"/>
          </c:marker>
          <c:val>
            <c:numRef>
              <c:f>Schedules!$F$41:$AC$41</c:f>
              <c:numCache>
                <c:formatCode>0.00</c:formatCode>
                <c:ptCount val="24"/>
                <c:pt idx="0">
                  <c:v>1</c:v>
                </c:pt>
                <c:pt idx="1">
                  <c:v>0</c:v>
                </c:pt>
                <c:pt idx="2">
                  <c:v>0</c:v>
                </c:pt>
                <c:pt idx="3">
                  <c:v>0</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DBE9-4FC2-A522-E4ABF4CBAF32}"/>
            </c:ext>
          </c:extLst>
        </c:ser>
        <c:ser>
          <c:idx val="1"/>
          <c:order val="1"/>
          <c:tx>
            <c:strRef>
              <c:f>Schedules!$E$42</c:f>
              <c:strCache>
                <c:ptCount val="1"/>
                <c:pt idx="0">
                  <c:v>Saturday</c:v>
                </c:pt>
              </c:strCache>
            </c:strRef>
          </c:tx>
          <c:spPr>
            <a:ln w="28575" cap="rnd">
              <a:solidFill>
                <a:schemeClr val="accent2"/>
              </a:solidFill>
              <a:round/>
            </a:ln>
            <a:effectLst/>
          </c:spPr>
          <c:marker>
            <c:symbol val="none"/>
          </c:marker>
          <c:val>
            <c:numRef>
              <c:f>Schedules!$F$42:$AC$42</c:f>
              <c:numCache>
                <c:formatCode>0.00</c:formatCode>
                <c:ptCount val="24"/>
                <c:pt idx="0">
                  <c:v>1</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DBE9-4FC2-A522-E4ABF4CBAF32}"/>
            </c:ext>
          </c:extLst>
        </c:ser>
        <c:ser>
          <c:idx val="2"/>
          <c:order val="2"/>
          <c:tx>
            <c:strRef>
              <c:f>Schedules!$E$43</c:f>
              <c:strCache>
                <c:ptCount val="1"/>
                <c:pt idx="0">
                  <c:v>Sunday</c:v>
                </c:pt>
              </c:strCache>
            </c:strRef>
          </c:tx>
          <c:spPr>
            <a:ln w="28575" cap="rnd">
              <a:solidFill>
                <a:schemeClr val="accent3"/>
              </a:solidFill>
              <a:round/>
            </a:ln>
            <a:effectLst/>
          </c:spPr>
          <c:marker>
            <c:symbol val="none"/>
          </c:marker>
          <c:val>
            <c:numRef>
              <c:f>Schedules!$F$43:$AC$43</c:f>
              <c:numCache>
                <c:formatCode>0.00</c:formatCode>
                <c:ptCount val="24"/>
                <c:pt idx="0">
                  <c:v>1</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2-DBE9-4FC2-A522-E4ABF4CBAF32}"/>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Schedules!$C$32</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Schedules!$E$32</c:f>
              <c:strCache>
                <c:ptCount val="1"/>
                <c:pt idx="0">
                  <c:v>Weekday</c:v>
                </c:pt>
              </c:strCache>
            </c:strRef>
          </c:tx>
          <c:spPr>
            <a:ln w="28575" cap="rnd">
              <a:solidFill>
                <a:schemeClr val="accent1"/>
              </a:solidFill>
              <a:round/>
            </a:ln>
            <a:effectLst/>
          </c:spPr>
          <c:marker>
            <c:symbol val="none"/>
          </c:marker>
          <c:val>
            <c:numRef>
              <c:f>Schedules!$F$32:$AC$32</c:f>
              <c:numCache>
                <c:formatCode>0.00</c:formatCode>
                <c:ptCount val="24"/>
                <c:pt idx="0">
                  <c:v>0.05</c:v>
                </c:pt>
                <c:pt idx="1">
                  <c:v>0</c:v>
                </c:pt>
                <c:pt idx="2">
                  <c:v>0</c:v>
                </c:pt>
                <c:pt idx="3">
                  <c:v>0</c:v>
                </c:pt>
                <c:pt idx="4">
                  <c:v>0</c:v>
                </c:pt>
                <c:pt idx="5">
                  <c:v>0.05</c:v>
                </c:pt>
                <c:pt idx="6">
                  <c:v>0.1</c:v>
                </c:pt>
                <c:pt idx="7">
                  <c:v>0.4</c:v>
                </c:pt>
                <c:pt idx="8">
                  <c:v>0.4</c:v>
                </c:pt>
                <c:pt idx="9">
                  <c:v>0.4</c:v>
                </c:pt>
                <c:pt idx="10">
                  <c:v>0.2</c:v>
                </c:pt>
                <c:pt idx="11">
                  <c:v>0.5</c:v>
                </c:pt>
                <c:pt idx="12">
                  <c:v>0.8</c:v>
                </c:pt>
                <c:pt idx="13">
                  <c:v>0.7</c:v>
                </c:pt>
                <c:pt idx="14">
                  <c:v>0.4</c:v>
                </c:pt>
                <c:pt idx="15">
                  <c:v>0.2</c:v>
                </c:pt>
                <c:pt idx="16">
                  <c:v>0.25</c:v>
                </c:pt>
                <c:pt idx="17">
                  <c:v>0.5</c:v>
                </c:pt>
                <c:pt idx="18">
                  <c:v>0.8</c:v>
                </c:pt>
                <c:pt idx="19">
                  <c:v>0.8</c:v>
                </c:pt>
                <c:pt idx="20">
                  <c:v>0.8</c:v>
                </c:pt>
                <c:pt idx="21">
                  <c:v>0.5</c:v>
                </c:pt>
                <c:pt idx="22">
                  <c:v>0.35</c:v>
                </c:pt>
                <c:pt idx="23">
                  <c:v>0.2</c:v>
                </c:pt>
              </c:numCache>
            </c:numRef>
          </c:val>
          <c:smooth val="0"/>
          <c:extLst>
            <c:ext xmlns:c16="http://schemas.microsoft.com/office/drawing/2014/chart" uri="{C3380CC4-5D6E-409C-BE32-E72D297353CC}">
              <c16:uniqueId val="{00000000-37C1-4D07-80BC-CB3AE2F28BC6}"/>
            </c:ext>
          </c:extLst>
        </c:ser>
        <c:ser>
          <c:idx val="1"/>
          <c:order val="1"/>
          <c:tx>
            <c:strRef>
              <c:f>Schedules!$E$33</c:f>
              <c:strCache>
                <c:ptCount val="1"/>
                <c:pt idx="0">
                  <c:v>Saturday</c:v>
                </c:pt>
              </c:strCache>
            </c:strRef>
          </c:tx>
          <c:spPr>
            <a:ln w="28575" cap="rnd">
              <a:solidFill>
                <a:schemeClr val="accent2"/>
              </a:solidFill>
              <a:round/>
            </a:ln>
            <a:effectLst/>
          </c:spPr>
          <c:marker>
            <c:symbol val="none"/>
          </c:marker>
          <c:val>
            <c:numRef>
              <c:f>Schedules!$F$33:$AC$33</c:f>
              <c:numCache>
                <c:formatCode>0.00</c:formatCode>
                <c:ptCount val="24"/>
                <c:pt idx="0">
                  <c:v>0.05</c:v>
                </c:pt>
                <c:pt idx="1">
                  <c:v>0</c:v>
                </c:pt>
                <c:pt idx="2">
                  <c:v>0</c:v>
                </c:pt>
                <c:pt idx="3">
                  <c:v>0</c:v>
                </c:pt>
                <c:pt idx="4">
                  <c:v>0</c:v>
                </c:pt>
                <c:pt idx="5">
                  <c:v>0</c:v>
                </c:pt>
                <c:pt idx="6">
                  <c:v>0.05</c:v>
                </c:pt>
                <c:pt idx="7">
                  <c:v>0.5</c:v>
                </c:pt>
                <c:pt idx="8">
                  <c:v>0.5</c:v>
                </c:pt>
                <c:pt idx="9">
                  <c:v>0.4</c:v>
                </c:pt>
                <c:pt idx="10">
                  <c:v>0.2</c:v>
                </c:pt>
                <c:pt idx="11">
                  <c:v>0.45</c:v>
                </c:pt>
                <c:pt idx="12">
                  <c:v>0.5</c:v>
                </c:pt>
                <c:pt idx="13">
                  <c:v>0.5</c:v>
                </c:pt>
                <c:pt idx="14">
                  <c:v>0.35</c:v>
                </c:pt>
                <c:pt idx="15">
                  <c:v>0.3</c:v>
                </c:pt>
                <c:pt idx="16">
                  <c:v>0.3</c:v>
                </c:pt>
                <c:pt idx="17">
                  <c:v>0.3</c:v>
                </c:pt>
                <c:pt idx="18">
                  <c:v>0.7</c:v>
                </c:pt>
                <c:pt idx="19">
                  <c:v>0.9</c:v>
                </c:pt>
                <c:pt idx="20">
                  <c:v>0.7</c:v>
                </c:pt>
                <c:pt idx="21">
                  <c:v>0.65</c:v>
                </c:pt>
                <c:pt idx="22">
                  <c:v>0.55000000000000004</c:v>
                </c:pt>
                <c:pt idx="23">
                  <c:v>0.35</c:v>
                </c:pt>
              </c:numCache>
            </c:numRef>
          </c:val>
          <c:smooth val="0"/>
          <c:extLst>
            <c:ext xmlns:c16="http://schemas.microsoft.com/office/drawing/2014/chart" uri="{C3380CC4-5D6E-409C-BE32-E72D297353CC}">
              <c16:uniqueId val="{00000001-37C1-4D07-80BC-CB3AE2F28BC6}"/>
            </c:ext>
          </c:extLst>
        </c:ser>
        <c:ser>
          <c:idx val="2"/>
          <c:order val="2"/>
          <c:tx>
            <c:strRef>
              <c:f>Schedules!$E$34</c:f>
              <c:strCache>
                <c:ptCount val="1"/>
                <c:pt idx="0">
                  <c:v>Sunday</c:v>
                </c:pt>
              </c:strCache>
            </c:strRef>
          </c:tx>
          <c:spPr>
            <a:ln w="28575" cap="rnd">
              <a:solidFill>
                <a:schemeClr val="accent3"/>
              </a:solidFill>
              <a:round/>
            </a:ln>
            <a:effectLst/>
          </c:spPr>
          <c:marker>
            <c:symbol val="none"/>
          </c:marker>
          <c:val>
            <c:numRef>
              <c:f>Schedules!$F$34:$AC$34</c:f>
              <c:numCache>
                <c:formatCode>0.00</c:formatCode>
                <c:ptCount val="24"/>
                <c:pt idx="0">
                  <c:v>0.05</c:v>
                </c:pt>
                <c:pt idx="1">
                  <c:v>0</c:v>
                </c:pt>
                <c:pt idx="2">
                  <c:v>0</c:v>
                </c:pt>
                <c:pt idx="3">
                  <c:v>0</c:v>
                </c:pt>
                <c:pt idx="4">
                  <c:v>0</c:v>
                </c:pt>
                <c:pt idx="5">
                  <c:v>0</c:v>
                </c:pt>
                <c:pt idx="6">
                  <c:v>0.05</c:v>
                </c:pt>
                <c:pt idx="7">
                  <c:v>0.5</c:v>
                </c:pt>
                <c:pt idx="8">
                  <c:v>0.5</c:v>
                </c:pt>
                <c:pt idx="9">
                  <c:v>0.2</c:v>
                </c:pt>
                <c:pt idx="10">
                  <c:v>0.2</c:v>
                </c:pt>
                <c:pt idx="11">
                  <c:v>0.3</c:v>
                </c:pt>
                <c:pt idx="12">
                  <c:v>0.5</c:v>
                </c:pt>
                <c:pt idx="13">
                  <c:v>0.5</c:v>
                </c:pt>
                <c:pt idx="14">
                  <c:v>0.3</c:v>
                </c:pt>
                <c:pt idx="15">
                  <c:v>0.2</c:v>
                </c:pt>
                <c:pt idx="16">
                  <c:v>0.25</c:v>
                </c:pt>
                <c:pt idx="17">
                  <c:v>0.35</c:v>
                </c:pt>
                <c:pt idx="18">
                  <c:v>0.55000000000000004</c:v>
                </c:pt>
                <c:pt idx="19">
                  <c:v>0.65</c:v>
                </c:pt>
                <c:pt idx="20">
                  <c:v>0.7</c:v>
                </c:pt>
                <c:pt idx="21">
                  <c:v>0.35</c:v>
                </c:pt>
                <c:pt idx="22">
                  <c:v>0.2</c:v>
                </c:pt>
                <c:pt idx="23">
                  <c:v>0.2</c:v>
                </c:pt>
              </c:numCache>
            </c:numRef>
          </c:val>
          <c:smooth val="0"/>
          <c:extLst>
            <c:ext xmlns:c16="http://schemas.microsoft.com/office/drawing/2014/chart" uri="{C3380CC4-5D6E-409C-BE32-E72D297353CC}">
              <c16:uniqueId val="{00000002-37C1-4D07-80BC-CB3AE2F28BC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Schedules!$C$50</c:f>
          <c:strCache>
            <c:ptCount val="1"/>
            <c:pt idx="0">
              <c:v>ExhaustHoodEqualOrLessThan5000cfm</c:v>
            </c:pt>
          </c:strCache>
        </c:strRef>
      </c:tx>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7.9156953280254336E-2"/>
          <c:y val="0.22808744190056107"/>
          <c:w val="0.87403754929538657"/>
          <c:h val="0.50735088109999205"/>
        </c:manualLayout>
      </c:layout>
      <c:lineChart>
        <c:grouping val="standard"/>
        <c:varyColors val="0"/>
        <c:ser>
          <c:idx val="0"/>
          <c:order val="0"/>
          <c:tx>
            <c:strRef>
              <c:f>Schedules!$E$50</c:f>
              <c:strCache>
                <c:ptCount val="1"/>
                <c:pt idx="0">
                  <c:v>Weekday</c:v>
                </c:pt>
              </c:strCache>
            </c:strRef>
          </c:tx>
          <c:spPr>
            <a:ln w="28575" cap="rnd">
              <a:solidFill>
                <a:schemeClr val="accent1"/>
              </a:solidFill>
              <a:round/>
            </a:ln>
            <a:effectLst/>
          </c:spPr>
          <c:marker>
            <c:symbol val="none"/>
          </c:marker>
          <c:val>
            <c:numRef>
              <c:f>Schedules!$F$50:$AC$50</c:f>
              <c:numCache>
                <c:formatCode>0.00</c:formatCode>
                <c:ptCount val="24"/>
                <c:pt idx="0">
                  <c:v>0</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0</c:v>
                </c:pt>
                <c:pt idx="20">
                  <c:v>0</c:v>
                </c:pt>
                <c:pt idx="21">
                  <c:v>0</c:v>
                </c:pt>
                <c:pt idx="22">
                  <c:v>0</c:v>
                </c:pt>
                <c:pt idx="23">
                  <c:v>0</c:v>
                </c:pt>
              </c:numCache>
            </c:numRef>
          </c:val>
          <c:smooth val="0"/>
          <c:extLst>
            <c:ext xmlns:c16="http://schemas.microsoft.com/office/drawing/2014/chart" uri="{C3380CC4-5D6E-409C-BE32-E72D297353CC}">
              <c16:uniqueId val="{00000015-085F-4262-8FF0-B35472D6CEF4}"/>
            </c:ext>
          </c:extLst>
        </c:ser>
        <c:ser>
          <c:idx val="1"/>
          <c:order val="1"/>
          <c:tx>
            <c:strRef>
              <c:f>Schedules!$E$51</c:f>
              <c:strCache>
                <c:ptCount val="1"/>
                <c:pt idx="0">
                  <c:v>Saturday</c:v>
                </c:pt>
              </c:strCache>
            </c:strRef>
          </c:tx>
          <c:spPr>
            <a:ln w="28575" cap="rnd">
              <a:solidFill>
                <a:schemeClr val="accent2"/>
              </a:solidFill>
              <a:round/>
            </a:ln>
            <a:effectLst/>
          </c:spPr>
          <c:marker>
            <c:symbol val="none"/>
          </c:marker>
          <c:val>
            <c:numRef>
              <c:f>Schedules!$F$51:$AC$51</c:f>
              <c:numCache>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0</c:v>
                </c:pt>
                <c:pt idx="20">
                  <c:v>0</c:v>
                </c:pt>
                <c:pt idx="21">
                  <c:v>0</c:v>
                </c:pt>
                <c:pt idx="22">
                  <c:v>0</c:v>
                </c:pt>
                <c:pt idx="23">
                  <c:v>0</c:v>
                </c:pt>
              </c:numCache>
            </c:numRef>
          </c:val>
          <c:smooth val="0"/>
          <c:extLst>
            <c:ext xmlns:c16="http://schemas.microsoft.com/office/drawing/2014/chart" uri="{C3380CC4-5D6E-409C-BE32-E72D297353CC}">
              <c16:uniqueId val="{00000016-085F-4262-8FF0-B35472D6CEF4}"/>
            </c:ext>
          </c:extLst>
        </c:ser>
        <c:ser>
          <c:idx val="2"/>
          <c:order val="2"/>
          <c:tx>
            <c:strRef>
              <c:f>Schedules!$E$52</c:f>
              <c:strCache>
                <c:ptCount val="1"/>
                <c:pt idx="0">
                  <c:v>Sunday</c:v>
                </c:pt>
              </c:strCache>
            </c:strRef>
          </c:tx>
          <c:spPr>
            <a:ln w="28575" cap="rnd">
              <a:solidFill>
                <a:schemeClr val="accent3"/>
              </a:solidFill>
              <a:round/>
            </a:ln>
            <a:effectLst/>
          </c:spPr>
          <c:marker>
            <c:symbol val="none"/>
          </c:marker>
          <c:val>
            <c:numRef>
              <c:f>Schedules!$F$52:$AC$52</c:f>
              <c:numCache>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0</c:v>
                </c:pt>
                <c:pt idx="20">
                  <c:v>0</c:v>
                </c:pt>
                <c:pt idx="21">
                  <c:v>0</c:v>
                </c:pt>
                <c:pt idx="22">
                  <c:v>0</c:v>
                </c:pt>
                <c:pt idx="23">
                  <c:v>0</c:v>
                </c:pt>
              </c:numCache>
            </c:numRef>
          </c:val>
          <c:smooth val="0"/>
          <c:extLst>
            <c:ext xmlns:c16="http://schemas.microsoft.com/office/drawing/2014/chart" uri="{C3380CC4-5D6E-409C-BE32-E72D297353CC}">
              <c16:uniqueId val="{00000017-085F-4262-8FF0-B35472D6CEF4}"/>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r"/>
      <c:layout>
        <c:manualLayout>
          <c:xMode val="edge"/>
          <c:yMode val="edge"/>
          <c:x val="0.77520614866267623"/>
          <c:y val="0.13592305371369456"/>
          <c:w val="0.20367658900866684"/>
          <c:h val="0.443043692214854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Schedules!$C$47</c:f>
          <c:strCache>
            <c:ptCount val="1"/>
            <c:pt idx="0">
              <c:v>Infiltration</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Schedules!$E$47</c:f>
              <c:strCache>
                <c:ptCount val="1"/>
                <c:pt idx="0">
                  <c:v>Weekday</c:v>
                </c:pt>
              </c:strCache>
            </c:strRef>
          </c:tx>
          <c:spPr>
            <a:ln w="28575" cap="rnd">
              <a:solidFill>
                <a:schemeClr val="accent1"/>
              </a:solidFill>
              <a:round/>
            </a:ln>
            <a:effectLst/>
          </c:spPr>
          <c:marker>
            <c:symbol val="none"/>
          </c:marker>
          <c:val>
            <c:numRef>
              <c:f>Schedules!$F$47:$AC$47</c:f>
              <c:numCache>
                <c:formatCode>0.00</c:formatCode>
                <c:ptCount val="24"/>
                <c:pt idx="0">
                  <c:v>0.25</c:v>
                </c:pt>
                <c:pt idx="1">
                  <c:v>0</c:v>
                </c:pt>
                <c:pt idx="2">
                  <c:v>0</c:v>
                </c:pt>
                <c:pt idx="3">
                  <c:v>1</c:v>
                </c:pt>
                <c:pt idx="4">
                  <c:v>0.25</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0-12AC-4F55-879C-80C92EF74F31}"/>
            </c:ext>
          </c:extLst>
        </c:ser>
        <c:ser>
          <c:idx val="1"/>
          <c:order val="1"/>
          <c:tx>
            <c:strRef>
              <c:f>Schedules!$E$48</c:f>
              <c:strCache>
                <c:ptCount val="1"/>
                <c:pt idx="0">
                  <c:v>Saturday</c:v>
                </c:pt>
              </c:strCache>
            </c:strRef>
          </c:tx>
          <c:spPr>
            <a:ln w="28575" cap="rnd">
              <a:solidFill>
                <a:schemeClr val="accent2"/>
              </a:solidFill>
              <a:round/>
            </a:ln>
            <a:effectLst/>
          </c:spPr>
          <c:marker>
            <c:symbol val="none"/>
          </c:marker>
          <c:val>
            <c:numRef>
              <c:f>Schedules!$F$48:$AC$48</c:f>
              <c:numCache>
                <c:formatCode>0.00</c:formatCode>
                <c:ptCount val="24"/>
                <c:pt idx="0">
                  <c:v>0.25</c:v>
                </c:pt>
                <c:pt idx="1">
                  <c:v>0</c:v>
                </c:pt>
                <c:pt idx="2">
                  <c:v>0</c:v>
                </c:pt>
                <c:pt idx="3">
                  <c:v>1</c:v>
                </c:pt>
                <c:pt idx="4">
                  <c:v>1</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1-12AC-4F55-879C-80C92EF74F31}"/>
            </c:ext>
          </c:extLst>
        </c:ser>
        <c:ser>
          <c:idx val="2"/>
          <c:order val="2"/>
          <c:tx>
            <c:strRef>
              <c:f>Schedules!$E$49</c:f>
              <c:strCache>
                <c:ptCount val="1"/>
                <c:pt idx="0">
                  <c:v>Sunday</c:v>
                </c:pt>
              </c:strCache>
            </c:strRef>
          </c:tx>
          <c:spPr>
            <a:ln w="28575" cap="rnd">
              <a:solidFill>
                <a:schemeClr val="accent3"/>
              </a:solidFill>
              <a:round/>
            </a:ln>
            <a:effectLst/>
          </c:spPr>
          <c:marker>
            <c:symbol val="none"/>
          </c:marker>
          <c:val>
            <c:numRef>
              <c:f>Schedules!$F$49:$AC$49</c:f>
              <c:numCache>
                <c:formatCode>0.00</c:formatCode>
                <c:ptCount val="24"/>
                <c:pt idx="0">
                  <c:v>0.25</c:v>
                </c:pt>
                <c:pt idx="1">
                  <c:v>0</c:v>
                </c:pt>
                <c:pt idx="2">
                  <c:v>0</c:v>
                </c:pt>
                <c:pt idx="3">
                  <c:v>1</c:v>
                </c:pt>
                <c:pt idx="4">
                  <c:v>1</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2-12AC-4F55-879C-80C92EF74F31}"/>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Assembly Elevator</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01DF-4F16-99AF-01E1B8DDB62F}"/>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01DF-4F16-99AF-01E1B8DDB62F}"/>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01DF-4F16-99AF-01E1B8DDB62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c:f>
          <c:strCache>
            <c:ptCount val="1"/>
            <c:pt idx="0">
              <c:v>Occupancy</c:v>
            </c:pt>
          </c:strCache>
        </c:strRef>
      </c:tx>
      <c:layout>
        <c:manualLayout>
          <c:xMode val="edge"/>
          <c:yMode val="edge"/>
          <c:x val="0.43100676426761531"/>
          <c:y val="1.5526224945522018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c:f>
              <c:strCache>
                <c:ptCount val="1"/>
                <c:pt idx="0">
                  <c:v>Weekday</c:v>
                </c:pt>
              </c:strCache>
            </c:strRef>
          </c:tx>
          <c:spPr>
            <a:ln w="28575" cap="rnd">
              <a:solidFill>
                <a:schemeClr val="accent1"/>
              </a:solidFill>
              <a:round/>
            </a:ln>
            <a:effectLst/>
          </c:spPr>
          <c:marker>
            <c:symbol val="none"/>
          </c:marker>
          <c:val>
            <c:numRef>
              <c:f>Schedules!$F$4:$AC$4</c:f>
              <c:numCache>
                <c:formatCode>0.00</c:formatCode>
                <c:ptCount val="24"/>
                <c:pt idx="0">
                  <c:v>0.05</c:v>
                </c:pt>
                <c:pt idx="1">
                  <c:v>0</c:v>
                </c:pt>
                <c:pt idx="2">
                  <c:v>0</c:v>
                </c:pt>
                <c:pt idx="3">
                  <c:v>0</c:v>
                </c:pt>
                <c:pt idx="4">
                  <c:v>0</c:v>
                </c:pt>
                <c:pt idx="5">
                  <c:v>0.05</c:v>
                </c:pt>
                <c:pt idx="6">
                  <c:v>0.1</c:v>
                </c:pt>
                <c:pt idx="7">
                  <c:v>0.4</c:v>
                </c:pt>
                <c:pt idx="8">
                  <c:v>0.4</c:v>
                </c:pt>
                <c:pt idx="9">
                  <c:v>0.4</c:v>
                </c:pt>
                <c:pt idx="10">
                  <c:v>0.2</c:v>
                </c:pt>
                <c:pt idx="11">
                  <c:v>0.5</c:v>
                </c:pt>
                <c:pt idx="12">
                  <c:v>0.8</c:v>
                </c:pt>
                <c:pt idx="13">
                  <c:v>0.7</c:v>
                </c:pt>
                <c:pt idx="14">
                  <c:v>0.4</c:v>
                </c:pt>
                <c:pt idx="15">
                  <c:v>0.2</c:v>
                </c:pt>
                <c:pt idx="16">
                  <c:v>0.25</c:v>
                </c:pt>
                <c:pt idx="17">
                  <c:v>0.5</c:v>
                </c:pt>
                <c:pt idx="18">
                  <c:v>0.8</c:v>
                </c:pt>
                <c:pt idx="19">
                  <c:v>0.8</c:v>
                </c:pt>
                <c:pt idx="20">
                  <c:v>0.8</c:v>
                </c:pt>
                <c:pt idx="21">
                  <c:v>0.5</c:v>
                </c:pt>
                <c:pt idx="22">
                  <c:v>0.35</c:v>
                </c:pt>
                <c:pt idx="23">
                  <c:v>0.2</c:v>
                </c:pt>
              </c:numCache>
            </c:numRef>
          </c:val>
          <c:smooth val="0"/>
          <c:extLst>
            <c:ext xmlns:c16="http://schemas.microsoft.com/office/drawing/2014/chart" uri="{C3380CC4-5D6E-409C-BE32-E72D297353CC}">
              <c16:uniqueId val="{00000000-3883-423A-9D30-BCCF0FB1CCB4}"/>
            </c:ext>
          </c:extLst>
        </c:ser>
        <c:ser>
          <c:idx val="1"/>
          <c:order val="1"/>
          <c:tx>
            <c:strRef>
              <c:f>Schedules!$E$5</c:f>
              <c:strCache>
                <c:ptCount val="1"/>
                <c:pt idx="0">
                  <c:v>Saturday</c:v>
                </c:pt>
              </c:strCache>
            </c:strRef>
          </c:tx>
          <c:spPr>
            <a:ln w="28575" cap="rnd">
              <a:solidFill>
                <a:schemeClr val="accent2"/>
              </a:solidFill>
              <a:round/>
            </a:ln>
            <a:effectLst/>
          </c:spPr>
          <c:marker>
            <c:symbol val="none"/>
          </c:marker>
          <c:val>
            <c:numRef>
              <c:f>Schedules!$F$5:$AC$5</c:f>
              <c:numCache>
                <c:formatCode>0.00</c:formatCode>
                <c:ptCount val="24"/>
                <c:pt idx="0">
                  <c:v>0.05</c:v>
                </c:pt>
                <c:pt idx="1">
                  <c:v>0</c:v>
                </c:pt>
                <c:pt idx="2">
                  <c:v>0</c:v>
                </c:pt>
                <c:pt idx="3">
                  <c:v>0</c:v>
                </c:pt>
                <c:pt idx="4">
                  <c:v>0</c:v>
                </c:pt>
                <c:pt idx="5">
                  <c:v>0</c:v>
                </c:pt>
                <c:pt idx="6">
                  <c:v>0.05</c:v>
                </c:pt>
                <c:pt idx="7">
                  <c:v>0.5</c:v>
                </c:pt>
                <c:pt idx="8">
                  <c:v>0.5</c:v>
                </c:pt>
                <c:pt idx="9">
                  <c:v>0.4</c:v>
                </c:pt>
                <c:pt idx="10">
                  <c:v>0.2</c:v>
                </c:pt>
                <c:pt idx="11">
                  <c:v>0.45</c:v>
                </c:pt>
                <c:pt idx="12">
                  <c:v>0.5</c:v>
                </c:pt>
                <c:pt idx="13">
                  <c:v>0.5</c:v>
                </c:pt>
                <c:pt idx="14">
                  <c:v>0.35</c:v>
                </c:pt>
                <c:pt idx="15">
                  <c:v>0.3</c:v>
                </c:pt>
                <c:pt idx="16">
                  <c:v>0.3</c:v>
                </c:pt>
                <c:pt idx="17">
                  <c:v>0.3</c:v>
                </c:pt>
                <c:pt idx="18">
                  <c:v>0.7</c:v>
                </c:pt>
                <c:pt idx="19">
                  <c:v>0.9</c:v>
                </c:pt>
                <c:pt idx="20">
                  <c:v>0.7</c:v>
                </c:pt>
                <c:pt idx="21">
                  <c:v>0.65</c:v>
                </c:pt>
                <c:pt idx="22">
                  <c:v>0.55000000000000004</c:v>
                </c:pt>
                <c:pt idx="23">
                  <c:v>0.35</c:v>
                </c:pt>
              </c:numCache>
            </c:numRef>
          </c:val>
          <c:smooth val="0"/>
          <c:extLst>
            <c:ext xmlns:c16="http://schemas.microsoft.com/office/drawing/2014/chart" uri="{C3380CC4-5D6E-409C-BE32-E72D297353CC}">
              <c16:uniqueId val="{00000001-3883-423A-9D30-BCCF0FB1CCB4}"/>
            </c:ext>
          </c:extLst>
        </c:ser>
        <c:ser>
          <c:idx val="2"/>
          <c:order val="2"/>
          <c:tx>
            <c:strRef>
              <c:f>Schedules!$E$6</c:f>
              <c:strCache>
                <c:ptCount val="1"/>
                <c:pt idx="0">
                  <c:v>Sunday</c:v>
                </c:pt>
              </c:strCache>
            </c:strRef>
          </c:tx>
          <c:spPr>
            <a:ln w="28575" cap="rnd">
              <a:solidFill>
                <a:schemeClr val="accent3"/>
              </a:solidFill>
              <a:round/>
            </a:ln>
            <a:effectLst/>
          </c:spPr>
          <c:marker>
            <c:symbol val="none"/>
          </c:marker>
          <c:val>
            <c:numRef>
              <c:f>Schedules!$F$6:$AC$6</c:f>
              <c:numCache>
                <c:formatCode>0.00</c:formatCode>
                <c:ptCount val="24"/>
                <c:pt idx="0">
                  <c:v>0.05</c:v>
                </c:pt>
                <c:pt idx="1">
                  <c:v>0</c:v>
                </c:pt>
                <c:pt idx="2">
                  <c:v>0</c:v>
                </c:pt>
                <c:pt idx="3">
                  <c:v>0</c:v>
                </c:pt>
                <c:pt idx="4">
                  <c:v>0</c:v>
                </c:pt>
                <c:pt idx="5">
                  <c:v>0</c:v>
                </c:pt>
                <c:pt idx="6">
                  <c:v>0.05</c:v>
                </c:pt>
                <c:pt idx="7">
                  <c:v>0.5</c:v>
                </c:pt>
                <c:pt idx="8">
                  <c:v>0.5</c:v>
                </c:pt>
                <c:pt idx="9">
                  <c:v>0.2</c:v>
                </c:pt>
                <c:pt idx="10">
                  <c:v>0.2</c:v>
                </c:pt>
                <c:pt idx="11">
                  <c:v>0.3</c:v>
                </c:pt>
                <c:pt idx="12">
                  <c:v>0.5</c:v>
                </c:pt>
                <c:pt idx="13">
                  <c:v>0.5</c:v>
                </c:pt>
                <c:pt idx="14">
                  <c:v>0.3</c:v>
                </c:pt>
                <c:pt idx="15">
                  <c:v>0.2</c:v>
                </c:pt>
                <c:pt idx="16">
                  <c:v>0.25</c:v>
                </c:pt>
                <c:pt idx="17">
                  <c:v>0.35</c:v>
                </c:pt>
                <c:pt idx="18">
                  <c:v>0.55000000000000004</c:v>
                </c:pt>
                <c:pt idx="19">
                  <c:v>0.65</c:v>
                </c:pt>
                <c:pt idx="20">
                  <c:v>0.7</c:v>
                </c:pt>
                <c:pt idx="21">
                  <c:v>0.35</c:v>
                </c:pt>
                <c:pt idx="22">
                  <c:v>0.2</c:v>
                </c:pt>
                <c:pt idx="23">
                  <c:v>0.2</c:v>
                </c:pt>
              </c:numCache>
            </c:numRef>
          </c:val>
          <c:smooth val="0"/>
          <c:extLst>
            <c:ext xmlns:c16="http://schemas.microsoft.com/office/drawing/2014/chart" uri="{C3380CC4-5D6E-409C-BE32-E72D297353CC}">
              <c16:uniqueId val="{00000002-3883-423A-9D30-BCCF0FB1CCB4}"/>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Schedules!#REF!</c:f>
          <c:strCache>
            <c:ptCount val="1"/>
            <c:pt idx="0">
              <c:v>#REF!</c:v>
            </c:pt>
          </c:strCache>
        </c:strRef>
      </c:tx>
      <c:layout>
        <c:manualLayout>
          <c:xMode val="edge"/>
          <c:yMode val="edge"/>
          <c:x val="0.19467220686911652"/>
          <c:y val="2.55161153355201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9891178341607931E-2"/>
          <c:y val="0.15773211963240721"/>
          <c:w val="0.62572569311297588"/>
          <c:h val="0.6463322425919551"/>
        </c:manualLayout>
      </c:layout>
      <c:lineChart>
        <c:grouping val="standard"/>
        <c:varyColors val="0"/>
        <c:ser>
          <c:idx val="0"/>
          <c:order val="0"/>
          <c:spPr>
            <a:ln w="28575" cap="rnd">
              <a:solidFill>
                <a:schemeClr val="accent1"/>
              </a:solidFill>
              <a:round/>
            </a:ln>
            <a:effectLst/>
          </c:spPr>
          <c:marker>
            <c:symbol val="triangle"/>
            <c:size val="5"/>
            <c:spPr>
              <a:solidFill>
                <a:srgbClr val="002F8E"/>
              </a:solidFill>
              <a:ln w="9525">
                <a:solidFill>
                  <a:srgbClr val="002F8E"/>
                </a:solidFill>
              </a:ln>
              <a:effectLst/>
            </c:spPr>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8ED2-4D7E-96EA-FE96DEBE7DA5}"/>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8ED2-4D7E-96EA-FE96DEBE7DA5}"/>
            </c:ext>
          </c:extLst>
        </c:ser>
        <c:ser>
          <c:idx val="2"/>
          <c:order val="2"/>
          <c:spPr>
            <a:ln w="28575" cap="rnd">
              <a:solidFill>
                <a:schemeClr val="accent3"/>
              </a:solidFill>
              <a:round/>
            </a:ln>
            <a:effectLst/>
          </c:spPr>
          <c:marker>
            <c:symbol val="x"/>
            <c:size val="5"/>
            <c:spPr>
              <a:noFill/>
              <a:ln w="9525">
                <a:solidFill>
                  <a:schemeClr val="accent3"/>
                </a:solidFill>
              </a:ln>
              <a:effectLst/>
            </c:spPr>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8ED2-4D7E-96EA-FE96DEBE7DA5}"/>
            </c:ext>
          </c:extLst>
        </c:ser>
        <c:ser>
          <c:idx val="3"/>
          <c:order val="3"/>
          <c:spPr>
            <a:ln w="28575" cap="rnd">
              <a:solidFill>
                <a:schemeClr val="accent4"/>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3-8ED2-4D7E-96EA-FE96DEBE7DA5}"/>
            </c:ext>
          </c:extLst>
        </c:ser>
        <c:ser>
          <c:idx val="4"/>
          <c:order val="4"/>
          <c:spPr>
            <a:ln w="28575" cap="rnd">
              <a:solidFill>
                <a:schemeClr val="accent5"/>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4-8ED2-4D7E-96EA-FE96DEBE7DA5}"/>
            </c:ext>
          </c:extLst>
        </c:ser>
        <c:ser>
          <c:idx val="5"/>
          <c:order val="5"/>
          <c:spPr>
            <a:ln w="28575" cap="rnd">
              <a:solidFill>
                <a:schemeClr val="accent6"/>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6-8ED2-4D7E-96EA-FE96DEBE7DA5}"/>
            </c:ext>
          </c:extLst>
        </c:ser>
        <c:dLbls>
          <c:showLegendKey val="0"/>
          <c:showVal val="0"/>
          <c:showCatName val="0"/>
          <c:showSerName val="0"/>
          <c:showPercent val="0"/>
          <c:showBubbleSize val="0"/>
        </c:dLbls>
        <c:marker val="1"/>
        <c:smooth val="0"/>
        <c:axId val="237284431"/>
        <c:axId val="237284911"/>
      </c:lineChart>
      <c:catAx>
        <c:axId val="237284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284911"/>
        <c:crosses val="autoZero"/>
        <c:auto val="1"/>
        <c:lblAlgn val="ctr"/>
        <c:lblOffset val="100"/>
        <c:noMultiLvlLbl val="0"/>
      </c:catAx>
      <c:valAx>
        <c:axId val="237284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284431"/>
        <c:crosses val="autoZero"/>
        <c:crossBetween val="between"/>
      </c:valAx>
      <c:spPr>
        <a:noFill/>
        <a:ln>
          <a:noFill/>
        </a:ln>
        <a:effectLst/>
      </c:spPr>
    </c:plotArea>
    <c:legend>
      <c:legendPos val="b"/>
      <c:layout>
        <c:manualLayout>
          <c:xMode val="edge"/>
          <c:yMode val="edge"/>
          <c:x val="0.69404814902996603"/>
          <c:y val="0.14467704366671266"/>
          <c:w val="0.26641446372114824"/>
          <c:h val="0.536371514639285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Schedules!$C$53</c:f>
          <c:strCache>
            <c:ptCount val="1"/>
            <c:pt idx="0">
              <c:v>ExhaustHoodGreaterThan 5000cfm</c:v>
            </c:pt>
          </c:strCache>
        </c:strRef>
      </c:tx>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7.9336457077718955E-2"/>
          <c:y val="0.27580859828497228"/>
          <c:w val="0.8918934619209431"/>
          <c:h val="0.45734763849155685"/>
        </c:manualLayout>
      </c:layout>
      <c:lineChart>
        <c:grouping val="standard"/>
        <c:varyColors val="0"/>
        <c:ser>
          <c:idx val="0"/>
          <c:order val="0"/>
          <c:tx>
            <c:strRef>
              <c:f>Schedules!$E$53</c:f>
              <c:strCache>
                <c:ptCount val="1"/>
                <c:pt idx="0">
                  <c:v>Weekday</c:v>
                </c:pt>
              </c:strCache>
            </c:strRef>
          </c:tx>
          <c:spPr>
            <a:ln w="28575" cap="rnd">
              <a:solidFill>
                <a:schemeClr val="accent1"/>
              </a:solidFill>
              <a:round/>
            </a:ln>
            <a:effectLst/>
          </c:spPr>
          <c:marker>
            <c:symbol val="none"/>
          </c:marker>
          <c:val>
            <c:numRef>
              <c:f>Schedules!$F$53:$AC$53</c:f>
              <c:numCache>
                <c:formatCode>0.00</c:formatCode>
                <c:ptCount val="24"/>
                <c:pt idx="0">
                  <c:v>0</c:v>
                </c:pt>
                <c:pt idx="1">
                  <c:v>0</c:v>
                </c:pt>
                <c:pt idx="2">
                  <c:v>0</c:v>
                </c:pt>
                <c:pt idx="3">
                  <c:v>0</c:v>
                </c:pt>
                <c:pt idx="4">
                  <c:v>0</c:v>
                </c:pt>
                <c:pt idx="5">
                  <c:v>1</c:v>
                </c:pt>
                <c:pt idx="6">
                  <c:v>0.5</c:v>
                </c:pt>
                <c:pt idx="7">
                  <c:v>1</c:v>
                </c:pt>
                <c:pt idx="8">
                  <c:v>0.5</c:v>
                </c:pt>
                <c:pt idx="9">
                  <c:v>1</c:v>
                </c:pt>
                <c:pt idx="10">
                  <c:v>0.5</c:v>
                </c:pt>
                <c:pt idx="11">
                  <c:v>1</c:v>
                </c:pt>
                <c:pt idx="12">
                  <c:v>0.5</c:v>
                </c:pt>
                <c:pt idx="13">
                  <c:v>1</c:v>
                </c:pt>
                <c:pt idx="14">
                  <c:v>0.5</c:v>
                </c:pt>
                <c:pt idx="15">
                  <c:v>1</c:v>
                </c:pt>
                <c:pt idx="16">
                  <c:v>0.5</c:v>
                </c:pt>
                <c:pt idx="17">
                  <c:v>1</c:v>
                </c:pt>
                <c:pt idx="18">
                  <c:v>0.5</c:v>
                </c:pt>
                <c:pt idx="19">
                  <c:v>0</c:v>
                </c:pt>
                <c:pt idx="20">
                  <c:v>0</c:v>
                </c:pt>
                <c:pt idx="21">
                  <c:v>0</c:v>
                </c:pt>
                <c:pt idx="22">
                  <c:v>0</c:v>
                </c:pt>
                <c:pt idx="23">
                  <c:v>0</c:v>
                </c:pt>
              </c:numCache>
            </c:numRef>
          </c:val>
          <c:smooth val="0"/>
          <c:extLst>
            <c:ext xmlns:c16="http://schemas.microsoft.com/office/drawing/2014/chart" uri="{C3380CC4-5D6E-409C-BE32-E72D297353CC}">
              <c16:uniqueId val="{00000000-E963-4AF0-92E5-5ED07C5C4C9E}"/>
            </c:ext>
          </c:extLst>
        </c:ser>
        <c:ser>
          <c:idx val="1"/>
          <c:order val="1"/>
          <c:tx>
            <c:strRef>
              <c:f>Schedules!$E$54</c:f>
              <c:strCache>
                <c:ptCount val="1"/>
                <c:pt idx="0">
                  <c:v>Saturday</c:v>
                </c:pt>
              </c:strCache>
            </c:strRef>
          </c:tx>
          <c:spPr>
            <a:ln w="28575" cap="rnd">
              <a:solidFill>
                <a:schemeClr val="accent2"/>
              </a:solidFill>
              <a:round/>
            </a:ln>
            <a:effectLst/>
          </c:spPr>
          <c:marker>
            <c:symbol val="none"/>
          </c:marker>
          <c:val>
            <c:numRef>
              <c:f>Schedules!$F$54:$AC$54</c:f>
              <c:numCache>
                <c:formatCode>0.00</c:formatCode>
                <c:ptCount val="24"/>
                <c:pt idx="0">
                  <c:v>0</c:v>
                </c:pt>
                <c:pt idx="1">
                  <c:v>0</c:v>
                </c:pt>
                <c:pt idx="2">
                  <c:v>0</c:v>
                </c:pt>
                <c:pt idx="3">
                  <c:v>0</c:v>
                </c:pt>
                <c:pt idx="4">
                  <c:v>0</c:v>
                </c:pt>
                <c:pt idx="5">
                  <c:v>0</c:v>
                </c:pt>
                <c:pt idx="6">
                  <c:v>0.5</c:v>
                </c:pt>
                <c:pt idx="7">
                  <c:v>1</c:v>
                </c:pt>
                <c:pt idx="8">
                  <c:v>0.5</c:v>
                </c:pt>
                <c:pt idx="9">
                  <c:v>1</c:v>
                </c:pt>
                <c:pt idx="10">
                  <c:v>0.5</c:v>
                </c:pt>
                <c:pt idx="11">
                  <c:v>1</c:v>
                </c:pt>
                <c:pt idx="12">
                  <c:v>0.5</c:v>
                </c:pt>
                <c:pt idx="13">
                  <c:v>1</c:v>
                </c:pt>
                <c:pt idx="14">
                  <c:v>0.5</c:v>
                </c:pt>
                <c:pt idx="15">
                  <c:v>1</c:v>
                </c:pt>
                <c:pt idx="16">
                  <c:v>0.5</c:v>
                </c:pt>
                <c:pt idx="17">
                  <c:v>1</c:v>
                </c:pt>
                <c:pt idx="18">
                  <c:v>0.5</c:v>
                </c:pt>
                <c:pt idx="19">
                  <c:v>0</c:v>
                </c:pt>
                <c:pt idx="20">
                  <c:v>0</c:v>
                </c:pt>
                <c:pt idx="21">
                  <c:v>0</c:v>
                </c:pt>
                <c:pt idx="22">
                  <c:v>0</c:v>
                </c:pt>
                <c:pt idx="23">
                  <c:v>0</c:v>
                </c:pt>
              </c:numCache>
            </c:numRef>
          </c:val>
          <c:smooth val="0"/>
          <c:extLst>
            <c:ext xmlns:c16="http://schemas.microsoft.com/office/drawing/2014/chart" uri="{C3380CC4-5D6E-409C-BE32-E72D297353CC}">
              <c16:uniqueId val="{00000001-E963-4AF0-92E5-5ED07C5C4C9E}"/>
            </c:ext>
          </c:extLst>
        </c:ser>
        <c:ser>
          <c:idx val="2"/>
          <c:order val="2"/>
          <c:tx>
            <c:strRef>
              <c:f>Schedules!$E$55</c:f>
              <c:strCache>
                <c:ptCount val="1"/>
                <c:pt idx="0">
                  <c:v>Sunday</c:v>
                </c:pt>
              </c:strCache>
            </c:strRef>
          </c:tx>
          <c:spPr>
            <a:ln w="28575" cap="rnd">
              <a:solidFill>
                <a:schemeClr val="accent3"/>
              </a:solidFill>
              <a:round/>
            </a:ln>
            <a:effectLst/>
          </c:spPr>
          <c:marker>
            <c:symbol val="none"/>
          </c:marker>
          <c:val>
            <c:numRef>
              <c:f>Schedules!$F$55:$AC$55</c:f>
              <c:numCache>
                <c:formatCode>0.00</c:formatCode>
                <c:ptCount val="24"/>
                <c:pt idx="0">
                  <c:v>0</c:v>
                </c:pt>
                <c:pt idx="1">
                  <c:v>0</c:v>
                </c:pt>
                <c:pt idx="2">
                  <c:v>0</c:v>
                </c:pt>
                <c:pt idx="3">
                  <c:v>0</c:v>
                </c:pt>
                <c:pt idx="4">
                  <c:v>0</c:v>
                </c:pt>
                <c:pt idx="5">
                  <c:v>0</c:v>
                </c:pt>
                <c:pt idx="6">
                  <c:v>0.5</c:v>
                </c:pt>
                <c:pt idx="7">
                  <c:v>1</c:v>
                </c:pt>
                <c:pt idx="8">
                  <c:v>0.5</c:v>
                </c:pt>
                <c:pt idx="9">
                  <c:v>1</c:v>
                </c:pt>
                <c:pt idx="10">
                  <c:v>0.5</c:v>
                </c:pt>
                <c:pt idx="11">
                  <c:v>1</c:v>
                </c:pt>
                <c:pt idx="12">
                  <c:v>0.5</c:v>
                </c:pt>
                <c:pt idx="13">
                  <c:v>1</c:v>
                </c:pt>
                <c:pt idx="14">
                  <c:v>0.5</c:v>
                </c:pt>
                <c:pt idx="15">
                  <c:v>1</c:v>
                </c:pt>
                <c:pt idx="16">
                  <c:v>0.5</c:v>
                </c:pt>
                <c:pt idx="17">
                  <c:v>1</c:v>
                </c:pt>
                <c:pt idx="18">
                  <c:v>0.5</c:v>
                </c:pt>
                <c:pt idx="19">
                  <c:v>0</c:v>
                </c:pt>
                <c:pt idx="20">
                  <c:v>0</c:v>
                </c:pt>
                <c:pt idx="21">
                  <c:v>0</c:v>
                </c:pt>
                <c:pt idx="22">
                  <c:v>0</c:v>
                </c:pt>
                <c:pt idx="23">
                  <c:v>0</c:v>
                </c:pt>
              </c:numCache>
            </c:numRef>
          </c:val>
          <c:smooth val="0"/>
          <c:extLst>
            <c:ext xmlns:c16="http://schemas.microsoft.com/office/drawing/2014/chart" uri="{C3380CC4-5D6E-409C-BE32-E72D297353CC}">
              <c16:uniqueId val="{00000002-E963-4AF0-92E5-5ED07C5C4C9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r"/>
      <c:layout>
        <c:manualLayout>
          <c:xMode val="edge"/>
          <c:yMode val="edge"/>
          <c:x val="0.77771997768731327"/>
          <c:y val="8.6771556123950835E-2"/>
          <c:w val="0.20413846531474766"/>
          <c:h val="0.458249999095831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PNNL</a:t>
            </a:r>
            <a:r>
              <a:rPr lang="en-US" sz="1050" b="1"/>
              <a:t>:</a:t>
            </a:r>
            <a:r>
              <a:rPr lang="en-US" sz="1050"/>
              <a:t> </a:t>
            </a:r>
            <a:r>
              <a:rPr lang="en-US" sz="1050" b="0" i="0" u="none" strike="noStrike" kern="1200" spc="0" baseline="0">
                <a:solidFill>
                  <a:sysClr val="windowText" lastClr="000000"/>
                </a:solidFill>
              </a:rPr>
              <a:t>Occpancy Schedule- Small office</a:t>
            </a:r>
            <a:endParaRPr lang="en-US" sz="1050"/>
          </a:p>
        </c:rich>
      </c:tx>
      <c:layout>
        <c:manualLayout>
          <c:xMode val="edge"/>
          <c:yMode val="edge"/>
          <c:x val="0.19171028919591523"/>
          <c:y val="2.48412215621803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Schedules!$B$142</c:f>
              <c:strCache>
                <c:ptCount val="1"/>
                <c:pt idx="0">
                  <c:v>PNNL (Core+ 3 Perimeter)</c:v>
                </c:pt>
              </c:strCache>
            </c:strRef>
          </c:tx>
          <c:spPr>
            <a:ln w="28575" cap="rnd">
              <a:solidFill>
                <a:schemeClr val="accent1"/>
              </a:solidFill>
              <a:round/>
            </a:ln>
            <a:effectLst/>
          </c:spPr>
          <c:marker>
            <c:symbol val="none"/>
          </c:marker>
          <c:cat>
            <c:numRef>
              <c:f>Schedules!$A$143:$A$166</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Schedules!$B$143:$B$166</c:f>
              <c:numCache>
                <c:formatCode>General</c:formatCode>
                <c:ptCount val="24"/>
                <c:pt idx="0">
                  <c:v>0</c:v>
                </c:pt>
                <c:pt idx="1">
                  <c:v>0</c:v>
                </c:pt>
                <c:pt idx="2">
                  <c:v>0</c:v>
                </c:pt>
                <c:pt idx="3">
                  <c:v>0</c:v>
                </c:pt>
                <c:pt idx="4">
                  <c:v>0</c:v>
                </c:pt>
                <c:pt idx="5">
                  <c:v>0</c:v>
                </c:pt>
                <c:pt idx="6">
                  <c:v>0.11</c:v>
                </c:pt>
                <c:pt idx="7">
                  <c:v>0.21</c:v>
                </c:pt>
                <c:pt idx="8">
                  <c:v>1</c:v>
                </c:pt>
                <c:pt idx="9">
                  <c:v>1</c:v>
                </c:pt>
                <c:pt idx="10">
                  <c:v>1</c:v>
                </c:pt>
                <c:pt idx="11">
                  <c:v>1</c:v>
                </c:pt>
                <c:pt idx="12">
                  <c:v>1</c:v>
                </c:pt>
                <c:pt idx="13">
                  <c:v>0.61</c:v>
                </c:pt>
                <c:pt idx="14">
                  <c:v>1</c:v>
                </c:pt>
                <c:pt idx="15">
                  <c:v>1</c:v>
                </c:pt>
                <c:pt idx="16">
                  <c:v>1</c:v>
                </c:pt>
                <c:pt idx="17">
                  <c:v>1</c:v>
                </c:pt>
                <c:pt idx="18">
                  <c:v>0.32</c:v>
                </c:pt>
                <c:pt idx="19">
                  <c:v>0.11</c:v>
                </c:pt>
                <c:pt idx="20">
                  <c:v>0.11</c:v>
                </c:pt>
                <c:pt idx="21">
                  <c:v>0.11</c:v>
                </c:pt>
                <c:pt idx="22">
                  <c:v>0.05</c:v>
                </c:pt>
                <c:pt idx="23">
                  <c:v>0</c:v>
                </c:pt>
              </c:numCache>
            </c:numRef>
          </c:val>
          <c:smooth val="0"/>
          <c:extLst>
            <c:ext xmlns:c16="http://schemas.microsoft.com/office/drawing/2014/chart" uri="{C3380CC4-5D6E-409C-BE32-E72D297353CC}">
              <c16:uniqueId val="{00000000-B158-42E1-A286-37FC43B28735}"/>
            </c:ext>
          </c:extLst>
        </c:ser>
        <c:ser>
          <c:idx val="1"/>
          <c:order val="1"/>
          <c:tx>
            <c:strRef>
              <c:f>Schedules!$C$142</c:f>
              <c:strCache>
                <c:ptCount val="1"/>
                <c:pt idx="0">
                  <c:v>PNNL( 1 Perimeter)</c:v>
                </c:pt>
              </c:strCache>
            </c:strRef>
          </c:tx>
          <c:spPr>
            <a:ln w="28575" cap="rnd">
              <a:solidFill>
                <a:schemeClr val="accent2"/>
              </a:solidFill>
              <a:prstDash val="dash"/>
              <a:round/>
            </a:ln>
            <a:effectLst/>
          </c:spPr>
          <c:marker>
            <c:symbol val="none"/>
          </c:marker>
          <c:cat>
            <c:numRef>
              <c:f>Schedules!$A$143:$A$166</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Schedules!$C$143:$C$166</c:f>
              <c:numCache>
                <c:formatCode>General</c:formatCode>
                <c:ptCount val="24"/>
                <c:pt idx="0">
                  <c:v>0</c:v>
                </c:pt>
                <c:pt idx="1">
                  <c:v>0</c:v>
                </c:pt>
                <c:pt idx="2">
                  <c:v>0</c:v>
                </c:pt>
                <c:pt idx="3">
                  <c:v>0</c:v>
                </c:pt>
                <c:pt idx="4">
                  <c:v>0</c:v>
                </c:pt>
                <c:pt idx="5">
                  <c:v>0</c:v>
                </c:pt>
                <c:pt idx="6">
                  <c:v>0.11</c:v>
                </c:pt>
                <c:pt idx="7">
                  <c:v>0.21</c:v>
                </c:pt>
                <c:pt idx="8">
                  <c:v>1</c:v>
                </c:pt>
                <c:pt idx="9">
                  <c:v>1</c:v>
                </c:pt>
                <c:pt idx="10">
                  <c:v>0</c:v>
                </c:pt>
                <c:pt idx="11">
                  <c:v>1</c:v>
                </c:pt>
                <c:pt idx="12">
                  <c:v>0</c:v>
                </c:pt>
                <c:pt idx="13">
                  <c:v>1</c:v>
                </c:pt>
                <c:pt idx="14">
                  <c:v>0</c:v>
                </c:pt>
                <c:pt idx="15">
                  <c:v>1</c:v>
                </c:pt>
                <c:pt idx="16">
                  <c:v>1</c:v>
                </c:pt>
                <c:pt idx="17">
                  <c:v>0.32</c:v>
                </c:pt>
                <c:pt idx="18">
                  <c:v>0.11</c:v>
                </c:pt>
                <c:pt idx="19">
                  <c:v>0.11</c:v>
                </c:pt>
                <c:pt idx="20">
                  <c:v>0.11</c:v>
                </c:pt>
                <c:pt idx="21">
                  <c:v>0.11</c:v>
                </c:pt>
                <c:pt idx="22">
                  <c:v>0.05</c:v>
                </c:pt>
                <c:pt idx="23">
                  <c:v>0</c:v>
                </c:pt>
              </c:numCache>
            </c:numRef>
          </c:val>
          <c:smooth val="0"/>
          <c:extLst>
            <c:ext xmlns:c16="http://schemas.microsoft.com/office/drawing/2014/chart" uri="{C3380CC4-5D6E-409C-BE32-E72D297353CC}">
              <c16:uniqueId val="{00000001-B158-42E1-A286-37FC43B28735}"/>
            </c:ext>
          </c:extLst>
        </c:ser>
        <c:dLbls>
          <c:showLegendKey val="0"/>
          <c:showVal val="0"/>
          <c:showCatName val="0"/>
          <c:showSerName val="0"/>
          <c:showPercent val="0"/>
          <c:showBubbleSize val="0"/>
        </c:dLbls>
        <c:smooth val="0"/>
        <c:axId val="1948449903"/>
        <c:axId val="1948435023"/>
      </c:lineChart>
      <c:catAx>
        <c:axId val="194844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435023"/>
        <c:crosses val="autoZero"/>
        <c:auto val="1"/>
        <c:lblAlgn val="ctr"/>
        <c:lblOffset val="100"/>
        <c:noMultiLvlLbl val="0"/>
      </c:catAx>
      <c:valAx>
        <c:axId val="1948435023"/>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4499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DEER</a:t>
            </a:r>
            <a:r>
              <a:rPr lang="en-US"/>
              <a:t>: </a:t>
            </a:r>
            <a:r>
              <a:rPr lang="en-US" sz="1050" b="0" i="0" u="none" strike="noStrike" kern="1200" spc="0" baseline="0">
                <a:solidFill>
                  <a:sysClr val="windowText" lastClr="000000"/>
                </a:solidFill>
              </a:rPr>
              <a:t>Occpancy Schedule- Small office</a:t>
            </a:r>
            <a:endParaRPr lang="en-US" sz="105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2"/>
          <c:order val="2"/>
          <c:tx>
            <c:strRef>
              <c:f>Schedules!$E$142</c:f>
              <c:strCache>
                <c:ptCount val="1"/>
                <c:pt idx="0">
                  <c:v>DEER Normal day</c:v>
                </c:pt>
              </c:strCache>
            </c:strRef>
          </c:tx>
          <c:spPr>
            <a:ln w="28575" cap="rnd">
              <a:solidFill>
                <a:schemeClr val="accent3"/>
              </a:solidFill>
              <a:round/>
            </a:ln>
            <a:effectLst/>
          </c:spPr>
          <c:marker>
            <c:symbol val="none"/>
          </c:marker>
          <c:cat>
            <c:numRef>
              <c:f>Schedules!$A$143:$A$166</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Schedules!$E$143:$E$166</c:f>
              <c:numCache>
                <c:formatCode>General</c:formatCode>
                <c:ptCount val="24"/>
                <c:pt idx="0">
                  <c:v>0</c:v>
                </c:pt>
                <c:pt idx="1">
                  <c:v>0</c:v>
                </c:pt>
                <c:pt idx="2">
                  <c:v>0</c:v>
                </c:pt>
                <c:pt idx="3">
                  <c:v>0</c:v>
                </c:pt>
                <c:pt idx="4">
                  <c:v>0</c:v>
                </c:pt>
                <c:pt idx="5">
                  <c:v>0</c:v>
                </c:pt>
                <c:pt idx="6">
                  <c:v>0.1</c:v>
                </c:pt>
                <c:pt idx="7">
                  <c:v>0.2</c:v>
                </c:pt>
                <c:pt idx="8">
                  <c:v>0.95</c:v>
                </c:pt>
                <c:pt idx="9">
                  <c:v>0.95</c:v>
                </c:pt>
                <c:pt idx="10">
                  <c:v>0.95</c:v>
                </c:pt>
                <c:pt idx="11">
                  <c:v>0.95</c:v>
                </c:pt>
                <c:pt idx="12">
                  <c:v>0.5</c:v>
                </c:pt>
                <c:pt idx="13">
                  <c:v>0.95</c:v>
                </c:pt>
                <c:pt idx="14">
                  <c:v>0.95</c:v>
                </c:pt>
                <c:pt idx="15">
                  <c:v>0.95</c:v>
                </c:pt>
                <c:pt idx="16">
                  <c:v>0.95</c:v>
                </c:pt>
                <c:pt idx="17">
                  <c:v>0.3</c:v>
                </c:pt>
                <c:pt idx="18">
                  <c:v>0.1</c:v>
                </c:pt>
                <c:pt idx="19">
                  <c:v>0.1</c:v>
                </c:pt>
                <c:pt idx="20">
                  <c:v>0.1</c:v>
                </c:pt>
                <c:pt idx="21">
                  <c:v>0.1</c:v>
                </c:pt>
                <c:pt idx="22">
                  <c:v>0.05</c:v>
                </c:pt>
                <c:pt idx="23">
                  <c:v>0.05</c:v>
                </c:pt>
              </c:numCache>
            </c:numRef>
          </c:val>
          <c:smooth val="0"/>
          <c:extLst>
            <c:ext xmlns:c16="http://schemas.microsoft.com/office/drawing/2014/chart" uri="{C3380CC4-5D6E-409C-BE32-E72D297353CC}">
              <c16:uniqueId val="{00000000-C0B7-4C9C-8A69-429BF9B99E7A}"/>
            </c:ext>
          </c:extLst>
        </c:ser>
        <c:ser>
          <c:idx val="3"/>
          <c:order val="3"/>
          <c:tx>
            <c:strRef>
              <c:f>Schedules!$F$142</c:f>
              <c:strCache>
                <c:ptCount val="1"/>
                <c:pt idx="0">
                  <c:v>DEER Saturday</c:v>
                </c:pt>
              </c:strCache>
              <c:extLst xmlns:c15="http://schemas.microsoft.com/office/drawing/2012/chart"/>
            </c:strRef>
          </c:tx>
          <c:spPr>
            <a:ln w="28575" cap="rnd">
              <a:solidFill>
                <a:schemeClr val="accent4"/>
              </a:solidFill>
              <a:round/>
            </a:ln>
            <a:effectLst/>
          </c:spPr>
          <c:marker>
            <c:symbol val="none"/>
          </c:marker>
          <c:cat>
            <c:numRef>
              <c:f>Schedules!$A$143:$A$166</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extLst xmlns:c15="http://schemas.microsoft.com/office/drawing/2012/chart"/>
            </c:numRef>
          </c:cat>
          <c:val>
            <c:numRef>
              <c:f>Schedules!$F$143:$F$166</c:f>
              <c:numCache>
                <c:formatCode>General</c:formatCode>
                <c:ptCount val="24"/>
                <c:pt idx="0">
                  <c:v>0</c:v>
                </c:pt>
                <c:pt idx="1">
                  <c:v>0</c:v>
                </c:pt>
                <c:pt idx="2">
                  <c:v>0</c:v>
                </c:pt>
                <c:pt idx="3">
                  <c:v>0</c:v>
                </c:pt>
                <c:pt idx="4">
                  <c:v>0</c:v>
                </c:pt>
                <c:pt idx="5">
                  <c:v>0</c:v>
                </c:pt>
                <c:pt idx="6">
                  <c:v>0.1</c:v>
                </c:pt>
                <c:pt idx="7">
                  <c:v>0.1</c:v>
                </c:pt>
                <c:pt idx="8">
                  <c:v>0.3</c:v>
                </c:pt>
                <c:pt idx="9">
                  <c:v>0.3</c:v>
                </c:pt>
                <c:pt idx="10">
                  <c:v>0.3</c:v>
                </c:pt>
                <c:pt idx="11">
                  <c:v>0.3</c:v>
                </c:pt>
                <c:pt idx="12">
                  <c:v>0.1</c:v>
                </c:pt>
                <c:pt idx="13">
                  <c:v>0.1</c:v>
                </c:pt>
                <c:pt idx="14">
                  <c:v>0.1</c:v>
                </c:pt>
                <c:pt idx="15">
                  <c:v>0.1</c:v>
                </c:pt>
                <c:pt idx="16">
                  <c:v>0.1</c:v>
                </c:pt>
                <c:pt idx="17">
                  <c:v>0.05</c:v>
                </c:pt>
                <c:pt idx="18">
                  <c:v>0.05</c:v>
                </c:pt>
                <c:pt idx="19">
                  <c:v>0</c:v>
                </c:pt>
                <c:pt idx="20">
                  <c:v>0</c:v>
                </c:pt>
                <c:pt idx="21">
                  <c:v>0</c:v>
                </c:pt>
                <c:pt idx="22">
                  <c:v>0</c:v>
                </c:pt>
                <c:pt idx="23">
                  <c:v>0</c:v>
                </c:pt>
              </c:numCache>
              <c:extLst xmlns:c15="http://schemas.microsoft.com/office/drawing/2012/chart"/>
            </c:numRef>
          </c:val>
          <c:smooth val="0"/>
          <c:extLst>
            <c:ext xmlns:c16="http://schemas.microsoft.com/office/drawing/2014/chart" uri="{C3380CC4-5D6E-409C-BE32-E72D297353CC}">
              <c16:uniqueId val="{00000001-C0B7-4C9C-8A69-429BF9B99E7A}"/>
            </c:ext>
          </c:extLst>
        </c:ser>
        <c:ser>
          <c:idx val="4"/>
          <c:order val="4"/>
          <c:tx>
            <c:strRef>
              <c:f>Schedules!$G$142</c:f>
              <c:strCache>
                <c:ptCount val="1"/>
                <c:pt idx="0">
                  <c:v>DEER (Other day)</c:v>
                </c:pt>
              </c:strCache>
              <c:extLst xmlns:c15="http://schemas.microsoft.com/office/drawing/2012/chart"/>
            </c:strRef>
          </c:tx>
          <c:spPr>
            <a:ln w="28575" cap="rnd">
              <a:solidFill>
                <a:schemeClr val="accent5"/>
              </a:solidFill>
              <a:round/>
            </a:ln>
            <a:effectLst/>
          </c:spPr>
          <c:marker>
            <c:symbol val="none"/>
          </c:marker>
          <c:cat>
            <c:numRef>
              <c:f>Schedules!$A$143:$A$166</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extLst xmlns:c15="http://schemas.microsoft.com/office/drawing/2012/chart"/>
            </c:numRef>
          </c:cat>
          <c:val>
            <c:numRef>
              <c:f>Schedules!$G$143:$G$166</c:f>
              <c:numCache>
                <c:formatCode>General</c:formatCode>
                <c:ptCount val="24"/>
                <c:pt idx="0">
                  <c:v>0</c:v>
                </c:pt>
                <c:pt idx="1">
                  <c:v>0</c:v>
                </c:pt>
                <c:pt idx="2">
                  <c:v>0</c:v>
                </c:pt>
                <c:pt idx="3">
                  <c:v>0</c:v>
                </c:pt>
                <c:pt idx="4">
                  <c:v>0</c:v>
                </c:pt>
                <c:pt idx="5">
                  <c:v>0</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c:v>
                </c:pt>
                <c:pt idx="19">
                  <c:v>0</c:v>
                </c:pt>
                <c:pt idx="20">
                  <c:v>0</c:v>
                </c:pt>
                <c:pt idx="21">
                  <c:v>0</c:v>
                </c:pt>
                <c:pt idx="22">
                  <c:v>0</c:v>
                </c:pt>
                <c:pt idx="23">
                  <c:v>0</c:v>
                </c:pt>
              </c:numCache>
              <c:extLst xmlns:c15="http://schemas.microsoft.com/office/drawing/2012/chart"/>
            </c:numRef>
          </c:val>
          <c:smooth val="0"/>
          <c:extLst>
            <c:ext xmlns:c16="http://schemas.microsoft.com/office/drawing/2014/chart" uri="{C3380CC4-5D6E-409C-BE32-E72D297353CC}">
              <c16:uniqueId val="{00000002-C0B7-4C9C-8A69-429BF9B99E7A}"/>
            </c:ext>
          </c:extLst>
        </c:ser>
        <c:dLbls>
          <c:showLegendKey val="0"/>
          <c:showVal val="0"/>
          <c:showCatName val="0"/>
          <c:showSerName val="0"/>
          <c:showPercent val="0"/>
          <c:showBubbleSize val="0"/>
        </c:dLbls>
        <c:smooth val="0"/>
        <c:axId val="125811183"/>
        <c:axId val="125833263"/>
        <c:extLst>
          <c:ext xmlns:c15="http://schemas.microsoft.com/office/drawing/2012/chart" uri="{02D57815-91ED-43cb-92C2-25804820EDAC}">
            <c15:filteredLineSeries>
              <c15:ser>
                <c:idx val="0"/>
                <c:order val="0"/>
                <c:tx>
                  <c:strRef>
                    <c:extLst>
                      <c:ext uri="{02D57815-91ED-43cb-92C2-25804820EDAC}">
                        <c15:formulaRef>
                          <c15:sqref>Schedules!$B$142</c15:sqref>
                        </c15:formulaRef>
                      </c:ext>
                    </c:extLst>
                    <c:strCache>
                      <c:ptCount val="1"/>
                      <c:pt idx="0">
                        <c:v>PNNL (Core+ 3 Perimeter)</c:v>
                      </c:pt>
                    </c:strCache>
                  </c:strRef>
                </c:tx>
                <c:spPr>
                  <a:ln w="28575" cap="rnd">
                    <a:solidFill>
                      <a:schemeClr val="accent1"/>
                    </a:solidFill>
                    <a:round/>
                  </a:ln>
                  <a:effectLst/>
                </c:spPr>
                <c:marker>
                  <c:symbol val="none"/>
                </c:marker>
                <c:cat>
                  <c:numRef>
                    <c:extLst>
                      <c:ext uri="{02D57815-91ED-43cb-92C2-25804820EDAC}">
                        <c15:formulaRef>
                          <c15:sqref>Schedules!$A$143:$A$166</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extLst>
                      <c:ext uri="{02D57815-91ED-43cb-92C2-25804820EDAC}">
                        <c15:formulaRef>
                          <c15:sqref>Schedules!$B$143:$B$166</c15:sqref>
                        </c15:formulaRef>
                      </c:ext>
                    </c:extLst>
                    <c:numCache>
                      <c:formatCode>General</c:formatCode>
                      <c:ptCount val="24"/>
                      <c:pt idx="0">
                        <c:v>0</c:v>
                      </c:pt>
                      <c:pt idx="1">
                        <c:v>0</c:v>
                      </c:pt>
                      <c:pt idx="2">
                        <c:v>0</c:v>
                      </c:pt>
                      <c:pt idx="3">
                        <c:v>0</c:v>
                      </c:pt>
                      <c:pt idx="4">
                        <c:v>0</c:v>
                      </c:pt>
                      <c:pt idx="5">
                        <c:v>0</c:v>
                      </c:pt>
                      <c:pt idx="6">
                        <c:v>0.11</c:v>
                      </c:pt>
                      <c:pt idx="7">
                        <c:v>0.21</c:v>
                      </c:pt>
                      <c:pt idx="8">
                        <c:v>1</c:v>
                      </c:pt>
                      <c:pt idx="9">
                        <c:v>1</c:v>
                      </c:pt>
                      <c:pt idx="10">
                        <c:v>1</c:v>
                      </c:pt>
                      <c:pt idx="11">
                        <c:v>1</c:v>
                      </c:pt>
                      <c:pt idx="12">
                        <c:v>1</c:v>
                      </c:pt>
                      <c:pt idx="13">
                        <c:v>0.61</c:v>
                      </c:pt>
                      <c:pt idx="14">
                        <c:v>1</c:v>
                      </c:pt>
                      <c:pt idx="15">
                        <c:v>1</c:v>
                      </c:pt>
                      <c:pt idx="16">
                        <c:v>1</c:v>
                      </c:pt>
                      <c:pt idx="17">
                        <c:v>1</c:v>
                      </c:pt>
                      <c:pt idx="18">
                        <c:v>0.32</c:v>
                      </c:pt>
                      <c:pt idx="19">
                        <c:v>0.11</c:v>
                      </c:pt>
                      <c:pt idx="20">
                        <c:v>0.11</c:v>
                      </c:pt>
                      <c:pt idx="21">
                        <c:v>0.11</c:v>
                      </c:pt>
                      <c:pt idx="22">
                        <c:v>0.05</c:v>
                      </c:pt>
                      <c:pt idx="23">
                        <c:v>0</c:v>
                      </c:pt>
                    </c:numCache>
                  </c:numRef>
                </c:val>
                <c:smooth val="0"/>
                <c:extLst>
                  <c:ext xmlns:c16="http://schemas.microsoft.com/office/drawing/2014/chart" uri="{C3380CC4-5D6E-409C-BE32-E72D297353CC}">
                    <c16:uniqueId val="{00000003-C0B7-4C9C-8A69-429BF9B99E7A}"/>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Schedules!$C$142</c15:sqref>
                        </c15:formulaRef>
                      </c:ext>
                    </c:extLst>
                    <c:strCache>
                      <c:ptCount val="1"/>
                      <c:pt idx="0">
                        <c:v>PNNL( 1 Perimeter)</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Schedules!$A$143:$A$166</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extLst xmlns:c15="http://schemas.microsoft.com/office/drawing/2012/chart">
                      <c:ext xmlns:c15="http://schemas.microsoft.com/office/drawing/2012/chart" uri="{02D57815-91ED-43cb-92C2-25804820EDAC}">
                        <c15:formulaRef>
                          <c15:sqref>Schedules!$C$143:$C$166</c15:sqref>
                        </c15:formulaRef>
                      </c:ext>
                    </c:extLst>
                    <c:numCache>
                      <c:formatCode>General</c:formatCode>
                      <c:ptCount val="24"/>
                      <c:pt idx="0">
                        <c:v>0</c:v>
                      </c:pt>
                      <c:pt idx="1">
                        <c:v>0</c:v>
                      </c:pt>
                      <c:pt idx="2">
                        <c:v>0</c:v>
                      </c:pt>
                      <c:pt idx="3">
                        <c:v>0</c:v>
                      </c:pt>
                      <c:pt idx="4">
                        <c:v>0</c:v>
                      </c:pt>
                      <c:pt idx="5">
                        <c:v>0</c:v>
                      </c:pt>
                      <c:pt idx="6">
                        <c:v>0.11</c:v>
                      </c:pt>
                      <c:pt idx="7">
                        <c:v>0.21</c:v>
                      </c:pt>
                      <c:pt idx="8">
                        <c:v>1</c:v>
                      </c:pt>
                      <c:pt idx="9">
                        <c:v>1</c:v>
                      </c:pt>
                      <c:pt idx="10">
                        <c:v>0</c:v>
                      </c:pt>
                      <c:pt idx="11">
                        <c:v>1</c:v>
                      </c:pt>
                      <c:pt idx="12">
                        <c:v>0</c:v>
                      </c:pt>
                      <c:pt idx="13">
                        <c:v>1</c:v>
                      </c:pt>
                      <c:pt idx="14">
                        <c:v>0</c:v>
                      </c:pt>
                      <c:pt idx="15">
                        <c:v>1</c:v>
                      </c:pt>
                      <c:pt idx="16">
                        <c:v>1</c:v>
                      </c:pt>
                      <c:pt idx="17">
                        <c:v>0.32</c:v>
                      </c:pt>
                      <c:pt idx="18">
                        <c:v>0.11</c:v>
                      </c:pt>
                      <c:pt idx="19">
                        <c:v>0.11</c:v>
                      </c:pt>
                      <c:pt idx="20">
                        <c:v>0.11</c:v>
                      </c:pt>
                      <c:pt idx="21">
                        <c:v>0.11</c:v>
                      </c:pt>
                      <c:pt idx="22">
                        <c:v>0.05</c:v>
                      </c:pt>
                      <c:pt idx="23">
                        <c:v>0</c:v>
                      </c:pt>
                    </c:numCache>
                  </c:numRef>
                </c:val>
                <c:smooth val="0"/>
                <c:extLst xmlns:c15="http://schemas.microsoft.com/office/drawing/2012/chart">
                  <c:ext xmlns:c16="http://schemas.microsoft.com/office/drawing/2014/chart" uri="{C3380CC4-5D6E-409C-BE32-E72D297353CC}">
                    <c16:uniqueId val="{00000004-C0B7-4C9C-8A69-429BF9B99E7A}"/>
                  </c:ext>
                </c:extLst>
              </c15:ser>
            </c15:filteredLineSeries>
          </c:ext>
        </c:extLst>
      </c:lineChart>
      <c:catAx>
        <c:axId val="12581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33263"/>
        <c:crosses val="autoZero"/>
        <c:auto val="1"/>
        <c:lblAlgn val="ctr"/>
        <c:lblOffset val="100"/>
        <c:noMultiLvlLbl val="0"/>
      </c:catAx>
      <c:valAx>
        <c:axId val="125833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111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r>
              <a:rPr lang="en-US" sz="1400" b="1">
                <a:solidFill>
                  <a:sysClr val="windowText" lastClr="000000"/>
                </a:solidFill>
                <a:latin typeface="+mj-lt"/>
              </a:rPr>
              <a:t>CEC: </a:t>
            </a:r>
            <a:r>
              <a:rPr lang="en-US">
                <a:solidFill>
                  <a:sysClr val="windowText" lastClr="000000"/>
                </a:solidFill>
                <a:latin typeface="+mj-lt"/>
              </a:rPr>
              <a:t>Occpancy </a:t>
            </a:r>
            <a:r>
              <a:rPr lang="en-US" sz="1400" b="0" i="0" u="none" strike="noStrike" kern="1200" spc="0" baseline="0">
                <a:solidFill>
                  <a:sysClr val="windowText" lastClr="000000"/>
                </a:solidFill>
                <a:latin typeface="+mj-lt"/>
              </a:rPr>
              <a:t>Schedule- Small office</a:t>
            </a:r>
            <a:endParaRPr lang="en-US">
              <a:solidFill>
                <a:sysClr val="windowText" lastClr="000000"/>
              </a:solidFill>
              <a:latin typeface="+mj-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endParaRPr lang="en-US"/>
        </a:p>
      </c:txPr>
    </c:title>
    <c:autoTitleDeleted val="0"/>
    <c:plotArea>
      <c:layout/>
      <c:lineChart>
        <c:grouping val="standard"/>
        <c:varyColors val="0"/>
        <c:ser>
          <c:idx val="5"/>
          <c:order val="0"/>
          <c:tx>
            <c:strRef>
              <c:f>Schedules!$Q$142</c:f>
              <c:strCache>
                <c:ptCount val="1"/>
                <c:pt idx="0">
                  <c:v>CEC Weekday</c:v>
                </c:pt>
              </c:strCache>
            </c:strRef>
          </c:tx>
          <c:spPr>
            <a:ln w="28575" cap="rnd">
              <a:solidFill>
                <a:schemeClr val="accent6"/>
              </a:solidFill>
              <a:round/>
            </a:ln>
            <a:effectLst/>
          </c:spPr>
          <c:marker>
            <c:symbol val="none"/>
          </c:marker>
          <c:cat>
            <c:numRef>
              <c:f>Schedules!$A$143:$A$166</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Schedules!$Q$143:$Q$166</c:f>
              <c:numCache>
                <c:formatCode>General</c:formatCode>
                <c:ptCount val="24"/>
                <c:pt idx="0">
                  <c:v>0</c:v>
                </c:pt>
                <c:pt idx="1">
                  <c:v>0</c:v>
                </c:pt>
                <c:pt idx="2">
                  <c:v>0</c:v>
                </c:pt>
                <c:pt idx="3">
                  <c:v>0</c:v>
                </c:pt>
                <c:pt idx="4">
                  <c:v>0</c:v>
                </c:pt>
                <c:pt idx="5">
                  <c:v>0</c:v>
                </c:pt>
                <c:pt idx="6">
                  <c:v>0.1</c:v>
                </c:pt>
                <c:pt idx="7">
                  <c:v>0.2</c:v>
                </c:pt>
                <c:pt idx="8">
                  <c:v>0.95</c:v>
                </c:pt>
                <c:pt idx="9">
                  <c:v>0.95</c:v>
                </c:pt>
                <c:pt idx="10">
                  <c:v>0.95</c:v>
                </c:pt>
                <c:pt idx="11">
                  <c:v>0.95</c:v>
                </c:pt>
                <c:pt idx="12">
                  <c:v>0.5</c:v>
                </c:pt>
                <c:pt idx="13">
                  <c:v>0.95</c:v>
                </c:pt>
                <c:pt idx="14">
                  <c:v>0.95</c:v>
                </c:pt>
                <c:pt idx="15">
                  <c:v>0.95</c:v>
                </c:pt>
                <c:pt idx="16">
                  <c:v>0.95</c:v>
                </c:pt>
                <c:pt idx="17">
                  <c:v>0.3</c:v>
                </c:pt>
                <c:pt idx="18">
                  <c:v>0.1</c:v>
                </c:pt>
                <c:pt idx="19">
                  <c:v>0.1</c:v>
                </c:pt>
                <c:pt idx="20">
                  <c:v>0.1</c:v>
                </c:pt>
                <c:pt idx="21">
                  <c:v>0.1</c:v>
                </c:pt>
                <c:pt idx="22">
                  <c:v>0.05</c:v>
                </c:pt>
                <c:pt idx="23">
                  <c:v>0</c:v>
                </c:pt>
              </c:numCache>
            </c:numRef>
          </c:val>
          <c:smooth val="0"/>
          <c:extLst>
            <c:ext xmlns:c16="http://schemas.microsoft.com/office/drawing/2014/chart" uri="{C3380CC4-5D6E-409C-BE32-E72D297353CC}">
              <c16:uniqueId val="{00000000-3F3D-4F3C-AC19-3B323767447F}"/>
            </c:ext>
          </c:extLst>
        </c:ser>
        <c:ser>
          <c:idx val="6"/>
          <c:order val="1"/>
          <c:tx>
            <c:strRef>
              <c:f>Schedules!$R$142</c:f>
              <c:strCache>
                <c:ptCount val="1"/>
                <c:pt idx="0">
                  <c:v>CEC Saturday</c:v>
                </c:pt>
              </c:strCache>
            </c:strRef>
          </c:tx>
          <c:spPr>
            <a:ln w="28575" cap="rnd">
              <a:solidFill>
                <a:schemeClr val="accent1">
                  <a:lumMod val="60000"/>
                </a:schemeClr>
              </a:solidFill>
              <a:round/>
            </a:ln>
            <a:effectLst/>
          </c:spPr>
          <c:marker>
            <c:symbol val="none"/>
          </c:marker>
          <c:cat>
            <c:numRef>
              <c:f>Schedules!$A$143:$A$166</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Schedules!$R$143:$R$166</c:f>
              <c:numCache>
                <c:formatCode>General</c:formatCode>
                <c:ptCount val="24"/>
                <c:pt idx="0">
                  <c:v>0</c:v>
                </c:pt>
                <c:pt idx="1">
                  <c:v>0</c:v>
                </c:pt>
                <c:pt idx="2">
                  <c:v>0</c:v>
                </c:pt>
                <c:pt idx="3">
                  <c:v>0</c:v>
                </c:pt>
                <c:pt idx="4">
                  <c:v>0</c:v>
                </c:pt>
                <c:pt idx="5">
                  <c:v>0</c:v>
                </c:pt>
                <c:pt idx="6">
                  <c:v>0.1</c:v>
                </c:pt>
                <c:pt idx="7">
                  <c:v>0.1</c:v>
                </c:pt>
                <c:pt idx="8">
                  <c:v>0.3</c:v>
                </c:pt>
                <c:pt idx="9">
                  <c:v>0.3</c:v>
                </c:pt>
                <c:pt idx="10">
                  <c:v>0.3</c:v>
                </c:pt>
                <c:pt idx="11">
                  <c:v>0.3</c:v>
                </c:pt>
                <c:pt idx="12">
                  <c:v>0.1</c:v>
                </c:pt>
                <c:pt idx="13">
                  <c:v>0.1</c:v>
                </c:pt>
                <c:pt idx="14">
                  <c:v>0.1</c:v>
                </c:pt>
                <c:pt idx="15">
                  <c:v>0.1</c:v>
                </c:pt>
                <c:pt idx="16">
                  <c:v>0.1</c:v>
                </c:pt>
                <c:pt idx="17">
                  <c:v>0.05</c:v>
                </c:pt>
                <c:pt idx="18">
                  <c:v>0.05</c:v>
                </c:pt>
                <c:pt idx="19">
                  <c:v>0</c:v>
                </c:pt>
                <c:pt idx="20">
                  <c:v>0</c:v>
                </c:pt>
                <c:pt idx="21">
                  <c:v>0</c:v>
                </c:pt>
                <c:pt idx="22">
                  <c:v>0</c:v>
                </c:pt>
                <c:pt idx="23">
                  <c:v>0</c:v>
                </c:pt>
              </c:numCache>
            </c:numRef>
          </c:val>
          <c:smooth val="0"/>
          <c:extLst>
            <c:ext xmlns:c16="http://schemas.microsoft.com/office/drawing/2014/chart" uri="{C3380CC4-5D6E-409C-BE32-E72D297353CC}">
              <c16:uniqueId val="{00000001-3F3D-4F3C-AC19-3B323767447F}"/>
            </c:ext>
          </c:extLst>
        </c:ser>
        <c:ser>
          <c:idx val="7"/>
          <c:order val="2"/>
          <c:tx>
            <c:strRef>
              <c:f>Schedules!$S$142</c:f>
              <c:strCache>
                <c:ptCount val="1"/>
                <c:pt idx="0">
                  <c:v>CEC Sunday</c:v>
                </c:pt>
              </c:strCache>
            </c:strRef>
          </c:tx>
          <c:spPr>
            <a:ln w="28575" cap="rnd">
              <a:solidFill>
                <a:schemeClr val="accent2">
                  <a:lumMod val="60000"/>
                </a:schemeClr>
              </a:solidFill>
              <a:round/>
            </a:ln>
            <a:effectLst/>
          </c:spPr>
          <c:marker>
            <c:symbol val="none"/>
          </c:marker>
          <c:cat>
            <c:numRef>
              <c:f>Schedules!$A$143:$A$166</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Schedules!$S$143:$S$166</c:f>
              <c:numCache>
                <c:formatCode>General</c:formatCode>
                <c:ptCount val="24"/>
                <c:pt idx="0">
                  <c:v>0</c:v>
                </c:pt>
                <c:pt idx="1">
                  <c:v>0</c:v>
                </c:pt>
                <c:pt idx="2">
                  <c:v>0</c:v>
                </c:pt>
                <c:pt idx="3">
                  <c:v>0</c:v>
                </c:pt>
                <c:pt idx="4">
                  <c:v>0</c:v>
                </c:pt>
                <c:pt idx="5">
                  <c:v>0</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3F3D-4F3C-AC19-3B323767447F}"/>
            </c:ext>
          </c:extLst>
        </c:ser>
        <c:dLbls>
          <c:showLegendKey val="0"/>
          <c:showVal val="0"/>
          <c:showCatName val="0"/>
          <c:showSerName val="0"/>
          <c:showPercent val="0"/>
          <c:showBubbleSize val="0"/>
        </c:dLbls>
        <c:smooth val="0"/>
        <c:axId val="1948439823"/>
        <c:axId val="1948451823"/>
      </c:lineChart>
      <c:catAx>
        <c:axId val="1948439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451823"/>
        <c:crosses val="autoZero"/>
        <c:auto val="1"/>
        <c:lblAlgn val="ctr"/>
        <c:lblOffset val="100"/>
        <c:noMultiLvlLbl val="0"/>
      </c:catAx>
      <c:valAx>
        <c:axId val="1948451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4398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9.png"/><Relationship Id="rId7" Type="http://schemas.openxmlformats.org/officeDocument/2006/relationships/image" Target="../media/image13.png"/><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12.png"/><Relationship Id="rId5" Type="http://schemas.openxmlformats.org/officeDocument/2006/relationships/image" Target="../media/image11.png"/><Relationship Id="rId4" Type="http://schemas.openxmlformats.org/officeDocument/2006/relationships/image" Target="../media/image10.png"/></Relationships>
</file>

<file path=xl/drawings/_rels/drawing3.xml.rels><?xml version="1.0" encoding="UTF-8" standalone="yes"?>
<Relationships xmlns="http://schemas.openxmlformats.org/package/2006/relationships"><Relationship Id="rId1" Type="http://schemas.openxmlformats.org/officeDocument/2006/relationships/image" Target="../media/image14.png"/></Relationships>
</file>

<file path=xl/drawings/_rels/drawing4.xml.rels><?xml version="1.0" encoding="UTF-8" standalone="yes"?>
<Relationships xmlns="http://schemas.openxmlformats.org/package/2006/relationships"><Relationship Id="rId8" Type="http://schemas.openxmlformats.org/officeDocument/2006/relationships/image" Target="../media/image22.png"/><Relationship Id="rId3" Type="http://schemas.openxmlformats.org/officeDocument/2006/relationships/image" Target="../media/image17.png"/><Relationship Id="rId7" Type="http://schemas.openxmlformats.org/officeDocument/2006/relationships/image" Target="../media/image21.png"/><Relationship Id="rId2" Type="http://schemas.openxmlformats.org/officeDocument/2006/relationships/image" Target="../media/image16.png"/><Relationship Id="rId1" Type="http://schemas.openxmlformats.org/officeDocument/2006/relationships/image" Target="../media/image15.png"/><Relationship Id="rId6" Type="http://schemas.openxmlformats.org/officeDocument/2006/relationships/image" Target="../media/image20.png"/><Relationship Id="rId11" Type="http://schemas.openxmlformats.org/officeDocument/2006/relationships/image" Target="../media/image25.png"/><Relationship Id="rId5" Type="http://schemas.openxmlformats.org/officeDocument/2006/relationships/image" Target="../media/image19.png"/><Relationship Id="rId10" Type="http://schemas.openxmlformats.org/officeDocument/2006/relationships/image" Target="../media/image24.png"/><Relationship Id="rId4" Type="http://schemas.openxmlformats.org/officeDocument/2006/relationships/image" Target="../media/image18.png"/><Relationship Id="rId9" Type="http://schemas.openxmlformats.org/officeDocument/2006/relationships/image" Target="../media/image23.png"/></Relationships>
</file>

<file path=xl/drawings/_rels/drawing5.xml.rels><?xml version="1.0" encoding="UTF-8" standalone="yes"?>
<Relationships xmlns="http://schemas.openxmlformats.org/package/2006/relationships"><Relationship Id="rId3" Type="http://schemas.openxmlformats.org/officeDocument/2006/relationships/image" Target="../media/image28.png"/><Relationship Id="rId2" Type="http://schemas.openxmlformats.org/officeDocument/2006/relationships/image" Target="../media/image27.png"/><Relationship Id="rId1" Type="http://schemas.openxmlformats.org/officeDocument/2006/relationships/image" Target="../media/image26.png"/><Relationship Id="rId6" Type="http://schemas.openxmlformats.org/officeDocument/2006/relationships/image" Target="../media/image31.png"/><Relationship Id="rId5" Type="http://schemas.openxmlformats.org/officeDocument/2006/relationships/image" Target="../media/image30.png"/><Relationship Id="rId4" Type="http://schemas.openxmlformats.org/officeDocument/2006/relationships/image" Target="../media/image29.png"/></Relationships>
</file>

<file path=xl/drawings/_rels/drawing6.xml.rels><?xml version="1.0" encoding="UTF-8" standalone="yes"?>
<Relationships xmlns="http://schemas.openxmlformats.org/package/2006/relationships"><Relationship Id="rId8" Type="http://schemas.openxmlformats.org/officeDocument/2006/relationships/image" Target="../media/image39.png"/><Relationship Id="rId13" Type="http://schemas.openxmlformats.org/officeDocument/2006/relationships/image" Target="../media/image44.png"/><Relationship Id="rId18" Type="http://schemas.openxmlformats.org/officeDocument/2006/relationships/image" Target="../media/image49.png"/><Relationship Id="rId3" Type="http://schemas.openxmlformats.org/officeDocument/2006/relationships/image" Target="../media/image34.png"/><Relationship Id="rId7" Type="http://schemas.openxmlformats.org/officeDocument/2006/relationships/image" Target="../media/image38.png"/><Relationship Id="rId12" Type="http://schemas.openxmlformats.org/officeDocument/2006/relationships/image" Target="../media/image43.png"/><Relationship Id="rId17" Type="http://schemas.openxmlformats.org/officeDocument/2006/relationships/image" Target="../media/image48.png"/><Relationship Id="rId2" Type="http://schemas.openxmlformats.org/officeDocument/2006/relationships/image" Target="../media/image33.png"/><Relationship Id="rId16" Type="http://schemas.openxmlformats.org/officeDocument/2006/relationships/image" Target="../media/image47.png"/><Relationship Id="rId1" Type="http://schemas.openxmlformats.org/officeDocument/2006/relationships/image" Target="../media/image32.png"/><Relationship Id="rId6" Type="http://schemas.openxmlformats.org/officeDocument/2006/relationships/image" Target="../media/image37.png"/><Relationship Id="rId11" Type="http://schemas.openxmlformats.org/officeDocument/2006/relationships/image" Target="../media/image42.png"/><Relationship Id="rId5" Type="http://schemas.openxmlformats.org/officeDocument/2006/relationships/image" Target="../media/image36.png"/><Relationship Id="rId15" Type="http://schemas.openxmlformats.org/officeDocument/2006/relationships/image" Target="../media/image46.png"/><Relationship Id="rId10" Type="http://schemas.openxmlformats.org/officeDocument/2006/relationships/image" Target="../media/image41.png"/><Relationship Id="rId4" Type="http://schemas.openxmlformats.org/officeDocument/2006/relationships/image" Target="../media/image35.png"/><Relationship Id="rId9" Type="http://schemas.openxmlformats.org/officeDocument/2006/relationships/image" Target="../media/image40.png"/><Relationship Id="rId14" Type="http://schemas.openxmlformats.org/officeDocument/2006/relationships/image" Target="../media/image45.png"/></Relationships>
</file>

<file path=xl/drawings/_rels/drawing7.xml.rels><?xml version="1.0" encoding="UTF-8" standalone="yes"?>
<Relationships xmlns="http://schemas.openxmlformats.org/package/2006/relationships"><Relationship Id="rId3" Type="http://schemas.openxmlformats.org/officeDocument/2006/relationships/image" Target="../media/image52.png"/><Relationship Id="rId2" Type="http://schemas.openxmlformats.org/officeDocument/2006/relationships/image" Target="../media/image51.png"/><Relationship Id="rId1" Type="http://schemas.openxmlformats.org/officeDocument/2006/relationships/image" Target="../media/image50.png"/></Relationships>
</file>

<file path=xl/drawings/_rels/drawing8.xml.rels><?xml version="1.0" encoding="UTF-8" standalone="yes"?>
<Relationships xmlns="http://schemas.openxmlformats.org/package/2006/relationships"><Relationship Id="rId1" Type="http://schemas.openxmlformats.org/officeDocument/2006/relationships/image" Target="../media/image53.png"/></Relationships>
</file>

<file path=xl/drawings/_rels/drawing9.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image" Target="../media/image58.png"/><Relationship Id="rId2" Type="http://schemas.openxmlformats.org/officeDocument/2006/relationships/image" Target="../media/image55.png"/><Relationship Id="rId1" Type="http://schemas.openxmlformats.org/officeDocument/2006/relationships/image" Target="../media/image54.png"/><Relationship Id="rId6" Type="http://schemas.openxmlformats.org/officeDocument/2006/relationships/image" Target="../media/image57.png"/><Relationship Id="rId5" Type="http://schemas.openxmlformats.org/officeDocument/2006/relationships/image" Target="../media/image56.png"/><Relationship Id="rId4" Type="http://schemas.openxmlformats.org/officeDocument/2006/relationships/chart" Target="../charts/chart2.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5.xml"/><Relationship Id="rId18" Type="http://schemas.openxmlformats.org/officeDocument/2006/relationships/chart" Target="../charts/chart19.xml"/><Relationship Id="rId3" Type="http://schemas.openxmlformats.org/officeDocument/2006/relationships/chart" Target="../charts/chart5.xml"/><Relationship Id="rId7" Type="http://schemas.openxmlformats.org/officeDocument/2006/relationships/chart" Target="../charts/chart9.xml"/><Relationship Id="rId12" Type="http://schemas.openxmlformats.org/officeDocument/2006/relationships/chart" Target="../charts/chart14.xml"/><Relationship Id="rId17" Type="http://schemas.openxmlformats.org/officeDocument/2006/relationships/chart" Target="../charts/chart18.xml"/><Relationship Id="rId2" Type="http://schemas.openxmlformats.org/officeDocument/2006/relationships/chart" Target="../charts/chart4.xml"/><Relationship Id="rId16" Type="http://schemas.openxmlformats.org/officeDocument/2006/relationships/image" Target="../media/image59.png"/><Relationship Id="rId20" Type="http://schemas.openxmlformats.org/officeDocument/2006/relationships/chart" Target="../charts/chart21.xml"/><Relationship Id="rId1" Type="http://schemas.openxmlformats.org/officeDocument/2006/relationships/chart" Target="../charts/chart3.xml"/><Relationship Id="rId6" Type="http://schemas.openxmlformats.org/officeDocument/2006/relationships/chart" Target="../charts/chart8.xml"/><Relationship Id="rId11" Type="http://schemas.openxmlformats.org/officeDocument/2006/relationships/chart" Target="../charts/chart13.xml"/><Relationship Id="rId5" Type="http://schemas.openxmlformats.org/officeDocument/2006/relationships/chart" Target="../charts/chart7.xml"/><Relationship Id="rId15" Type="http://schemas.openxmlformats.org/officeDocument/2006/relationships/chart" Target="../charts/chart17.xml"/><Relationship Id="rId10" Type="http://schemas.openxmlformats.org/officeDocument/2006/relationships/chart" Target="../charts/chart12.xml"/><Relationship Id="rId19" Type="http://schemas.openxmlformats.org/officeDocument/2006/relationships/chart" Target="../charts/chart20.xml"/><Relationship Id="rId4" Type="http://schemas.openxmlformats.org/officeDocument/2006/relationships/chart" Target="../charts/chart6.xml"/><Relationship Id="rId9" Type="http://schemas.openxmlformats.org/officeDocument/2006/relationships/chart" Target="../charts/chart11.xml"/><Relationship Id="rId1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64</xdr:row>
      <xdr:rowOff>10870</xdr:rowOff>
    </xdr:from>
    <xdr:to>
      <xdr:col>1</xdr:col>
      <xdr:colOff>3488616</xdr:colOff>
      <xdr:row>77</xdr:row>
      <xdr:rowOff>97297</xdr:rowOff>
    </xdr:to>
    <xdr:pic>
      <xdr:nvPicPr>
        <xdr:cNvPr id="2" name="Picture 1">
          <a:extLst>
            <a:ext uri="{FF2B5EF4-FFF2-40B4-BE49-F238E27FC236}">
              <a16:creationId xmlns:a16="http://schemas.microsoft.com/office/drawing/2014/main" id="{FF2A6076-ECB6-5C8F-9DEA-AC9097BE495E}"/>
            </a:ext>
          </a:extLst>
        </xdr:cNvPr>
        <xdr:cNvPicPr>
          <a:picLocks noChangeAspect="1"/>
        </xdr:cNvPicPr>
      </xdr:nvPicPr>
      <xdr:blipFill>
        <a:blip xmlns:r="http://schemas.openxmlformats.org/officeDocument/2006/relationships" r:embed="rId1"/>
        <a:stretch>
          <a:fillRect/>
        </a:stretch>
      </xdr:blipFill>
      <xdr:spPr>
        <a:xfrm>
          <a:off x="0" y="10286664"/>
          <a:ext cx="4885765" cy="2275384"/>
        </a:xfrm>
        <a:prstGeom prst="rect">
          <a:avLst/>
        </a:prstGeom>
      </xdr:spPr>
    </xdr:pic>
    <xdr:clientData/>
  </xdr:twoCellAnchor>
  <xdr:twoCellAnchor editAs="oneCell">
    <xdr:from>
      <xdr:col>0</xdr:col>
      <xdr:colOff>67236</xdr:colOff>
      <xdr:row>50</xdr:row>
      <xdr:rowOff>67234</xdr:rowOff>
    </xdr:from>
    <xdr:to>
      <xdr:col>1</xdr:col>
      <xdr:colOff>3864350</xdr:colOff>
      <xdr:row>61</xdr:row>
      <xdr:rowOff>131315</xdr:rowOff>
    </xdr:to>
    <xdr:pic>
      <xdr:nvPicPr>
        <xdr:cNvPr id="3" name="Picture 2">
          <a:extLst>
            <a:ext uri="{FF2B5EF4-FFF2-40B4-BE49-F238E27FC236}">
              <a16:creationId xmlns:a16="http://schemas.microsoft.com/office/drawing/2014/main" id="{372B956A-3B22-E259-C525-BFBCC16C9804}"/>
            </a:ext>
          </a:extLst>
        </xdr:cNvPr>
        <xdr:cNvPicPr>
          <a:picLocks noChangeAspect="1"/>
        </xdr:cNvPicPr>
      </xdr:nvPicPr>
      <xdr:blipFill>
        <a:blip xmlns:r="http://schemas.openxmlformats.org/officeDocument/2006/relationships" r:embed="rId2"/>
        <a:stretch>
          <a:fillRect/>
        </a:stretch>
      </xdr:blipFill>
      <xdr:spPr>
        <a:xfrm>
          <a:off x="67236" y="7821705"/>
          <a:ext cx="5177118" cy="1903526"/>
        </a:xfrm>
        <a:prstGeom prst="rect">
          <a:avLst/>
        </a:prstGeom>
      </xdr:spPr>
    </xdr:pic>
    <xdr:clientData/>
  </xdr:twoCellAnchor>
  <xdr:twoCellAnchor editAs="oneCell">
    <xdr:from>
      <xdr:col>1</xdr:col>
      <xdr:colOff>4133963</xdr:colOff>
      <xdr:row>50</xdr:row>
      <xdr:rowOff>40005</xdr:rowOff>
    </xdr:from>
    <xdr:to>
      <xdr:col>2</xdr:col>
      <xdr:colOff>2419911</xdr:colOff>
      <xdr:row>62</xdr:row>
      <xdr:rowOff>369</xdr:rowOff>
    </xdr:to>
    <xdr:pic>
      <xdr:nvPicPr>
        <xdr:cNvPr id="5" name="Picture 4">
          <a:extLst>
            <a:ext uri="{FF2B5EF4-FFF2-40B4-BE49-F238E27FC236}">
              <a16:creationId xmlns:a16="http://schemas.microsoft.com/office/drawing/2014/main" id="{0BCE216C-EA04-2336-0BB5-38183735B94E}"/>
            </a:ext>
          </a:extLst>
        </xdr:cNvPr>
        <xdr:cNvPicPr>
          <a:picLocks noChangeAspect="1"/>
        </xdr:cNvPicPr>
      </xdr:nvPicPr>
      <xdr:blipFill>
        <a:blip xmlns:r="http://schemas.openxmlformats.org/officeDocument/2006/relationships" r:embed="rId3"/>
        <a:stretch>
          <a:fillRect/>
        </a:stretch>
      </xdr:blipFill>
      <xdr:spPr>
        <a:xfrm>
          <a:off x="5523492" y="7962564"/>
          <a:ext cx="5066068" cy="1971707"/>
        </a:xfrm>
        <a:prstGeom prst="rect">
          <a:avLst/>
        </a:prstGeom>
      </xdr:spPr>
    </xdr:pic>
    <xdr:clientData/>
  </xdr:twoCellAnchor>
  <xdr:twoCellAnchor editAs="oneCell">
    <xdr:from>
      <xdr:col>1</xdr:col>
      <xdr:colOff>4049470</xdr:colOff>
      <xdr:row>63</xdr:row>
      <xdr:rowOff>77208</xdr:rowOff>
    </xdr:from>
    <xdr:to>
      <xdr:col>3</xdr:col>
      <xdr:colOff>212687</xdr:colOff>
      <xdr:row>70</xdr:row>
      <xdr:rowOff>21997</xdr:rowOff>
    </xdr:to>
    <xdr:pic>
      <xdr:nvPicPr>
        <xdr:cNvPr id="6" name="Picture 5">
          <a:extLst>
            <a:ext uri="{FF2B5EF4-FFF2-40B4-BE49-F238E27FC236}">
              <a16:creationId xmlns:a16="http://schemas.microsoft.com/office/drawing/2014/main" id="{C9300F47-0C2B-F783-8706-9BAE28179F8F}"/>
            </a:ext>
          </a:extLst>
        </xdr:cNvPr>
        <xdr:cNvPicPr>
          <a:picLocks noChangeAspect="1"/>
        </xdr:cNvPicPr>
      </xdr:nvPicPr>
      <xdr:blipFill>
        <a:blip xmlns:r="http://schemas.openxmlformats.org/officeDocument/2006/relationships" r:embed="rId4"/>
        <a:stretch>
          <a:fillRect/>
        </a:stretch>
      </xdr:blipFill>
      <xdr:spPr>
        <a:xfrm>
          <a:off x="5438999" y="10184914"/>
          <a:ext cx="5686537" cy="1132836"/>
        </a:xfrm>
        <a:prstGeom prst="rect">
          <a:avLst/>
        </a:prstGeom>
      </xdr:spPr>
    </xdr:pic>
    <xdr:clientData/>
  </xdr:twoCellAnchor>
  <xdr:twoCellAnchor editAs="oneCell">
    <xdr:from>
      <xdr:col>1</xdr:col>
      <xdr:colOff>22970</xdr:colOff>
      <xdr:row>32</xdr:row>
      <xdr:rowOff>18994</xdr:rowOff>
    </xdr:from>
    <xdr:to>
      <xdr:col>2</xdr:col>
      <xdr:colOff>1313889</xdr:colOff>
      <xdr:row>42</xdr:row>
      <xdr:rowOff>17032</xdr:rowOff>
    </xdr:to>
    <xdr:pic>
      <xdr:nvPicPr>
        <xdr:cNvPr id="7" name="Picture 6">
          <a:extLst>
            <a:ext uri="{FF2B5EF4-FFF2-40B4-BE49-F238E27FC236}">
              <a16:creationId xmlns:a16="http://schemas.microsoft.com/office/drawing/2014/main" id="{21507765-A4C7-2FFB-B22A-BBFE069400B2}"/>
            </a:ext>
            <a:ext uri="{147F2762-F138-4A5C-976F-8EAC2B608ADB}">
              <a16:predDERef xmlns:a16="http://schemas.microsoft.com/office/drawing/2014/main" pred="{C9300F47-0C2B-F783-8706-9BAE28179F8F}"/>
            </a:ext>
          </a:extLst>
        </xdr:cNvPr>
        <xdr:cNvPicPr>
          <a:picLocks noChangeAspect="1"/>
        </xdr:cNvPicPr>
      </xdr:nvPicPr>
      <xdr:blipFill>
        <a:blip xmlns:r="http://schemas.openxmlformats.org/officeDocument/2006/relationships" r:embed="rId5"/>
        <a:stretch>
          <a:fillRect/>
        </a:stretch>
      </xdr:blipFill>
      <xdr:spPr>
        <a:xfrm>
          <a:off x="1375520" y="6067369"/>
          <a:ext cx="7901269" cy="1798263"/>
        </a:xfrm>
        <a:prstGeom prst="rect">
          <a:avLst/>
        </a:prstGeom>
      </xdr:spPr>
    </xdr:pic>
    <xdr:clientData/>
  </xdr:twoCellAnchor>
  <xdr:twoCellAnchor editAs="oneCell">
    <xdr:from>
      <xdr:col>0</xdr:col>
      <xdr:colOff>63425</xdr:colOff>
      <xdr:row>142</xdr:row>
      <xdr:rowOff>46729</xdr:rowOff>
    </xdr:from>
    <xdr:to>
      <xdr:col>1</xdr:col>
      <xdr:colOff>2531857</xdr:colOff>
      <xdr:row>155</xdr:row>
      <xdr:rowOff>20895</xdr:rowOff>
    </xdr:to>
    <xdr:pic>
      <xdr:nvPicPr>
        <xdr:cNvPr id="11" name="Picture 10">
          <a:extLst>
            <a:ext uri="{FF2B5EF4-FFF2-40B4-BE49-F238E27FC236}">
              <a16:creationId xmlns:a16="http://schemas.microsoft.com/office/drawing/2014/main" id="{760C4082-1E7E-A189-1A34-91C8623BCCB4}"/>
            </a:ext>
          </a:extLst>
        </xdr:cNvPr>
        <xdr:cNvPicPr>
          <a:picLocks noChangeAspect="1"/>
        </xdr:cNvPicPr>
      </xdr:nvPicPr>
      <xdr:blipFill>
        <a:blip xmlns:r="http://schemas.openxmlformats.org/officeDocument/2006/relationships" r:embed="rId6"/>
        <a:stretch>
          <a:fillRect/>
        </a:stretch>
      </xdr:blipFill>
      <xdr:spPr>
        <a:xfrm>
          <a:off x="63425" y="13180023"/>
          <a:ext cx="3873201" cy="215169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74296</xdr:colOff>
      <xdr:row>39</xdr:row>
      <xdr:rowOff>226696</xdr:rowOff>
    </xdr:from>
    <xdr:to>
      <xdr:col>2</xdr:col>
      <xdr:colOff>2854676</xdr:colOff>
      <xdr:row>39</xdr:row>
      <xdr:rowOff>1426846</xdr:rowOff>
    </xdr:to>
    <xdr:pic>
      <xdr:nvPicPr>
        <xdr:cNvPr id="9" name="Picture 8">
          <a:extLst>
            <a:ext uri="{FF2B5EF4-FFF2-40B4-BE49-F238E27FC236}">
              <a16:creationId xmlns:a16="http://schemas.microsoft.com/office/drawing/2014/main" id="{359DFBDE-2E53-3850-5645-B688BD833559}"/>
            </a:ext>
          </a:extLst>
        </xdr:cNvPr>
        <xdr:cNvPicPr>
          <a:picLocks noChangeAspect="1"/>
        </xdr:cNvPicPr>
      </xdr:nvPicPr>
      <xdr:blipFill rotWithShape="1">
        <a:blip xmlns:r="http://schemas.openxmlformats.org/officeDocument/2006/relationships" r:embed="rId1"/>
        <a:srcRect b="18839"/>
        <a:stretch>
          <a:fillRect/>
        </a:stretch>
      </xdr:blipFill>
      <xdr:spPr>
        <a:xfrm>
          <a:off x="5160646" y="8627746"/>
          <a:ext cx="2780380" cy="1200150"/>
        </a:xfrm>
        <a:prstGeom prst="rect">
          <a:avLst/>
        </a:prstGeom>
      </xdr:spPr>
    </xdr:pic>
    <xdr:clientData/>
  </xdr:twoCellAnchor>
  <xdr:twoCellAnchor>
    <xdr:from>
      <xdr:col>3</xdr:col>
      <xdr:colOff>257174</xdr:colOff>
      <xdr:row>39</xdr:row>
      <xdr:rowOff>180165</xdr:rowOff>
    </xdr:from>
    <xdr:to>
      <xdr:col>3</xdr:col>
      <xdr:colOff>3030895</xdr:colOff>
      <xdr:row>39</xdr:row>
      <xdr:rowOff>1323976</xdr:rowOff>
    </xdr:to>
    <xdr:pic>
      <xdr:nvPicPr>
        <xdr:cNvPr id="10" name="Picture 9">
          <a:extLst>
            <a:ext uri="{FF2B5EF4-FFF2-40B4-BE49-F238E27FC236}">
              <a16:creationId xmlns:a16="http://schemas.microsoft.com/office/drawing/2014/main" id="{DD5D94E7-F3C0-5D34-1E83-A4DD7D5AF500}"/>
            </a:ext>
            <a:ext uri="{147F2762-F138-4A5C-976F-8EAC2B608ADB}">
              <a16:predDERef xmlns:a16="http://schemas.microsoft.com/office/drawing/2014/main" pred="{359DFBDE-2E53-3850-5645-B688BD833559}"/>
            </a:ext>
          </a:extLst>
        </xdr:cNvPr>
        <xdr:cNvPicPr>
          <a:picLocks noChangeAspect="1"/>
        </xdr:cNvPicPr>
      </xdr:nvPicPr>
      <xdr:blipFill>
        <a:blip xmlns:r="http://schemas.openxmlformats.org/officeDocument/2006/relationships" r:embed="rId2"/>
        <a:stretch>
          <a:fillRect/>
        </a:stretch>
      </xdr:blipFill>
      <xdr:spPr>
        <a:xfrm>
          <a:off x="8658224" y="8581215"/>
          <a:ext cx="2773721" cy="1143811"/>
        </a:xfrm>
        <a:prstGeom prst="rect">
          <a:avLst/>
        </a:prstGeom>
      </xdr:spPr>
    </xdr:pic>
    <xdr:clientData/>
  </xdr:twoCellAnchor>
  <xdr:twoCellAnchor>
    <xdr:from>
      <xdr:col>2</xdr:col>
      <xdr:colOff>2543175</xdr:colOff>
      <xdr:row>39</xdr:row>
      <xdr:rowOff>1276350</xdr:rowOff>
    </xdr:from>
    <xdr:to>
      <xdr:col>2</xdr:col>
      <xdr:colOff>2838450</xdr:colOff>
      <xdr:row>39</xdr:row>
      <xdr:rowOff>1504950</xdr:rowOff>
    </xdr:to>
    <xdr:pic>
      <xdr:nvPicPr>
        <xdr:cNvPr id="11" name="Picture 4">
          <a:extLst>
            <a:ext uri="{FF2B5EF4-FFF2-40B4-BE49-F238E27FC236}">
              <a16:creationId xmlns:a16="http://schemas.microsoft.com/office/drawing/2014/main" id="{40EAE10F-93BC-4010-93B5-C33094C75085}"/>
            </a:ext>
            <a:ext uri="{147F2762-F138-4A5C-976F-8EAC2B608ADB}">
              <a16:predDERef xmlns:a16="http://schemas.microsoft.com/office/drawing/2014/main" pred="{DD5D94E7-F3C0-5D34-1E83-A4DD7D5AF5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51637" t="77070" r="34578" b="14797"/>
        <a:stretch>
          <a:fillRect/>
        </a:stretch>
      </xdr:blipFill>
      <xdr:spPr bwMode="auto">
        <a:xfrm>
          <a:off x="7629525" y="9677400"/>
          <a:ext cx="29527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390525</xdr:colOff>
      <xdr:row>7</xdr:row>
      <xdr:rowOff>85725</xdr:rowOff>
    </xdr:from>
    <xdr:to>
      <xdr:col>1</xdr:col>
      <xdr:colOff>2992755</xdr:colOff>
      <xdr:row>7</xdr:row>
      <xdr:rowOff>1161940</xdr:rowOff>
    </xdr:to>
    <xdr:pic>
      <xdr:nvPicPr>
        <xdr:cNvPr id="4" name="Picture 3">
          <a:extLst>
            <a:ext uri="{FF2B5EF4-FFF2-40B4-BE49-F238E27FC236}">
              <a16:creationId xmlns:a16="http://schemas.microsoft.com/office/drawing/2014/main" id="{005A3C41-776F-473D-9292-4DD497DE19E3}"/>
            </a:ext>
          </a:extLst>
        </xdr:cNvPr>
        <xdr:cNvPicPr>
          <a:picLocks noChangeAspect="1"/>
        </xdr:cNvPicPr>
      </xdr:nvPicPr>
      <xdr:blipFill rotWithShape="1">
        <a:blip xmlns:r="http://schemas.openxmlformats.org/officeDocument/2006/relationships" r:embed="rId1"/>
        <a:srcRect b="18839"/>
        <a:stretch>
          <a:fillRect/>
        </a:stretch>
      </xdr:blipFill>
      <xdr:spPr>
        <a:xfrm>
          <a:off x="2105025" y="1666875"/>
          <a:ext cx="2598420" cy="1089550"/>
        </a:xfrm>
        <a:prstGeom prst="rect">
          <a:avLst/>
        </a:prstGeom>
      </xdr:spPr>
    </xdr:pic>
    <xdr:clientData/>
  </xdr:twoCellAnchor>
  <xdr:twoCellAnchor>
    <xdr:from>
      <xdr:col>0</xdr:col>
      <xdr:colOff>869576</xdr:colOff>
      <xdr:row>82</xdr:row>
      <xdr:rowOff>8966</xdr:rowOff>
    </xdr:from>
    <xdr:to>
      <xdr:col>2</xdr:col>
      <xdr:colOff>2133600</xdr:colOff>
      <xdr:row>98</xdr:row>
      <xdr:rowOff>8966</xdr:rowOff>
    </xdr:to>
    <xdr:pic>
      <xdr:nvPicPr>
        <xdr:cNvPr id="5" name="Picture 4">
          <a:extLst>
            <a:ext uri="{FF2B5EF4-FFF2-40B4-BE49-F238E27FC236}">
              <a16:creationId xmlns:a16="http://schemas.microsoft.com/office/drawing/2014/main" id="{682A912B-8347-4292-931A-E0F5CA0CE4C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69576" y="18081813"/>
          <a:ext cx="6499412" cy="28687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676052</xdr:colOff>
      <xdr:row>97</xdr:row>
      <xdr:rowOff>142090</xdr:rowOff>
    </xdr:from>
    <xdr:to>
      <xdr:col>2</xdr:col>
      <xdr:colOff>2140997</xdr:colOff>
      <xdr:row>114</xdr:row>
      <xdr:rowOff>51994</xdr:rowOff>
    </xdr:to>
    <xdr:pic>
      <xdr:nvPicPr>
        <xdr:cNvPr id="6" name="Picture 5">
          <a:extLst>
            <a:ext uri="{FF2B5EF4-FFF2-40B4-BE49-F238E27FC236}">
              <a16:creationId xmlns:a16="http://schemas.microsoft.com/office/drawing/2014/main" id="{CFE1CD5E-1239-4E69-BC6A-3454CA1A8D83}"/>
            </a:ext>
          </a:extLst>
        </xdr:cNvPr>
        <xdr:cNvPicPr>
          <a:picLocks noChangeAspect="1"/>
        </xdr:cNvPicPr>
      </xdr:nvPicPr>
      <xdr:blipFill>
        <a:blip xmlns:r="http://schemas.openxmlformats.org/officeDocument/2006/relationships" r:embed="rId5"/>
        <a:stretch>
          <a:fillRect/>
        </a:stretch>
      </xdr:blipFill>
      <xdr:spPr>
        <a:xfrm>
          <a:off x="676052" y="20368708"/>
          <a:ext cx="6709298" cy="2901874"/>
        </a:xfrm>
        <a:prstGeom prst="rect">
          <a:avLst/>
        </a:prstGeom>
      </xdr:spPr>
    </xdr:pic>
    <xdr:clientData/>
  </xdr:twoCellAnchor>
  <xdr:twoCellAnchor>
    <xdr:from>
      <xdr:col>0</xdr:col>
      <xdr:colOff>68580</xdr:colOff>
      <xdr:row>29</xdr:row>
      <xdr:rowOff>60960</xdr:rowOff>
    </xdr:from>
    <xdr:to>
      <xdr:col>1</xdr:col>
      <xdr:colOff>2499360</xdr:colOff>
      <xdr:row>34</xdr:row>
      <xdr:rowOff>150826</xdr:rowOff>
    </xdr:to>
    <xdr:pic>
      <xdr:nvPicPr>
        <xdr:cNvPr id="13" name="Picture 1">
          <a:extLst>
            <a:ext uri="{FF2B5EF4-FFF2-40B4-BE49-F238E27FC236}">
              <a16:creationId xmlns:a16="http://schemas.microsoft.com/office/drawing/2014/main" id="{01F86F7E-9609-4A37-9518-B503FE6437B5}"/>
            </a:ext>
            <a:ext uri="{147F2762-F138-4A5C-976F-8EAC2B608ADB}">
              <a16:predDERef xmlns:a16="http://schemas.microsoft.com/office/drawing/2014/main" pred="{CFE1CD5E-1239-4E69-BC6A-3454CA1A8D83}"/>
            </a:ext>
          </a:extLst>
        </xdr:cNvPr>
        <xdr:cNvPicPr>
          <a:picLocks noChangeAspect="1"/>
        </xdr:cNvPicPr>
      </xdr:nvPicPr>
      <xdr:blipFill>
        <a:blip xmlns:r="http://schemas.openxmlformats.org/officeDocument/2006/relationships" r:embed="rId6"/>
        <a:stretch>
          <a:fillRect/>
        </a:stretch>
      </xdr:blipFill>
      <xdr:spPr>
        <a:xfrm>
          <a:off x="68580" y="7010400"/>
          <a:ext cx="4145280" cy="889966"/>
        </a:xfrm>
        <a:prstGeom prst="rect">
          <a:avLst/>
        </a:prstGeom>
      </xdr:spPr>
    </xdr:pic>
    <xdr:clientData/>
  </xdr:twoCellAnchor>
  <xdr:twoCellAnchor>
    <xdr:from>
      <xdr:col>4</xdr:col>
      <xdr:colOff>154305</xdr:colOff>
      <xdr:row>39</xdr:row>
      <xdr:rowOff>173355</xdr:rowOff>
    </xdr:from>
    <xdr:to>
      <xdr:col>4</xdr:col>
      <xdr:colOff>2783205</xdr:colOff>
      <xdr:row>39</xdr:row>
      <xdr:rowOff>1426845</xdr:rowOff>
    </xdr:to>
    <xdr:pic>
      <xdr:nvPicPr>
        <xdr:cNvPr id="2" name="Picture 1">
          <a:extLst>
            <a:ext uri="{FF2B5EF4-FFF2-40B4-BE49-F238E27FC236}">
              <a16:creationId xmlns:a16="http://schemas.microsoft.com/office/drawing/2014/main" id="{1E83DF02-717D-C0DD-FF88-69AADAB52609}"/>
            </a:ext>
            <a:ext uri="{147F2762-F138-4A5C-976F-8EAC2B608ADB}">
              <a16:predDERef xmlns:a16="http://schemas.microsoft.com/office/drawing/2014/main" pred="{01F86F7E-9609-4A37-9518-B503FE6437B5}"/>
            </a:ext>
          </a:extLst>
        </xdr:cNvPr>
        <xdr:cNvPicPr>
          <a:picLocks noChangeAspect="1"/>
        </xdr:cNvPicPr>
      </xdr:nvPicPr>
      <xdr:blipFill>
        <a:blip xmlns:r="http://schemas.openxmlformats.org/officeDocument/2006/relationships" r:embed="rId7"/>
        <a:stretch>
          <a:fillRect/>
        </a:stretch>
      </xdr:blipFill>
      <xdr:spPr>
        <a:xfrm>
          <a:off x="11517630" y="8755380"/>
          <a:ext cx="2628900" cy="1253490"/>
        </a:xfrm>
        <a:prstGeom prst="rect">
          <a:avLst/>
        </a:prstGeom>
      </xdr:spPr>
    </xdr:pic>
    <xdr:clientData/>
  </xdr:twoCellAnchor>
  <xdr:twoCellAnchor>
    <xdr:from>
      <xdr:col>1</xdr:col>
      <xdr:colOff>152400</xdr:colOff>
      <xdr:row>121</xdr:row>
      <xdr:rowOff>133350</xdr:rowOff>
    </xdr:from>
    <xdr:to>
      <xdr:col>1</xdr:col>
      <xdr:colOff>3103245</xdr:colOff>
      <xdr:row>121</xdr:row>
      <xdr:rowOff>1352550</xdr:rowOff>
    </xdr:to>
    <xdr:pic>
      <xdr:nvPicPr>
        <xdr:cNvPr id="3" name="Picture 2">
          <a:extLst>
            <a:ext uri="{FF2B5EF4-FFF2-40B4-BE49-F238E27FC236}">
              <a16:creationId xmlns:a16="http://schemas.microsoft.com/office/drawing/2014/main" id="{C72E54FD-9E6E-43A3-AEF0-547F8EB4AE01}"/>
            </a:ext>
            <a:ext uri="{147F2762-F138-4A5C-976F-8EAC2B608ADB}">
              <a16:predDERef xmlns:a16="http://schemas.microsoft.com/office/drawing/2014/main" pred="{1E83DF02-717D-C0DD-FF88-69AADAB52609}"/>
            </a:ext>
          </a:extLst>
        </xdr:cNvPr>
        <xdr:cNvPicPr>
          <a:picLocks noChangeAspect="1"/>
        </xdr:cNvPicPr>
      </xdr:nvPicPr>
      <xdr:blipFill rotWithShape="1">
        <a:blip xmlns:r="http://schemas.openxmlformats.org/officeDocument/2006/relationships" r:embed="rId1"/>
        <a:srcRect b="18839"/>
        <a:stretch>
          <a:fillRect/>
        </a:stretch>
      </xdr:blipFill>
      <xdr:spPr>
        <a:xfrm>
          <a:off x="2295525" y="8591550"/>
          <a:ext cx="2962275" cy="1228725"/>
        </a:xfrm>
        <a:prstGeom prst="rect">
          <a:avLst/>
        </a:prstGeom>
      </xdr:spPr>
    </xdr:pic>
    <xdr:clientData/>
  </xdr:twoCellAnchor>
  <xdr:twoCellAnchor>
    <xdr:from>
      <xdr:col>2</xdr:col>
      <xdr:colOff>152400</xdr:colOff>
      <xdr:row>121</xdr:row>
      <xdr:rowOff>104775</xdr:rowOff>
    </xdr:from>
    <xdr:to>
      <xdr:col>2</xdr:col>
      <xdr:colOff>3200400</xdr:colOff>
      <xdr:row>121</xdr:row>
      <xdr:rowOff>1350645</xdr:rowOff>
    </xdr:to>
    <xdr:pic>
      <xdr:nvPicPr>
        <xdr:cNvPr id="7" name="Picture 6">
          <a:extLst>
            <a:ext uri="{FF2B5EF4-FFF2-40B4-BE49-F238E27FC236}">
              <a16:creationId xmlns:a16="http://schemas.microsoft.com/office/drawing/2014/main" id="{C6B4F3BC-2C64-4F44-B491-02C97B5466C5}"/>
            </a:ext>
            <a:ext uri="{147F2762-F138-4A5C-976F-8EAC2B608ADB}">
              <a16:predDERef xmlns:a16="http://schemas.microsoft.com/office/drawing/2014/main" pred="{C72E54FD-9E6E-43A3-AEF0-547F8EB4AE01}"/>
            </a:ext>
          </a:extLst>
        </xdr:cNvPr>
        <xdr:cNvPicPr>
          <a:picLocks noChangeAspect="1"/>
        </xdr:cNvPicPr>
      </xdr:nvPicPr>
      <xdr:blipFill>
        <a:blip xmlns:r="http://schemas.openxmlformats.org/officeDocument/2006/relationships" r:embed="rId2"/>
        <a:stretch>
          <a:fillRect/>
        </a:stretch>
      </xdr:blipFill>
      <xdr:spPr>
        <a:xfrm>
          <a:off x="5572125" y="8562975"/>
          <a:ext cx="3048000" cy="1257300"/>
        </a:xfrm>
        <a:prstGeom prst="rect">
          <a:avLst/>
        </a:prstGeom>
      </xdr:spPr>
    </xdr:pic>
    <xdr:clientData/>
  </xdr:twoCellAnchor>
  <xdr:twoCellAnchor>
    <xdr:from>
      <xdr:col>3</xdr:col>
      <xdr:colOff>276225</xdr:colOff>
      <xdr:row>121</xdr:row>
      <xdr:rowOff>85725</xdr:rowOff>
    </xdr:from>
    <xdr:to>
      <xdr:col>3</xdr:col>
      <xdr:colOff>3063240</xdr:colOff>
      <xdr:row>121</xdr:row>
      <xdr:rowOff>1413510</xdr:rowOff>
    </xdr:to>
    <xdr:pic>
      <xdr:nvPicPr>
        <xdr:cNvPr id="8" name="Picture 7">
          <a:extLst>
            <a:ext uri="{FF2B5EF4-FFF2-40B4-BE49-F238E27FC236}">
              <a16:creationId xmlns:a16="http://schemas.microsoft.com/office/drawing/2014/main" id="{3DFD2005-0971-49D3-8AE5-BDEE5CA45226}"/>
            </a:ext>
            <a:ext uri="{147F2762-F138-4A5C-976F-8EAC2B608ADB}">
              <a16:predDERef xmlns:a16="http://schemas.microsoft.com/office/drawing/2014/main" pred="{C6B4F3BC-2C64-4F44-B491-02C97B5466C5}"/>
            </a:ext>
          </a:extLst>
        </xdr:cNvPr>
        <xdr:cNvPicPr>
          <a:picLocks noChangeAspect="1"/>
        </xdr:cNvPicPr>
      </xdr:nvPicPr>
      <xdr:blipFill>
        <a:blip xmlns:r="http://schemas.openxmlformats.org/officeDocument/2006/relationships" r:embed="rId7"/>
        <a:stretch>
          <a:fillRect/>
        </a:stretch>
      </xdr:blipFill>
      <xdr:spPr>
        <a:xfrm>
          <a:off x="8972550" y="8543925"/>
          <a:ext cx="2781300" cy="1323975"/>
        </a:xfrm>
        <a:prstGeom prst="rect">
          <a:avLst/>
        </a:prstGeom>
      </xdr:spPr>
    </xdr:pic>
    <xdr:clientData/>
  </xdr:twoCellAnchor>
  <xdr:twoCellAnchor>
    <xdr:from>
      <xdr:col>4</xdr:col>
      <xdr:colOff>76200</xdr:colOff>
      <xdr:row>121</xdr:row>
      <xdr:rowOff>114300</xdr:rowOff>
    </xdr:from>
    <xdr:to>
      <xdr:col>4</xdr:col>
      <xdr:colOff>3177540</xdr:colOff>
      <xdr:row>121</xdr:row>
      <xdr:rowOff>1394460</xdr:rowOff>
    </xdr:to>
    <xdr:pic>
      <xdr:nvPicPr>
        <xdr:cNvPr id="12" name="Picture 11">
          <a:extLst>
            <a:ext uri="{FF2B5EF4-FFF2-40B4-BE49-F238E27FC236}">
              <a16:creationId xmlns:a16="http://schemas.microsoft.com/office/drawing/2014/main" id="{A845172A-A830-458F-9DF6-2C52457B2AEE}"/>
            </a:ext>
            <a:ext uri="{147F2762-F138-4A5C-976F-8EAC2B608ADB}">
              <a16:predDERef xmlns:a16="http://schemas.microsoft.com/office/drawing/2014/main" pred="{3DFD2005-0971-49D3-8AE5-BDEE5CA45226}"/>
            </a:ext>
          </a:extLst>
        </xdr:cNvPr>
        <xdr:cNvPicPr>
          <a:picLocks noChangeAspect="1"/>
        </xdr:cNvPicPr>
      </xdr:nvPicPr>
      <xdr:blipFill rotWithShape="1">
        <a:blip xmlns:r="http://schemas.openxmlformats.org/officeDocument/2006/relationships" r:embed="rId1"/>
        <a:srcRect b="18839"/>
        <a:stretch>
          <a:fillRect/>
        </a:stretch>
      </xdr:blipFill>
      <xdr:spPr>
        <a:xfrm>
          <a:off x="12049125" y="8572500"/>
          <a:ext cx="3095625" cy="12858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15</xdr:col>
      <xdr:colOff>1282561</xdr:colOff>
      <xdr:row>0</xdr:row>
      <xdr:rowOff>35035</xdr:rowOff>
    </xdr:from>
    <xdr:to>
      <xdr:col>15</xdr:col>
      <xdr:colOff>1282561</xdr:colOff>
      <xdr:row>0</xdr:row>
      <xdr:rowOff>321779</xdr:rowOff>
    </xdr:to>
    <xdr:cxnSp macro="">
      <xdr:nvCxnSpPr>
        <xdr:cNvPr id="4" name="Straight Arrow Connector 3">
          <a:extLst>
            <a:ext uri="{FF2B5EF4-FFF2-40B4-BE49-F238E27FC236}">
              <a16:creationId xmlns:a16="http://schemas.microsoft.com/office/drawing/2014/main" id="{BB0EC946-BDB6-09C9-DB60-21B21720AE71}"/>
            </a:ext>
          </a:extLst>
        </xdr:cNvPr>
        <xdr:cNvCxnSpPr/>
      </xdr:nvCxnSpPr>
      <xdr:spPr>
        <a:xfrm flipV="1">
          <a:off x="12000257" y="35035"/>
          <a:ext cx="0" cy="286744"/>
        </a:xfrm>
        <a:prstGeom prst="straightConnector1">
          <a:avLst/>
        </a:prstGeom>
        <a:ln w="381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1306168</xdr:colOff>
      <xdr:row>0</xdr:row>
      <xdr:rowOff>830</xdr:rowOff>
    </xdr:from>
    <xdr:to>
      <xdr:col>15</xdr:col>
      <xdr:colOff>1546362</xdr:colOff>
      <xdr:row>1</xdr:row>
      <xdr:rowOff>36528</xdr:rowOff>
    </xdr:to>
    <xdr:sp macro="" textlink="">
      <xdr:nvSpPr>
        <xdr:cNvPr id="8" name="TextBox 7">
          <a:extLst>
            <a:ext uri="{FF2B5EF4-FFF2-40B4-BE49-F238E27FC236}">
              <a16:creationId xmlns:a16="http://schemas.microsoft.com/office/drawing/2014/main" id="{1DDDC35D-79DC-FE8D-E36B-A215903DCB00}"/>
            </a:ext>
            <a:ext uri="{147F2762-F138-4A5C-976F-8EAC2B608ADB}">
              <a16:predDERef xmlns:a16="http://schemas.microsoft.com/office/drawing/2014/main" pred="{BB0EC946-BDB6-09C9-DB60-21B21720AE71}"/>
            </a:ext>
          </a:extLst>
        </xdr:cNvPr>
        <xdr:cNvSpPr txBox="1"/>
      </xdr:nvSpPr>
      <xdr:spPr>
        <a:xfrm>
          <a:off x="13183843" y="830"/>
          <a:ext cx="240194" cy="359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a:t>
          </a:r>
        </a:p>
      </xdr:txBody>
    </xdr:sp>
    <xdr:clientData/>
  </xdr:twoCellAnchor>
  <xdr:twoCellAnchor editAs="absolute">
    <xdr:from>
      <xdr:col>14</xdr:col>
      <xdr:colOff>268662</xdr:colOff>
      <xdr:row>1</xdr:row>
      <xdr:rowOff>161630</xdr:rowOff>
    </xdr:from>
    <xdr:to>
      <xdr:col>15</xdr:col>
      <xdr:colOff>1267817</xdr:colOff>
      <xdr:row>9</xdr:row>
      <xdr:rowOff>124172</xdr:rowOff>
    </xdr:to>
    <xdr:pic>
      <xdr:nvPicPr>
        <xdr:cNvPr id="2" name="Picture 1">
          <a:extLst>
            <a:ext uri="{FF2B5EF4-FFF2-40B4-BE49-F238E27FC236}">
              <a16:creationId xmlns:a16="http://schemas.microsoft.com/office/drawing/2014/main" id="{41FBD27B-82A3-6032-5BB1-B60E1DA57CA8}"/>
            </a:ext>
            <a:ext uri="{147F2762-F138-4A5C-976F-8EAC2B608ADB}">
              <a16:predDERef xmlns:a16="http://schemas.microsoft.com/office/drawing/2014/main" pred="{1DDDC35D-79DC-FE8D-E36B-A215903DCB00}"/>
            </a:ext>
          </a:extLst>
        </xdr:cNvPr>
        <xdr:cNvPicPr>
          <a:picLocks noChangeAspect="1"/>
        </xdr:cNvPicPr>
      </xdr:nvPicPr>
      <xdr:blipFill>
        <a:blip xmlns:r="http://schemas.openxmlformats.org/officeDocument/2006/relationships" r:embed="rId1"/>
        <a:stretch>
          <a:fillRect/>
        </a:stretch>
      </xdr:blipFill>
      <xdr:spPr>
        <a:xfrm flipH="1">
          <a:off x="20937912" y="485480"/>
          <a:ext cx="1989755" cy="2077092"/>
        </a:xfrm>
        <a:prstGeom prst="rect">
          <a:avLst/>
        </a:prstGeom>
      </xdr:spPr>
    </xdr:pic>
    <xdr:clientData/>
  </xdr:twoCellAnchor>
  <xdr:twoCellAnchor>
    <xdr:from>
      <xdr:col>15</xdr:col>
      <xdr:colOff>104775</xdr:colOff>
      <xdr:row>2</xdr:row>
      <xdr:rowOff>38100</xdr:rowOff>
    </xdr:from>
    <xdr:to>
      <xdr:col>15</xdr:col>
      <xdr:colOff>790575</xdr:colOff>
      <xdr:row>3</xdr:row>
      <xdr:rowOff>123825</xdr:rowOff>
    </xdr:to>
    <xdr:sp macro="" textlink="">
      <xdr:nvSpPr>
        <xdr:cNvPr id="3" name="TextBox 2">
          <a:extLst>
            <a:ext uri="{FF2B5EF4-FFF2-40B4-BE49-F238E27FC236}">
              <a16:creationId xmlns:a16="http://schemas.microsoft.com/office/drawing/2014/main" id="{2ADACA2D-CEAD-52EC-7EF6-BED6F5B146DD}"/>
            </a:ext>
          </a:extLst>
        </xdr:cNvPr>
        <xdr:cNvSpPr txBox="1"/>
      </xdr:nvSpPr>
      <xdr:spPr>
        <a:xfrm>
          <a:off x="16002000" y="866775"/>
          <a:ext cx="6858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Kitchen</a:t>
          </a:r>
        </a:p>
      </xdr:txBody>
    </xdr:sp>
    <xdr:clientData/>
  </xdr:twoCellAnchor>
  <xdr:twoCellAnchor>
    <xdr:from>
      <xdr:col>15</xdr:col>
      <xdr:colOff>104775</xdr:colOff>
      <xdr:row>2</xdr:row>
      <xdr:rowOff>38100</xdr:rowOff>
    </xdr:from>
    <xdr:to>
      <xdr:col>15</xdr:col>
      <xdr:colOff>790575</xdr:colOff>
      <xdr:row>3</xdr:row>
      <xdr:rowOff>125730</xdr:rowOff>
    </xdr:to>
    <xdr:sp macro="" textlink="">
      <xdr:nvSpPr>
        <xdr:cNvPr id="5" name="TextBox 4">
          <a:extLst>
            <a:ext uri="{FF2B5EF4-FFF2-40B4-BE49-F238E27FC236}">
              <a16:creationId xmlns:a16="http://schemas.microsoft.com/office/drawing/2014/main" id="{068F2441-C157-4CF6-A47F-98AAFACAD768}"/>
            </a:ext>
          </a:extLst>
        </xdr:cNvPr>
        <xdr:cNvSpPr txBox="1"/>
      </xdr:nvSpPr>
      <xdr:spPr>
        <a:xfrm>
          <a:off x="16002000" y="866775"/>
          <a:ext cx="685800" cy="30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Kitchen</a:t>
          </a:r>
        </a:p>
      </xdr:txBody>
    </xdr:sp>
    <xdr:clientData/>
  </xdr:twoCellAnchor>
  <xdr:twoCellAnchor>
    <xdr:from>
      <xdr:col>15</xdr:col>
      <xdr:colOff>133350</xdr:colOff>
      <xdr:row>6</xdr:row>
      <xdr:rowOff>0</xdr:rowOff>
    </xdr:from>
    <xdr:to>
      <xdr:col>15</xdr:col>
      <xdr:colOff>819150</xdr:colOff>
      <xdr:row>7</xdr:row>
      <xdr:rowOff>116205</xdr:rowOff>
    </xdr:to>
    <xdr:sp macro="" textlink="">
      <xdr:nvSpPr>
        <xdr:cNvPr id="6" name="TextBox 5">
          <a:extLst>
            <a:ext uri="{FF2B5EF4-FFF2-40B4-BE49-F238E27FC236}">
              <a16:creationId xmlns:a16="http://schemas.microsoft.com/office/drawing/2014/main" id="{60DDC083-3647-4217-A767-B244934C39A3}"/>
            </a:ext>
            <a:ext uri="{147F2762-F138-4A5C-976F-8EAC2B608ADB}">
              <a16:predDERef xmlns:a16="http://schemas.microsoft.com/office/drawing/2014/main" pred="{068F2441-C157-4CF6-A47F-98AAFACAD768}"/>
            </a:ext>
          </a:extLst>
        </xdr:cNvPr>
        <xdr:cNvSpPr txBox="1"/>
      </xdr:nvSpPr>
      <xdr:spPr>
        <a:xfrm>
          <a:off x="16030575" y="1885950"/>
          <a:ext cx="685800" cy="30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dk1"/>
              </a:solidFill>
              <a:latin typeface="+mn-lt"/>
              <a:ea typeface="+mn-lt"/>
              <a:cs typeface="+mn-lt"/>
            </a:rPr>
            <a:t>Dining</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198289</xdr:colOff>
      <xdr:row>72</xdr:row>
      <xdr:rowOff>117059</xdr:rowOff>
    </xdr:from>
    <xdr:to>
      <xdr:col>6</xdr:col>
      <xdr:colOff>191701</xdr:colOff>
      <xdr:row>92</xdr:row>
      <xdr:rowOff>151439</xdr:rowOff>
    </xdr:to>
    <xdr:pic>
      <xdr:nvPicPr>
        <xdr:cNvPr id="15" name="Picture 14">
          <a:extLst>
            <a:ext uri="{FF2B5EF4-FFF2-40B4-BE49-F238E27FC236}">
              <a16:creationId xmlns:a16="http://schemas.microsoft.com/office/drawing/2014/main" id="{31642C02-63B4-441B-AA72-92728104654E}"/>
            </a:ext>
          </a:extLst>
        </xdr:cNvPr>
        <xdr:cNvPicPr>
          <a:picLocks noChangeAspect="1"/>
        </xdr:cNvPicPr>
      </xdr:nvPicPr>
      <xdr:blipFill>
        <a:blip xmlns:r="http://schemas.openxmlformats.org/officeDocument/2006/relationships" r:embed="rId1"/>
        <a:stretch>
          <a:fillRect/>
        </a:stretch>
      </xdr:blipFill>
      <xdr:spPr>
        <a:xfrm>
          <a:off x="3582465" y="16163883"/>
          <a:ext cx="4912795" cy="3396144"/>
        </a:xfrm>
        <a:prstGeom prst="rect">
          <a:avLst/>
        </a:prstGeom>
      </xdr:spPr>
    </xdr:pic>
    <xdr:clientData/>
  </xdr:twoCellAnchor>
  <xdr:twoCellAnchor>
    <xdr:from>
      <xdr:col>3</xdr:col>
      <xdr:colOff>230757</xdr:colOff>
      <xdr:row>94</xdr:row>
      <xdr:rowOff>160439</xdr:rowOff>
    </xdr:from>
    <xdr:to>
      <xdr:col>6</xdr:col>
      <xdr:colOff>307118</xdr:colOff>
      <xdr:row>104</xdr:row>
      <xdr:rowOff>172531</xdr:rowOff>
    </xdr:to>
    <xdr:pic>
      <xdr:nvPicPr>
        <xdr:cNvPr id="16" name="Picture 15">
          <a:extLst>
            <a:ext uri="{FF2B5EF4-FFF2-40B4-BE49-F238E27FC236}">
              <a16:creationId xmlns:a16="http://schemas.microsoft.com/office/drawing/2014/main" id="{A422335F-25AA-4AD7-80AC-F9D96C7BF1D7}"/>
            </a:ext>
          </a:extLst>
        </xdr:cNvPr>
        <xdr:cNvPicPr>
          <a:picLocks noChangeAspect="1"/>
        </xdr:cNvPicPr>
      </xdr:nvPicPr>
      <xdr:blipFill>
        <a:blip xmlns:r="http://schemas.openxmlformats.org/officeDocument/2006/relationships" r:embed="rId2"/>
        <a:stretch>
          <a:fillRect/>
        </a:stretch>
      </xdr:blipFill>
      <xdr:spPr>
        <a:xfrm>
          <a:off x="3614933" y="19905204"/>
          <a:ext cx="4995744" cy="1692974"/>
        </a:xfrm>
        <a:prstGeom prst="rect">
          <a:avLst/>
        </a:prstGeom>
      </xdr:spPr>
    </xdr:pic>
    <xdr:clientData/>
  </xdr:twoCellAnchor>
  <xdr:twoCellAnchor>
    <xdr:from>
      <xdr:col>0</xdr:col>
      <xdr:colOff>45223</xdr:colOff>
      <xdr:row>73</xdr:row>
      <xdr:rowOff>52098</xdr:rowOff>
    </xdr:from>
    <xdr:to>
      <xdr:col>3</xdr:col>
      <xdr:colOff>21688</xdr:colOff>
      <xdr:row>102</xdr:row>
      <xdr:rowOff>5715</xdr:rowOff>
    </xdr:to>
    <xdr:pic>
      <xdr:nvPicPr>
        <xdr:cNvPr id="17" name="Picture 1">
          <a:extLst>
            <a:ext uri="{FF2B5EF4-FFF2-40B4-BE49-F238E27FC236}">
              <a16:creationId xmlns:a16="http://schemas.microsoft.com/office/drawing/2014/main" id="{89E0B566-76BC-4D29-AD36-7E3EDBDBEC13}"/>
            </a:ext>
          </a:extLst>
        </xdr:cNvPr>
        <xdr:cNvPicPr>
          <a:picLocks noChangeAspect="1"/>
        </xdr:cNvPicPr>
      </xdr:nvPicPr>
      <xdr:blipFill>
        <a:blip xmlns:r="http://schemas.openxmlformats.org/officeDocument/2006/relationships" r:embed="rId3"/>
        <a:stretch>
          <a:fillRect/>
        </a:stretch>
      </xdr:blipFill>
      <xdr:spPr>
        <a:xfrm>
          <a:off x="45223" y="15623402"/>
          <a:ext cx="3248095" cy="4997726"/>
        </a:xfrm>
        <a:prstGeom prst="rect">
          <a:avLst/>
        </a:prstGeom>
      </xdr:spPr>
    </xdr:pic>
    <xdr:clientData/>
  </xdr:twoCellAnchor>
  <xdr:twoCellAnchor>
    <xdr:from>
      <xdr:col>5</xdr:col>
      <xdr:colOff>853732</xdr:colOff>
      <xdr:row>50</xdr:row>
      <xdr:rowOff>242719</xdr:rowOff>
    </xdr:from>
    <xdr:to>
      <xdr:col>11</xdr:col>
      <xdr:colOff>478964</xdr:colOff>
      <xdr:row>63</xdr:row>
      <xdr:rowOff>30030</xdr:rowOff>
    </xdr:to>
    <xdr:pic>
      <xdr:nvPicPr>
        <xdr:cNvPr id="18" name="Picture 17">
          <a:extLst>
            <a:ext uri="{FF2B5EF4-FFF2-40B4-BE49-F238E27FC236}">
              <a16:creationId xmlns:a16="http://schemas.microsoft.com/office/drawing/2014/main" id="{CE11BA7D-1C13-4799-B19E-57B11FD12712}"/>
            </a:ext>
          </a:extLst>
        </xdr:cNvPr>
        <xdr:cNvPicPr>
          <a:picLocks noChangeAspect="1"/>
        </xdr:cNvPicPr>
      </xdr:nvPicPr>
      <xdr:blipFill>
        <a:blip xmlns:r="http://schemas.openxmlformats.org/officeDocument/2006/relationships" r:embed="rId4"/>
        <a:stretch>
          <a:fillRect/>
        </a:stretch>
      </xdr:blipFill>
      <xdr:spPr>
        <a:xfrm>
          <a:off x="8070320" y="12737278"/>
          <a:ext cx="6505644" cy="2140546"/>
        </a:xfrm>
        <a:prstGeom prst="rect">
          <a:avLst/>
        </a:prstGeom>
      </xdr:spPr>
    </xdr:pic>
    <xdr:clientData/>
  </xdr:twoCellAnchor>
  <xdr:twoCellAnchor>
    <xdr:from>
      <xdr:col>7</xdr:col>
      <xdr:colOff>194062</xdr:colOff>
      <xdr:row>74</xdr:row>
      <xdr:rowOff>163525</xdr:rowOff>
    </xdr:from>
    <xdr:to>
      <xdr:col>10</xdr:col>
      <xdr:colOff>436929</xdr:colOff>
      <xdr:row>101</xdr:row>
      <xdr:rowOff>97145</xdr:rowOff>
    </xdr:to>
    <xdr:pic>
      <xdr:nvPicPr>
        <xdr:cNvPr id="19" name="Picture 18">
          <a:extLst>
            <a:ext uri="{FF2B5EF4-FFF2-40B4-BE49-F238E27FC236}">
              <a16:creationId xmlns:a16="http://schemas.microsoft.com/office/drawing/2014/main" id="{835E49ED-8B20-427D-88D9-FB78EEA9C32E}"/>
            </a:ext>
          </a:extLst>
        </xdr:cNvPr>
        <xdr:cNvPicPr>
          <a:picLocks noChangeAspect="1"/>
        </xdr:cNvPicPr>
      </xdr:nvPicPr>
      <xdr:blipFill>
        <a:blip xmlns:r="http://schemas.openxmlformats.org/officeDocument/2006/relationships" r:embed="rId5"/>
        <a:stretch>
          <a:fillRect/>
        </a:stretch>
      </xdr:blipFill>
      <xdr:spPr>
        <a:xfrm>
          <a:off x="9785323" y="15908764"/>
          <a:ext cx="4145218" cy="4633669"/>
        </a:xfrm>
        <a:prstGeom prst="rect">
          <a:avLst/>
        </a:prstGeom>
      </xdr:spPr>
    </xdr:pic>
    <xdr:clientData/>
  </xdr:twoCellAnchor>
  <xdr:twoCellAnchor>
    <xdr:from>
      <xdr:col>10</xdr:col>
      <xdr:colOff>124147</xdr:colOff>
      <xdr:row>94</xdr:row>
      <xdr:rowOff>102996</xdr:rowOff>
    </xdr:from>
    <xdr:to>
      <xdr:col>20</xdr:col>
      <xdr:colOff>432011</xdr:colOff>
      <xdr:row>103</xdr:row>
      <xdr:rowOff>97043</xdr:rowOff>
    </xdr:to>
    <xdr:pic>
      <xdr:nvPicPr>
        <xdr:cNvPr id="20" name="Picture 19">
          <a:extLst>
            <a:ext uri="{FF2B5EF4-FFF2-40B4-BE49-F238E27FC236}">
              <a16:creationId xmlns:a16="http://schemas.microsoft.com/office/drawing/2014/main" id="{B33520E0-C962-432D-AF78-C5BAA398C1BF}"/>
            </a:ext>
          </a:extLst>
        </xdr:cNvPr>
        <xdr:cNvPicPr>
          <a:picLocks noChangeAspect="1"/>
        </xdr:cNvPicPr>
      </xdr:nvPicPr>
      <xdr:blipFill>
        <a:blip xmlns:r="http://schemas.openxmlformats.org/officeDocument/2006/relationships" r:embed="rId6"/>
        <a:stretch>
          <a:fillRect/>
        </a:stretch>
      </xdr:blipFill>
      <xdr:spPr>
        <a:xfrm>
          <a:off x="13739294" y="19847761"/>
          <a:ext cx="5204835" cy="1506841"/>
        </a:xfrm>
        <a:prstGeom prst="rect">
          <a:avLst/>
        </a:prstGeom>
      </xdr:spPr>
    </xdr:pic>
    <xdr:clientData/>
  </xdr:twoCellAnchor>
  <xdr:twoCellAnchor>
    <xdr:from>
      <xdr:col>10</xdr:col>
      <xdr:colOff>193679</xdr:colOff>
      <xdr:row>74</xdr:row>
      <xdr:rowOff>38680</xdr:rowOff>
    </xdr:from>
    <xdr:to>
      <xdr:col>20</xdr:col>
      <xdr:colOff>123263</xdr:colOff>
      <xdr:row>92</xdr:row>
      <xdr:rowOff>118204</xdr:rowOff>
    </xdr:to>
    <xdr:pic>
      <xdr:nvPicPr>
        <xdr:cNvPr id="21" name="Picture 20">
          <a:extLst>
            <a:ext uri="{FF2B5EF4-FFF2-40B4-BE49-F238E27FC236}">
              <a16:creationId xmlns:a16="http://schemas.microsoft.com/office/drawing/2014/main" id="{A9C6C0A8-92D2-423D-B84F-29A3AA1A3508}"/>
            </a:ext>
          </a:extLst>
        </xdr:cNvPr>
        <xdr:cNvPicPr>
          <a:picLocks noChangeAspect="1"/>
        </xdr:cNvPicPr>
      </xdr:nvPicPr>
      <xdr:blipFill>
        <a:blip xmlns:r="http://schemas.openxmlformats.org/officeDocument/2006/relationships" r:embed="rId7"/>
        <a:stretch>
          <a:fillRect/>
        </a:stretch>
      </xdr:blipFill>
      <xdr:spPr>
        <a:xfrm>
          <a:off x="13808826" y="16421680"/>
          <a:ext cx="4826555" cy="3105112"/>
        </a:xfrm>
        <a:prstGeom prst="rect">
          <a:avLst/>
        </a:prstGeom>
      </xdr:spPr>
    </xdr:pic>
    <xdr:clientData/>
  </xdr:twoCellAnchor>
  <xdr:twoCellAnchor>
    <xdr:from>
      <xdr:col>0</xdr:col>
      <xdr:colOff>282271</xdr:colOff>
      <xdr:row>66</xdr:row>
      <xdr:rowOff>7620</xdr:rowOff>
    </xdr:from>
    <xdr:to>
      <xdr:col>3</xdr:col>
      <xdr:colOff>1274196</xdr:colOff>
      <xdr:row>73</xdr:row>
      <xdr:rowOff>54076</xdr:rowOff>
    </xdr:to>
    <xdr:pic>
      <xdr:nvPicPr>
        <xdr:cNvPr id="22" name="Picture 21">
          <a:extLst>
            <a:ext uri="{FF2B5EF4-FFF2-40B4-BE49-F238E27FC236}">
              <a16:creationId xmlns:a16="http://schemas.microsoft.com/office/drawing/2014/main" id="{6599AB33-3A3C-4631-C1E4-437FB4C560C4}"/>
            </a:ext>
          </a:extLst>
        </xdr:cNvPr>
        <xdr:cNvPicPr>
          <a:picLocks noChangeAspect="1"/>
        </xdr:cNvPicPr>
      </xdr:nvPicPr>
      <xdr:blipFill>
        <a:blip xmlns:r="http://schemas.openxmlformats.org/officeDocument/2006/relationships" r:embed="rId8"/>
        <a:stretch>
          <a:fillRect/>
        </a:stretch>
      </xdr:blipFill>
      <xdr:spPr>
        <a:xfrm>
          <a:off x="282271" y="14170881"/>
          <a:ext cx="4372555" cy="1452594"/>
        </a:xfrm>
        <a:prstGeom prst="rect">
          <a:avLst/>
        </a:prstGeom>
      </xdr:spPr>
    </xdr:pic>
    <xdr:clientData/>
  </xdr:twoCellAnchor>
  <xdr:twoCellAnchor>
    <xdr:from>
      <xdr:col>7</xdr:col>
      <xdr:colOff>298836</xdr:colOff>
      <xdr:row>65</xdr:row>
      <xdr:rowOff>135096</xdr:rowOff>
    </xdr:from>
    <xdr:to>
      <xdr:col>13</xdr:col>
      <xdr:colOff>397944</xdr:colOff>
      <xdr:row>72</xdr:row>
      <xdr:rowOff>157210</xdr:rowOff>
    </xdr:to>
    <xdr:pic>
      <xdr:nvPicPr>
        <xdr:cNvPr id="23" name="Picture 22">
          <a:extLst>
            <a:ext uri="{FF2B5EF4-FFF2-40B4-BE49-F238E27FC236}">
              <a16:creationId xmlns:a16="http://schemas.microsoft.com/office/drawing/2014/main" id="{D20CA670-59FC-E7D2-DB58-9403F530095C}"/>
            </a:ext>
          </a:extLst>
        </xdr:cNvPr>
        <xdr:cNvPicPr>
          <a:picLocks noChangeAspect="1"/>
        </xdr:cNvPicPr>
      </xdr:nvPicPr>
      <xdr:blipFill>
        <a:blip xmlns:r="http://schemas.openxmlformats.org/officeDocument/2006/relationships" r:embed="rId9"/>
        <a:stretch>
          <a:fillRect/>
        </a:stretch>
      </xdr:blipFill>
      <xdr:spPr>
        <a:xfrm>
          <a:off x="9890097" y="14124422"/>
          <a:ext cx="5461766" cy="1424443"/>
        </a:xfrm>
        <a:prstGeom prst="rect">
          <a:avLst/>
        </a:prstGeom>
      </xdr:spPr>
    </xdr:pic>
    <xdr:clientData/>
  </xdr:twoCellAnchor>
  <xdr:twoCellAnchor>
    <xdr:from>
      <xdr:col>12</xdr:col>
      <xdr:colOff>125170</xdr:colOff>
      <xdr:row>52</xdr:row>
      <xdr:rowOff>126338</xdr:rowOff>
    </xdr:from>
    <xdr:to>
      <xdr:col>25</xdr:col>
      <xdr:colOff>382905</xdr:colOff>
      <xdr:row>63</xdr:row>
      <xdr:rowOff>46168</xdr:rowOff>
    </xdr:to>
    <xdr:pic>
      <xdr:nvPicPr>
        <xdr:cNvPr id="24" name="Picture 23">
          <a:extLst>
            <a:ext uri="{FF2B5EF4-FFF2-40B4-BE49-F238E27FC236}">
              <a16:creationId xmlns:a16="http://schemas.microsoft.com/office/drawing/2014/main" id="{A120E7DE-A329-1507-668D-26780BCB396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4704023" y="12867426"/>
          <a:ext cx="6801970" cy="17704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24</xdr:col>
      <xdr:colOff>408017</xdr:colOff>
      <xdr:row>67</xdr:row>
      <xdr:rowOff>74035</xdr:rowOff>
    </xdr:from>
    <xdr:to>
      <xdr:col>32</xdr:col>
      <xdr:colOff>211229</xdr:colOff>
      <xdr:row>90</xdr:row>
      <xdr:rowOff>156883</xdr:rowOff>
    </xdr:to>
    <xdr:pic>
      <xdr:nvPicPr>
        <xdr:cNvPr id="25" name="Picture 24">
          <a:extLst>
            <a:ext uri="{FF2B5EF4-FFF2-40B4-BE49-F238E27FC236}">
              <a16:creationId xmlns:a16="http://schemas.microsoft.com/office/drawing/2014/main" id="{85E44CAD-0AF9-ECCE-4C27-BE84AABF8FA5}"/>
            </a:ext>
          </a:extLst>
        </xdr:cNvPr>
        <xdr:cNvPicPr>
          <a:picLocks noChangeAspect="1"/>
        </xdr:cNvPicPr>
      </xdr:nvPicPr>
      <xdr:blipFill>
        <a:blip xmlns:r="http://schemas.openxmlformats.org/officeDocument/2006/relationships" r:embed="rId11"/>
        <a:stretch>
          <a:fillRect/>
        </a:stretch>
      </xdr:blipFill>
      <xdr:spPr>
        <a:xfrm>
          <a:off x="20892370" y="15706241"/>
          <a:ext cx="4375212" cy="413937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67121</xdr:colOff>
      <xdr:row>61</xdr:row>
      <xdr:rowOff>0</xdr:rowOff>
    </xdr:from>
    <xdr:to>
      <xdr:col>3</xdr:col>
      <xdr:colOff>758638</xdr:colOff>
      <xdr:row>64</xdr:row>
      <xdr:rowOff>123023</xdr:rowOff>
    </xdr:to>
    <xdr:pic>
      <xdr:nvPicPr>
        <xdr:cNvPr id="2" name="Picture 1">
          <a:extLst>
            <a:ext uri="{FF2B5EF4-FFF2-40B4-BE49-F238E27FC236}">
              <a16:creationId xmlns:a16="http://schemas.microsoft.com/office/drawing/2014/main" id="{5A9B6BF2-3A13-8FE6-DFC4-43CA9C29783C}"/>
            </a:ext>
          </a:extLst>
        </xdr:cNvPr>
        <xdr:cNvPicPr>
          <a:picLocks noChangeAspect="1"/>
        </xdr:cNvPicPr>
      </xdr:nvPicPr>
      <xdr:blipFill rotWithShape="1">
        <a:blip xmlns:r="http://schemas.openxmlformats.org/officeDocument/2006/relationships" r:embed="rId1"/>
        <a:srcRect t="49595" b="1"/>
        <a:stretch>
          <a:fillRect/>
        </a:stretch>
      </xdr:blipFill>
      <xdr:spPr>
        <a:xfrm>
          <a:off x="67121" y="18097500"/>
          <a:ext cx="6047929" cy="593670"/>
        </a:xfrm>
        <a:prstGeom prst="rect">
          <a:avLst/>
        </a:prstGeom>
        <a:ln w="127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0</xdr:col>
      <xdr:colOff>0</xdr:colOff>
      <xdr:row>73</xdr:row>
      <xdr:rowOff>61340</xdr:rowOff>
    </xdr:from>
    <xdr:to>
      <xdr:col>2</xdr:col>
      <xdr:colOff>79414</xdr:colOff>
      <xdr:row>90</xdr:row>
      <xdr:rowOff>5565</xdr:rowOff>
    </xdr:to>
    <xdr:pic>
      <xdr:nvPicPr>
        <xdr:cNvPr id="3" name="Picture 2">
          <a:extLst>
            <a:ext uri="{FF2B5EF4-FFF2-40B4-BE49-F238E27FC236}">
              <a16:creationId xmlns:a16="http://schemas.microsoft.com/office/drawing/2014/main" id="{6A257C83-6ACB-9582-AA37-8D7BCFDC25BD}"/>
            </a:ext>
          </a:extLst>
        </xdr:cNvPr>
        <xdr:cNvPicPr>
          <a:picLocks noChangeAspect="1"/>
        </xdr:cNvPicPr>
      </xdr:nvPicPr>
      <xdr:blipFill rotWithShape="1">
        <a:blip xmlns:r="http://schemas.openxmlformats.org/officeDocument/2006/relationships" r:embed="rId2"/>
        <a:srcRect r="6511"/>
        <a:stretch>
          <a:fillRect/>
        </a:stretch>
      </xdr:blipFill>
      <xdr:spPr>
        <a:xfrm>
          <a:off x="0" y="20075046"/>
          <a:ext cx="3362738" cy="2611225"/>
        </a:xfrm>
        <a:prstGeom prst="rect">
          <a:avLst/>
        </a:prstGeom>
      </xdr:spPr>
    </xdr:pic>
    <xdr:clientData/>
  </xdr:twoCellAnchor>
  <xdr:twoCellAnchor>
    <xdr:from>
      <xdr:col>2</xdr:col>
      <xdr:colOff>276749</xdr:colOff>
      <xdr:row>70</xdr:row>
      <xdr:rowOff>103915</xdr:rowOff>
    </xdr:from>
    <xdr:to>
      <xdr:col>4</xdr:col>
      <xdr:colOff>461293</xdr:colOff>
      <xdr:row>87</xdr:row>
      <xdr:rowOff>24937</xdr:rowOff>
    </xdr:to>
    <xdr:pic>
      <xdr:nvPicPr>
        <xdr:cNvPr id="4" name="Picture 3">
          <a:extLst>
            <a:ext uri="{FF2B5EF4-FFF2-40B4-BE49-F238E27FC236}">
              <a16:creationId xmlns:a16="http://schemas.microsoft.com/office/drawing/2014/main" id="{16AD42A9-4F4A-CDB9-5A77-FAB0ED0F3AE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560073" y="19646974"/>
          <a:ext cx="4353132" cy="25880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1815912</xdr:colOff>
      <xdr:row>70</xdr:row>
      <xdr:rowOff>84414</xdr:rowOff>
    </xdr:from>
    <xdr:to>
      <xdr:col>6</xdr:col>
      <xdr:colOff>1649482</xdr:colOff>
      <xdr:row>76</xdr:row>
      <xdr:rowOff>110602</xdr:rowOff>
    </xdr:to>
    <xdr:pic>
      <xdr:nvPicPr>
        <xdr:cNvPr id="6" name="Picture 5">
          <a:extLst>
            <a:ext uri="{FF2B5EF4-FFF2-40B4-BE49-F238E27FC236}">
              <a16:creationId xmlns:a16="http://schemas.microsoft.com/office/drawing/2014/main" id="{D34582EE-512C-E62F-EBF5-684D5FB5431F}"/>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267824" y="19627473"/>
          <a:ext cx="4943452" cy="9674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70</xdr:row>
      <xdr:rowOff>13208</xdr:rowOff>
    </xdr:from>
    <xdr:to>
      <xdr:col>1</xdr:col>
      <xdr:colOff>1063438</xdr:colOff>
      <xdr:row>72</xdr:row>
      <xdr:rowOff>59951</xdr:rowOff>
    </xdr:to>
    <xdr:pic>
      <xdr:nvPicPr>
        <xdr:cNvPr id="5" name="Picture 4">
          <a:extLst>
            <a:ext uri="{FF2B5EF4-FFF2-40B4-BE49-F238E27FC236}">
              <a16:creationId xmlns:a16="http://schemas.microsoft.com/office/drawing/2014/main" id="{775A5D7F-8587-DC79-8D8B-55DB1E8C12C1}"/>
            </a:ext>
          </a:extLst>
        </xdr:cNvPr>
        <xdr:cNvPicPr>
          <a:picLocks noChangeAspect="1"/>
        </xdr:cNvPicPr>
      </xdr:nvPicPr>
      <xdr:blipFill>
        <a:blip xmlns:r="http://schemas.openxmlformats.org/officeDocument/2006/relationships" r:embed="rId5"/>
        <a:stretch>
          <a:fillRect/>
        </a:stretch>
      </xdr:blipFill>
      <xdr:spPr>
        <a:xfrm>
          <a:off x="0" y="19556267"/>
          <a:ext cx="2800350" cy="360508"/>
        </a:xfrm>
        <a:prstGeom prst="rect">
          <a:avLst/>
        </a:prstGeom>
      </xdr:spPr>
    </xdr:pic>
    <xdr:clientData/>
  </xdr:twoCellAnchor>
  <xdr:twoCellAnchor>
    <xdr:from>
      <xdr:col>3</xdr:col>
      <xdr:colOff>711243</xdr:colOff>
      <xdr:row>61</xdr:row>
      <xdr:rowOff>60961</xdr:rowOff>
    </xdr:from>
    <xdr:to>
      <xdr:col>5</xdr:col>
      <xdr:colOff>2094380</xdr:colOff>
      <xdr:row>64</xdr:row>
      <xdr:rowOff>73293</xdr:rowOff>
    </xdr:to>
    <xdr:pic>
      <xdr:nvPicPr>
        <xdr:cNvPr id="7" name="Picture 6">
          <a:extLst>
            <a:ext uri="{FF2B5EF4-FFF2-40B4-BE49-F238E27FC236}">
              <a16:creationId xmlns:a16="http://schemas.microsoft.com/office/drawing/2014/main" id="{8C7F001F-7201-C6FA-E779-C2322D13E76F}"/>
            </a:ext>
          </a:extLst>
        </xdr:cNvPr>
        <xdr:cNvPicPr>
          <a:picLocks noChangeAspect="1"/>
        </xdr:cNvPicPr>
      </xdr:nvPicPr>
      <xdr:blipFill>
        <a:blip xmlns:r="http://schemas.openxmlformats.org/officeDocument/2006/relationships" r:embed="rId6"/>
        <a:stretch>
          <a:fillRect/>
        </a:stretch>
      </xdr:blipFill>
      <xdr:spPr>
        <a:xfrm>
          <a:off x="6067655" y="18158461"/>
          <a:ext cx="5495696" cy="482979"/>
        </a:xfrm>
        <a:prstGeom prst="rect">
          <a:avLst/>
        </a:prstGeom>
        <a:ln w="127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oneCellAnchor>
    <xdr:from>
      <xdr:col>0</xdr:col>
      <xdr:colOff>14063</xdr:colOff>
      <xdr:row>44</xdr:row>
      <xdr:rowOff>69575</xdr:rowOff>
    </xdr:from>
    <xdr:ext cx="2486193" cy="365678"/>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3D05F620-046C-442D-8C97-4A9AC823E10F}"/>
                </a:ext>
              </a:extLst>
            </xdr:cNvPr>
            <xdr:cNvSpPr txBox="1">
              <a:spLocks/>
            </xdr:cNvSpPr>
          </xdr:nvSpPr>
          <xdr:spPr>
            <a:xfrm>
              <a:off x="14063" y="14726869"/>
              <a:ext cx="2486193" cy="3656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US" sz="1100" b="0" i="1">
                            <a:solidFill>
                              <a:srgbClr val="000000"/>
                            </a:solidFill>
                            <a:latin typeface="Cambria Math" panose="02040503050406030204" pitchFamily="18" charset="0"/>
                          </a:rPr>
                        </m:ctrlPr>
                      </m:sSubPr>
                      <m:e>
                        <m:r>
                          <a:rPr lang="en-US" sz="1100" b="0" i="1">
                            <a:solidFill>
                              <a:srgbClr val="000000"/>
                            </a:solidFill>
                            <a:latin typeface="Cambria Math" panose="02040503050406030204" pitchFamily="18" charset="0"/>
                          </a:rPr>
                          <m:t>𝐹𝑎𝑛</m:t>
                        </m:r>
                        <m:r>
                          <a:rPr lang="en-US" sz="1100" b="0" i="1">
                            <a:solidFill>
                              <a:srgbClr val="000000"/>
                            </a:solidFill>
                            <a:latin typeface="Cambria Math" panose="02040503050406030204" pitchFamily="18" charset="0"/>
                          </a:rPr>
                          <m:t> </m:t>
                        </m:r>
                        <m:r>
                          <a:rPr lang="en-US" sz="1100" b="0" i="1">
                            <a:solidFill>
                              <a:srgbClr val="000000"/>
                            </a:solidFill>
                            <a:latin typeface="Cambria Math" panose="02040503050406030204" pitchFamily="18" charset="0"/>
                          </a:rPr>
                          <m:t>𝑝𝑜𝑤𝑒𝑟</m:t>
                        </m:r>
                      </m:e>
                      <m:sub>
                        <m:r>
                          <a:rPr lang="en-US" sz="1100" b="0" i="1">
                            <a:solidFill>
                              <a:srgbClr val="000000"/>
                            </a:solidFill>
                            <a:latin typeface="Cambria Math" panose="02040503050406030204" pitchFamily="18" charset="0"/>
                          </a:rPr>
                          <m:t>𝑤</m:t>
                        </m:r>
                        <m:r>
                          <a:rPr lang="en-US" sz="1100" b="0" i="1">
                            <a:solidFill>
                              <a:srgbClr val="000000"/>
                            </a:solidFill>
                            <a:latin typeface="Cambria Math" panose="02040503050406030204" pitchFamily="18" charset="0"/>
                          </a:rPr>
                          <m:t>/</m:t>
                        </m:r>
                        <m:r>
                          <a:rPr lang="en-US" sz="1100" b="0" i="1">
                            <a:solidFill>
                              <a:srgbClr val="000000"/>
                            </a:solidFill>
                            <a:latin typeface="Cambria Math" panose="02040503050406030204" pitchFamily="18" charset="0"/>
                          </a:rPr>
                          <m:t>𝑐𝑓𝑚</m:t>
                        </m:r>
                      </m:sub>
                    </m:sSub>
                    <m:r>
                      <a:rPr lang="en-US" sz="1100" b="0" i="1">
                        <a:solidFill>
                          <a:srgbClr val="000000"/>
                        </a:solidFill>
                        <a:latin typeface="Cambria Math" panose="02040503050406030204" pitchFamily="18" charset="0"/>
                      </a:rPr>
                      <m:t>=</m:t>
                    </m:r>
                    <m:f>
                      <m:fPr>
                        <m:ctrlPr>
                          <a:rPr lang="en-US" sz="1100" b="0" i="1">
                            <a:solidFill>
                              <a:srgbClr val="000000"/>
                            </a:solidFill>
                            <a:latin typeface="Cambria Math" panose="02040503050406030204" pitchFamily="18" charset="0"/>
                          </a:rPr>
                        </m:ctrlPr>
                      </m:fPr>
                      <m:num>
                        <m:sSub>
                          <m:sSubPr>
                            <m:ctrlPr>
                              <a:rPr lang="en-US" sz="1100" b="0" i="1">
                                <a:solidFill>
                                  <a:srgbClr val="000000"/>
                                </a:solidFill>
                                <a:latin typeface="Cambria Math" panose="02040503050406030204" pitchFamily="18" charset="0"/>
                              </a:rPr>
                            </m:ctrlPr>
                          </m:sSubPr>
                          <m:e>
                            <m:r>
                              <a:rPr lang="en-US" sz="1100" b="0" i="1">
                                <a:solidFill>
                                  <a:srgbClr val="000000"/>
                                </a:solidFill>
                                <a:latin typeface="Cambria Math" panose="02040503050406030204" pitchFamily="18" charset="0"/>
                              </a:rPr>
                              <m:t>𝑇𝑆𝑃</m:t>
                            </m:r>
                          </m:e>
                          <m:sub>
                            <m:r>
                              <a:rPr lang="en-US" sz="1100" b="0" i="1">
                                <a:solidFill>
                                  <a:srgbClr val="000000"/>
                                </a:solidFill>
                                <a:latin typeface="Cambria Math" panose="02040503050406030204" pitchFamily="18" charset="0"/>
                              </a:rPr>
                              <m:t>𝑖𝑛</m:t>
                            </m:r>
                            <m:r>
                              <a:rPr lang="en-US" sz="1100" b="0" i="1">
                                <a:solidFill>
                                  <a:srgbClr val="000000"/>
                                </a:solidFill>
                                <a:latin typeface="Cambria Math" panose="02040503050406030204" pitchFamily="18" charset="0"/>
                              </a:rPr>
                              <m:t> </m:t>
                            </m:r>
                            <m:r>
                              <a:rPr lang="en-US" sz="1100" b="0" i="1">
                                <a:solidFill>
                                  <a:srgbClr val="000000"/>
                                </a:solidFill>
                                <a:latin typeface="Cambria Math" panose="02040503050406030204" pitchFamily="18" charset="0"/>
                              </a:rPr>
                              <m:t>𝑤</m:t>
                            </m:r>
                            <m:r>
                              <a:rPr lang="en-US" sz="1100" b="0" i="1">
                                <a:solidFill>
                                  <a:srgbClr val="000000"/>
                                </a:solidFill>
                                <a:latin typeface="Cambria Math" panose="02040503050406030204" pitchFamily="18" charset="0"/>
                              </a:rPr>
                              <m:t>.</m:t>
                            </m:r>
                            <m:r>
                              <a:rPr lang="en-US" sz="1100" b="0" i="1">
                                <a:solidFill>
                                  <a:srgbClr val="000000"/>
                                </a:solidFill>
                                <a:latin typeface="Cambria Math" panose="02040503050406030204" pitchFamily="18" charset="0"/>
                              </a:rPr>
                              <m:t>𝑐</m:t>
                            </m:r>
                          </m:sub>
                        </m:sSub>
                        <m:r>
                          <a:rPr lang="en-US" sz="1100" b="0" i="1">
                            <a:solidFill>
                              <a:srgbClr val="000000"/>
                            </a:solidFill>
                            <a:latin typeface="Cambria Math" panose="02040503050406030204" pitchFamily="18" charset="0"/>
                          </a:rPr>
                          <m:t>∗746</m:t>
                        </m:r>
                      </m:num>
                      <m:den>
                        <m:r>
                          <a:rPr lang="en-US" sz="1100" b="0" i="1">
                            <a:solidFill>
                              <a:srgbClr val="000000"/>
                            </a:solidFill>
                            <a:latin typeface="Cambria Math" panose="02040503050406030204" pitchFamily="18" charset="0"/>
                          </a:rPr>
                          <m:t>6356∗</m:t>
                        </m:r>
                        <m:sSub>
                          <m:sSubPr>
                            <m:ctrlPr>
                              <a:rPr lang="en-US" sz="1100" b="0" i="1">
                                <a:solidFill>
                                  <a:srgbClr val="000000"/>
                                </a:solidFill>
                                <a:latin typeface="Cambria Math" panose="02040503050406030204" pitchFamily="18" charset="0"/>
                                <a:ea typeface="Cambria Math" panose="02040503050406030204" pitchFamily="18" charset="0"/>
                              </a:rPr>
                            </m:ctrlPr>
                          </m:sSubPr>
                          <m:e>
                            <m:r>
                              <a:rPr lang="en-US" sz="1100" b="0" i="1">
                                <a:solidFill>
                                  <a:srgbClr val="000000"/>
                                </a:solidFill>
                                <a:latin typeface="Cambria Math" panose="02040503050406030204" pitchFamily="18" charset="0"/>
                                <a:ea typeface="Cambria Math" panose="02040503050406030204" pitchFamily="18" charset="0"/>
                              </a:rPr>
                              <m:t>𝜇</m:t>
                            </m:r>
                          </m:e>
                          <m:sub>
                            <m:r>
                              <a:rPr lang="en-US" sz="1100" b="0" i="1">
                                <a:solidFill>
                                  <a:srgbClr val="000000"/>
                                </a:solidFill>
                                <a:latin typeface="Cambria Math" panose="02040503050406030204" pitchFamily="18" charset="0"/>
                              </a:rPr>
                              <m:t>𝑓𝑎𝑛</m:t>
                            </m:r>
                          </m:sub>
                        </m:sSub>
                        <m:r>
                          <a:rPr lang="en-US" sz="1100" b="0" i="1">
                            <a:solidFill>
                              <a:srgbClr val="000000"/>
                            </a:solidFill>
                            <a:latin typeface="Cambria Math" panose="02040503050406030204" pitchFamily="18" charset="0"/>
                          </a:rPr>
                          <m:t>∗</m:t>
                        </m:r>
                        <m:sSub>
                          <m:sSubPr>
                            <m:ctrlPr>
                              <a:rPr lang="en-US" sz="1100" b="0" i="1">
                                <a:solidFill>
                                  <a:srgbClr val="000000"/>
                                </a:solidFill>
                                <a:latin typeface="Cambria Math" panose="02040503050406030204" pitchFamily="18" charset="0"/>
                                <a:ea typeface="Cambria Math" panose="02040503050406030204" pitchFamily="18" charset="0"/>
                              </a:rPr>
                            </m:ctrlPr>
                          </m:sSubPr>
                          <m:e>
                            <m:r>
                              <a:rPr lang="en-US" sz="1100" b="0" i="1">
                                <a:solidFill>
                                  <a:srgbClr val="000000"/>
                                </a:solidFill>
                                <a:latin typeface="Cambria Math" panose="02040503050406030204" pitchFamily="18" charset="0"/>
                                <a:ea typeface="Cambria Math" panose="02040503050406030204" pitchFamily="18" charset="0"/>
                              </a:rPr>
                              <m:t>𝜇</m:t>
                            </m:r>
                          </m:e>
                          <m:sub>
                            <m:r>
                              <a:rPr lang="en-US" sz="1100" b="0" i="1">
                                <a:solidFill>
                                  <a:srgbClr val="000000"/>
                                </a:solidFill>
                                <a:latin typeface="Cambria Math" panose="02040503050406030204" pitchFamily="18" charset="0"/>
                              </a:rPr>
                              <m:t>𝑚𝑜𝑡𝑜𝑟</m:t>
                            </m:r>
                          </m:sub>
                        </m:sSub>
                      </m:den>
                    </m:f>
                  </m:oMath>
                </m:oMathPara>
              </a14:m>
              <a:endParaRPr lang="en-US" sz="1100">
                <a:solidFill>
                  <a:srgbClr val="000000"/>
                </a:solidFill>
              </a:endParaRPr>
            </a:p>
          </xdr:txBody>
        </xdr:sp>
      </mc:Choice>
      <mc:Fallback xmlns="">
        <xdr:sp macro="" textlink="">
          <xdr:nvSpPr>
            <xdr:cNvPr id="12" name="TextBox 11">
              <a:extLst>
                <a:ext uri="{FF2B5EF4-FFF2-40B4-BE49-F238E27FC236}">
                  <a16:creationId xmlns:a16="http://schemas.microsoft.com/office/drawing/2014/main" id="{3D05F620-046C-442D-8C97-4A9AC823E10F}"/>
                </a:ext>
              </a:extLst>
            </xdr:cNvPr>
            <xdr:cNvSpPr txBox="1">
              <a:spLocks/>
            </xdr:cNvSpPr>
          </xdr:nvSpPr>
          <xdr:spPr>
            <a:xfrm>
              <a:off x="14063" y="14726869"/>
              <a:ext cx="2486193" cy="3656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rgbClr val="000000"/>
                  </a:solidFill>
                  <a:latin typeface="Cambria Math" panose="02040503050406030204" pitchFamily="18" charset="0"/>
                </a:rPr>
                <a:t>〖𝐹𝑎𝑛 𝑝𝑜𝑤𝑒𝑟〗_(𝑤/𝑐𝑓𝑚)=(〖𝑇𝑆𝑃〗_(𝑖𝑛 𝑤.𝑐)∗746)/(6356∗</a:t>
              </a:r>
              <a:r>
                <a:rPr lang="en-US" sz="1100" b="0" i="0">
                  <a:solidFill>
                    <a:srgbClr val="000000"/>
                  </a:solidFill>
                  <a:latin typeface="Cambria Math" panose="02040503050406030204" pitchFamily="18" charset="0"/>
                  <a:ea typeface="Cambria Math" panose="02040503050406030204" pitchFamily="18" charset="0"/>
                </a:rPr>
                <a:t>𝜇_</a:t>
              </a:r>
              <a:r>
                <a:rPr lang="en-US" sz="1100" b="0" i="0">
                  <a:solidFill>
                    <a:srgbClr val="000000"/>
                  </a:solidFill>
                  <a:latin typeface="Cambria Math" panose="02040503050406030204" pitchFamily="18" charset="0"/>
                </a:rPr>
                <a:t>𝑓𝑎𝑛∗</a:t>
              </a:r>
              <a:r>
                <a:rPr lang="en-US" sz="1100" b="0" i="0">
                  <a:solidFill>
                    <a:srgbClr val="000000"/>
                  </a:solidFill>
                  <a:latin typeface="Cambria Math" panose="02040503050406030204" pitchFamily="18" charset="0"/>
                  <a:ea typeface="Cambria Math" panose="02040503050406030204" pitchFamily="18" charset="0"/>
                </a:rPr>
                <a:t>𝜇_</a:t>
              </a:r>
              <a:r>
                <a:rPr lang="en-US" sz="1100" b="0" i="0">
                  <a:solidFill>
                    <a:srgbClr val="000000"/>
                  </a:solidFill>
                  <a:latin typeface="Cambria Math" panose="02040503050406030204" pitchFamily="18" charset="0"/>
                </a:rPr>
                <a:t>𝑚𝑜𝑡𝑜𝑟 )</a:t>
              </a:r>
              <a:endParaRPr lang="en-US" sz="1100">
                <a:solidFill>
                  <a:srgbClr val="000000"/>
                </a:solidFill>
              </a:endParaRPr>
            </a:p>
          </xdr:txBody>
        </xdr:sp>
      </mc:Fallback>
    </mc:AlternateContent>
    <xdr:clientData/>
  </xdr:oneCellAnchor>
  <xdr:oneCellAnchor>
    <xdr:from>
      <xdr:col>0</xdr:col>
      <xdr:colOff>41518</xdr:colOff>
      <xdr:row>33</xdr:row>
      <xdr:rowOff>20731</xdr:rowOff>
    </xdr:from>
    <xdr:ext cx="1369028" cy="372025"/>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0A19E6F0-EC97-4224-8024-9060C070E35B}"/>
                </a:ext>
              </a:extLst>
            </xdr:cNvPr>
            <xdr:cNvSpPr txBox="1">
              <a:spLocks/>
            </xdr:cNvSpPr>
          </xdr:nvSpPr>
          <xdr:spPr>
            <a:xfrm>
              <a:off x="41518" y="12201525"/>
              <a:ext cx="1369028" cy="372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US" sz="1100" b="0" i="1">
                        <a:solidFill>
                          <a:srgbClr val="000000"/>
                        </a:solidFill>
                        <a:latin typeface="Cambria Math" panose="02040503050406030204" pitchFamily="18" charset="0"/>
                      </a:rPr>
                      <m:t>𝑏ℎ𝑝</m:t>
                    </m:r>
                    <m:r>
                      <a:rPr lang="en-US" sz="1100" b="0" i="1">
                        <a:solidFill>
                          <a:srgbClr val="000000"/>
                        </a:solidFill>
                        <a:latin typeface="Cambria Math" panose="02040503050406030204" pitchFamily="18" charset="0"/>
                      </a:rPr>
                      <m:t>=</m:t>
                    </m:r>
                    <m:f>
                      <m:fPr>
                        <m:ctrlPr>
                          <a:rPr lang="en-US" sz="1100" b="0" i="1">
                            <a:solidFill>
                              <a:srgbClr val="000000"/>
                            </a:solidFill>
                            <a:effectLst/>
                            <a:latin typeface="Cambria Math" panose="02040503050406030204" pitchFamily="18" charset="0"/>
                            <a:ea typeface="+mn-ea"/>
                            <a:cs typeface="+mn-cs"/>
                          </a:rPr>
                        </m:ctrlPr>
                      </m:fPr>
                      <m:num>
                        <m:r>
                          <a:rPr lang="en-US" sz="1100" b="0" i="1">
                            <a:solidFill>
                              <a:srgbClr val="000000"/>
                            </a:solidFill>
                            <a:effectLst/>
                            <a:latin typeface="Cambria Math" panose="02040503050406030204" pitchFamily="18" charset="0"/>
                            <a:ea typeface="+mn-ea"/>
                            <a:cs typeface="+mn-cs"/>
                          </a:rPr>
                          <m:t>𝑐𝑓𝑚</m:t>
                        </m:r>
                        <m:r>
                          <a:rPr lang="en-US" sz="1100" b="0" i="1">
                            <a:solidFill>
                              <a:srgbClr val="000000"/>
                            </a:solidFill>
                            <a:effectLst/>
                            <a:latin typeface="Cambria Math" panose="02040503050406030204" pitchFamily="18" charset="0"/>
                            <a:ea typeface="+mn-ea"/>
                            <a:cs typeface="+mn-cs"/>
                          </a:rPr>
                          <m:t>∗</m:t>
                        </m:r>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𝑇𝑆𝑃</m:t>
                            </m:r>
                          </m:e>
                          <m:sub>
                            <m:r>
                              <a:rPr lang="en-US" sz="1100" b="0" i="1">
                                <a:solidFill>
                                  <a:srgbClr val="000000"/>
                                </a:solidFill>
                                <a:effectLst/>
                                <a:latin typeface="Cambria Math" panose="02040503050406030204" pitchFamily="18" charset="0"/>
                                <a:ea typeface="+mn-ea"/>
                                <a:cs typeface="+mn-cs"/>
                              </a:rPr>
                              <m:t>𝑖𝑛</m:t>
                            </m:r>
                            <m:r>
                              <a:rPr lang="en-US" sz="1100" b="0" i="1">
                                <a:solidFill>
                                  <a:srgbClr val="000000"/>
                                </a:solidFill>
                                <a:effectLst/>
                                <a:latin typeface="Cambria Math" panose="02040503050406030204" pitchFamily="18" charset="0"/>
                                <a:ea typeface="+mn-ea"/>
                                <a:cs typeface="+mn-cs"/>
                              </a:rPr>
                              <m:t> </m:t>
                            </m:r>
                            <m:r>
                              <a:rPr lang="en-US" sz="1100" b="0" i="1">
                                <a:solidFill>
                                  <a:srgbClr val="000000"/>
                                </a:solidFill>
                                <a:effectLst/>
                                <a:latin typeface="Cambria Math" panose="02040503050406030204" pitchFamily="18" charset="0"/>
                                <a:ea typeface="+mn-ea"/>
                                <a:cs typeface="+mn-cs"/>
                              </a:rPr>
                              <m:t>𝑤</m:t>
                            </m:r>
                            <m:r>
                              <a:rPr lang="en-US" sz="1100" b="0" i="1">
                                <a:solidFill>
                                  <a:srgbClr val="000000"/>
                                </a:solidFill>
                                <a:effectLst/>
                                <a:latin typeface="Cambria Math" panose="02040503050406030204" pitchFamily="18" charset="0"/>
                                <a:ea typeface="+mn-ea"/>
                                <a:cs typeface="+mn-cs"/>
                              </a:rPr>
                              <m:t>.</m:t>
                            </m:r>
                            <m:r>
                              <a:rPr lang="en-US" sz="1100" b="0" i="1">
                                <a:solidFill>
                                  <a:srgbClr val="000000"/>
                                </a:solidFill>
                                <a:effectLst/>
                                <a:latin typeface="Cambria Math" panose="02040503050406030204" pitchFamily="18" charset="0"/>
                                <a:ea typeface="+mn-ea"/>
                                <a:cs typeface="+mn-cs"/>
                              </a:rPr>
                              <m:t>𝑐</m:t>
                            </m:r>
                            <m:r>
                              <a:rPr lang="en-US" sz="1100" b="0" i="1">
                                <a:solidFill>
                                  <a:srgbClr val="000000"/>
                                </a:solidFill>
                                <a:effectLst/>
                                <a:latin typeface="Cambria Math" panose="02040503050406030204" pitchFamily="18" charset="0"/>
                                <a:ea typeface="+mn-ea"/>
                                <a:cs typeface="+mn-cs"/>
                              </a:rPr>
                              <m:t>.</m:t>
                            </m:r>
                          </m:sub>
                        </m:sSub>
                      </m:num>
                      <m:den>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6356∗</m:t>
                            </m:r>
                            <m:r>
                              <a:rPr lang="en-US" sz="1100" b="0" i="1">
                                <a:solidFill>
                                  <a:srgbClr val="000000"/>
                                </a:solidFill>
                                <a:effectLst/>
                                <a:latin typeface="Cambria Math" panose="02040503050406030204" pitchFamily="18" charset="0"/>
                                <a:ea typeface="+mn-ea"/>
                                <a:cs typeface="+mn-cs"/>
                              </a:rPr>
                              <m:t>𝜇</m:t>
                            </m:r>
                          </m:e>
                          <m:sub>
                            <m:r>
                              <a:rPr lang="en-US" sz="1100" b="0" i="1">
                                <a:solidFill>
                                  <a:srgbClr val="000000"/>
                                </a:solidFill>
                                <a:effectLst/>
                                <a:latin typeface="Cambria Math" panose="02040503050406030204" pitchFamily="18" charset="0"/>
                                <a:ea typeface="+mn-ea"/>
                                <a:cs typeface="+mn-cs"/>
                              </a:rPr>
                              <m:t>𝑓𝑎𝑛</m:t>
                            </m:r>
                          </m:sub>
                        </m:sSub>
                      </m:den>
                    </m:f>
                  </m:oMath>
                </m:oMathPara>
              </a14:m>
              <a:endParaRPr lang="en-US" sz="1100">
                <a:solidFill>
                  <a:srgbClr val="000000"/>
                </a:solidFill>
              </a:endParaRPr>
            </a:p>
          </xdr:txBody>
        </xdr:sp>
      </mc:Choice>
      <mc:Fallback xmlns="">
        <xdr:sp macro="" textlink="">
          <xdr:nvSpPr>
            <xdr:cNvPr id="13" name="TextBox 12">
              <a:extLst>
                <a:ext uri="{FF2B5EF4-FFF2-40B4-BE49-F238E27FC236}">
                  <a16:creationId xmlns:a16="http://schemas.microsoft.com/office/drawing/2014/main" id="{0A19E6F0-EC97-4224-8024-9060C070E35B}"/>
                </a:ext>
              </a:extLst>
            </xdr:cNvPr>
            <xdr:cNvSpPr txBox="1">
              <a:spLocks/>
            </xdr:cNvSpPr>
          </xdr:nvSpPr>
          <xdr:spPr>
            <a:xfrm>
              <a:off x="41518" y="12201525"/>
              <a:ext cx="1369028" cy="372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rgbClr val="000000"/>
                  </a:solidFill>
                  <a:latin typeface="Cambria Math" panose="02040503050406030204" pitchFamily="18" charset="0"/>
                </a:rPr>
                <a:t>𝑏ℎ𝑝=</a:t>
              </a:r>
              <a:r>
                <a:rPr lang="en-US" sz="1100" b="0" i="0">
                  <a:solidFill>
                    <a:srgbClr val="000000"/>
                  </a:solidFill>
                  <a:effectLst/>
                  <a:latin typeface="Cambria Math" panose="02040503050406030204" pitchFamily="18" charset="0"/>
                  <a:ea typeface="+mn-ea"/>
                  <a:cs typeface="+mn-cs"/>
                </a:rPr>
                <a:t>(𝑐𝑓𝑚∗〖𝑇𝑆𝑃〗_(𝑖𝑛 𝑤.𝑐.))/〖6356∗𝜇〗_𝑓𝑎𝑛 </a:t>
              </a:r>
              <a:endParaRPr lang="en-US" sz="1100">
                <a:solidFill>
                  <a:srgbClr val="000000"/>
                </a:solidFill>
              </a:endParaRPr>
            </a:p>
          </xdr:txBody>
        </xdr:sp>
      </mc:Fallback>
    </mc:AlternateContent>
    <xdr:clientData/>
  </xdr:oneCellAnchor>
  <xdr:oneCellAnchor>
    <xdr:from>
      <xdr:col>0</xdr:col>
      <xdr:colOff>6279</xdr:colOff>
      <xdr:row>36</xdr:row>
      <xdr:rowOff>88809</xdr:rowOff>
    </xdr:from>
    <xdr:ext cx="2027222" cy="351058"/>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16775A84-91B7-40FD-B82B-2C2016B8F40B}"/>
                </a:ext>
              </a:extLst>
            </xdr:cNvPr>
            <xdr:cNvSpPr txBox="1">
              <a:spLocks/>
            </xdr:cNvSpPr>
          </xdr:nvSpPr>
          <xdr:spPr>
            <a:xfrm>
              <a:off x="6279" y="13401397"/>
              <a:ext cx="2027222" cy="351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US" sz="1100" b="0" i="1">
                            <a:solidFill>
                              <a:srgbClr val="000000"/>
                            </a:solidFill>
                            <a:latin typeface="Cambria Math" panose="02040503050406030204" pitchFamily="18" charset="0"/>
                          </a:rPr>
                        </m:ctrlPr>
                      </m:sSubPr>
                      <m:e>
                        <m:r>
                          <a:rPr lang="en-US" sz="1100" b="0" i="1">
                            <a:solidFill>
                              <a:srgbClr val="000000"/>
                            </a:solidFill>
                            <a:latin typeface="Cambria Math" panose="02040503050406030204" pitchFamily="18" charset="0"/>
                          </a:rPr>
                          <m:t>𝐹𝑎𝑛</m:t>
                        </m:r>
                        <m:r>
                          <a:rPr lang="en-US" sz="1100" b="0" i="1">
                            <a:solidFill>
                              <a:srgbClr val="000000"/>
                            </a:solidFill>
                            <a:latin typeface="Cambria Math" panose="02040503050406030204" pitchFamily="18" charset="0"/>
                          </a:rPr>
                          <m:t> </m:t>
                        </m:r>
                        <m:r>
                          <a:rPr lang="en-US" sz="1100" b="0" i="1">
                            <a:solidFill>
                              <a:srgbClr val="000000"/>
                            </a:solidFill>
                            <a:latin typeface="Cambria Math" panose="02040503050406030204" pitchFamily="18" charset="0"/>
                          </a:rPr>
                          <m:t>𝑝𝑜𝑤𝑒𝑟</m:t>
                        </m:r>
                      </m:e>
                      <m:sub>
                        <m:r>
                          <a:rPr lang="en-US" sz="1100" b="0" i="1">
                            <a:solidFill>
                              <a:srgbClr val="000000"/>
                            </a:solidFill>
                            <a:latin typeface="Cambria Math" panose="02040503050406030204" pitchFamily="18" charset="0"/>
                          </a:rPr>
                          <m:t>𝑤</m:t>
                        </m:r>
                        <m:r>
                          <a:rPr lang="en-US" sz="1100" b="0" i="1">
                            <a:solidFill>
                              <a:srgbClr val="000000"/>
                            </a:solidFill>
                            <a:latin typeface="Cambria Math" panose="02040503050406030204" pitchFamily="18" charset="0"/>
                          </a:rPr>
                          <m:t>/</m:t>
                        </m:r>
                        <m:r>
                          <a:rPr lang="en-US" sz="1100" b="0" i="1">
                            <a:solidFill>
                              <a:srgbClr val="000000"/>
                            </a:solidFill>
                            <a:latin typeface="Cambria Math" panose="02040503050406030204" pitchFamily="18" charset="0"/>
                          </a:rPr>
                          <m:t>𝑐𝑓𝑚</m:t>
                        </m:r>
                      </m:sub>
                    </m:sSub>
                    <m:r>
                      <a:rPr lang="en-US" sz="1100" b="0" i="1">
                        <a:solidFill>
                          <a:srgbClr val="000000"/>
                        </a:solidFill>
                        <a:latin typeface="Cambria Math" panose="02040503050406030204" pitchFamily="18" charset="0"/>
                      </a:rPr>
                      <m:t>=</m:t>
                    </m:r>
                    <m:f>
                      <m:fPr>
                        <m:ctrlPr>
                          <a:rPr lang="en-US" sz="1100" b="0" i="1">
                            <a:solidFill>
                              <a:srgbClr val="000000"/>
                            </a:solidFill>
                            <a:latin typeface="Cambria Math" panose="02040503050406030204" pitchFamily="18" charset="0"/>
                          </a:rPr>
                        </m:ctrlPr>
                      </m:fPr>
                      <m:num>
                        <m:r>
                          <a:rPr lang="en-US" sz="1100" b="0" i="1">
                            <a:solidFill>
                              <a:srgbClr val="000000"/>
                            </a:solidFill>
                            <a:latin typeface="Cambria Math" panose="02040503050406030204" pitchFamily="18" charset="0"/>
                          </a:rPr>
                          <m:t>𝑏ℎ𝑝</m:t>
                        </m:r>
                        <m:r>
                          <a:rPr lang="en-US" sz="1100" b="0" i="1">
                            <a:solidFill>
                              <a:srgbClr val="000000"/>
                            </a:solidFill>
                            <a:latin typeface="Cambria Math" panose="02040503050406030204" pitchFamily="18" charset="0"/>
                          </a:rPr>
                          <m:t>∗746</m:t>
                        </m:r>
                      </m:num>
                      <m:den>
                        <m:r>
                          <a:rPr lang="en-US" sz="1100" b="0" i="1">
                            <a:solidFill>
                              <a:srgbClr val="000000"/>
                            </a:solidFill>
                            <a:latin typeface="Cambria Math" panose="02040503050406030204" pitchFamily="18" charset="0"/>
                          </a:rPr>
                          <m:t>𝑐𝑓𝑚</m:t>
                        </m:r>
                        <m:r>
                          <a:rPr lang="en-US" sz="1100" b="0" i="1">
                            <a:solidFill>
                              <a:srgbClr val="000000"/>
                            </a:solidFill>
                            <a:latin typeface="Cambria Math" panose="02040503050406030204" pitchFamily="18" charset="0"/>
                          </a:rPr>
                          <m:t>∗</m:t>
                        </m:r>
                        <m:sSub>
                          <m:sSubPr>
                            <m:ctrlPr>
                              <a:rPr lang="en-US" sz="1100" b="0" i="1">
                                <a:solidFill>
                                  <a:srgbClr val="000000"/>
                                </a:solidFill>
                                <a:latin typeface="Cambria Math" panose="02040503050406030204" pitchFamily="18" charset="0"/>
                                <a:ea typeface="Cambria Math" panose="02040503050406030204" pitchFamily="18" charset="0"/>
                              </a:rPr>
                            </m:ctrlPr>
                          </m:sSubPr>
                          <m:e>
                            <m:r>
                              <a:rPr lang="en-US" sz="1100" b="0" i="1">
                                <a:solidFill>
                                  <a:srgbClr val="000000"/>
                                </a:solidFill>
                                <a:latin typeface="Cambria Math" panose="02040503050406030204" pitchFamily="18" charset="0"/>
                                <a:ea typeface="Cambria Math" panose="02040503050406030204" pitchFamily="18" charset="0"/>
                              </a:rPr>
                              <m:t>𝜇</m:t>
                            </m:r>
                          </m:e>
                          <m:sub>
                            <m:r>
                              <a:rPr lang="en-US" sz="1100" b="0" i="1">
                                <a:solidFill>
                                  <a:srgbClr val="000000"/>
                                </a:solidFill>
                                <a:latin typeface="Cambria Math" panose="02040503050406030204" pitchFamily="18" charset="0"/>
                              </a:rPr>
                              <m:t>𝑚𝑜𝑡𝑜𝑟</m:t>
                            </m:r>
                          </m:sub>
                        </m:sSub>
                      </m:den>
                    </m:f>
                  </m:oMath>
                </m:oMathPara>
              </a14:m>
              <a:endParaRPr lang="en-US" sz="1100">
                <a:solidFill>
                  <a:srgbClr val="000000"/>
                </a:solidFill>
              </a:endParaRPr>
            </a:p>
          </xdr:txBody>
        </xdr:sp>
      </mc:Choice>
      <mc:Fallback xmlns="">
        <xdr:sp macro="" textlink="">
          <xdr:nvSpPr>
            <xdr:cNvPr id="14" name="TextBox 13">
              <a:extLst>
                <a:ext uri="{FF2B5EF4-FFF2-40B4-BE49-F238E27FC236}">
                  <a16:creationId xmlns:a16="http://schemas.microsoft.com/office/drawing/2014/main" id="{16775A84-91B7-40FD-B82B-2C2016B8F40B}"/>
                </a:ext>
              </a:extLst>
            </xdr:cNvPr>
            <xdr:cNvSpPr txBox="1">
              <a:spLocks/>
            </xdr:cNvSpPr>
          </xdr:nvSpPr>
          <xdr:spPr>
            <a:xfrm>
              <a:off x="6279" y="13401397"/>
              <a:ext cx="2027222" cy="351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rgbClr val="000000"/>
                  </a:solidFill>
                  <a:latin typeface="Cambria Math" panose="02040503050406030204" pitchFamily="18" charset="0"/>
                </a:rPr>
                <a:t>〖𝐹𝑎𝑛 𝑝𝑜𝑤𝑒𝑟〗_(𝑤/𝑐𝑓𝑚)=(𝑏ℎ𝑝∗746)/(𝑐𝑓𝑚∗</a:t>
              </a:r>
              <a:r>
                <a:rPr lang="en-US" sz="1100" b="0" i="0">
                  <a:solidFill>
                    <a:srgbClr val="000000"/>
                  </a:solidFill>
                  <a:latin typeface="Cambria Math" panose="02040503050406030204" pitchFamily="18" charset="0"/>
                  <a:ea typeface="Cambria Math" panose="02040503050406030204" pitchFamily="18" charset="0"/>
                </a:rPr>
                <a:t>𝜇_</a:t>
              </a:r>
              <a:r>
                <a:rPr lang="en-US" sz="1100" b="0" i="0">
                  <a:solidFill>
                    <a:srgbClr val="000000"/>
                  </a:solidFill>
                  <a:latin typeface="Cambria Math" panose="02040503050406030204" pitchFamily="18" charset="0"/>
                </a:rPr>
                <a:t>𝑚𝑜𝑡𝑜𝑟 )</a:t>
              </a:r>
              <a:endParaRPr lang="en-US" sz="1100">
                <a:solidFill>
                  <a:srgbClr val="000000"/>
                </a:solidFill>
              </a:endParaRPr>
            </a:p>
          </xdr:txBody>
        </xdr:sp>
      </mc:Fallback>
    </mc:AlternateContent>
    <xdr:clientData/>
  </xdr:oneCellAnchor>
  <xdr:oneCellAnchor>
    <xdr:from>
      <xdr:col>0</xdr:col>
      <xdr:colOff>0</xdr:colOff>
      <xdr:row>40</xdr:row>
      <xdr:rowOff>124399</xdr:rowOff>
    </xdr:from>
    <xdr:ext cx="2360967" cy="328231"/>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4E2C6008-F823-45A1-8967-6501DB7453E2}"/>
                </a:ext>
              </a:extLst>
            </xdr:cNvPr>
            <xdr:cNvSpPr txBox="1">
              <a:spLocks/>
            </xdr:cNvSpPr>
          </xdr:nvSpPr>
          <xdr:spPr>
            <a:xfrm>
              <a:off x="0" y="14109340"/>
              <a:ext cx="2360967" cy="3282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US" sz="1100" b="0" i="1">
                        <a:solidFill>
                          <a:srgbClr val="000000"/>
                        </a:solidFill>
                        <a:latin typeface="Cambria Math" panose="02040503050406030204" pitchFamily="18" charset="0"/>
                      </a:rPr>
                      <m:t>𝑏ℎ𝑝</m:t>
                    </m:r>
                    <m:r>
                      <a:rPr lang="en-US" sz="1100" b="0" i="1">
                        <a:solidFill>
                          <a:srgbClr val="000000"/>
                        </a:solidFill>
                        <a:latin typeface="Cambria Math" panose="02040503050406030204" pitchFamily="18" charset="0"/>
                      </a:rPr>
                      <m:t>=</m:t>
                    </m:r>
                    <m:f>
                      <m:fPr>
                        <m:ctrlPr>
                          <a:rPr lang="en-US" sz="1100" b="0" i="1">
                            <a:solidFill>
                              <a:srgbClr val="000000"/>
                            </a:solidFill>
                            <a:effectLst/>
                            <a:latin typeface="Cambria Math" panose="02040503050406030204" pitchFamily="18" charset="0"/>
                            <a:ea typeface="+mn-ea"/>
                            <a:cs typeface="+mn-cs"/>
                          </a:rPr>
                        </m:ctrlPr>
                      </m:fPr>
                      <m:num>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𝐹𝑎𝑛</m:t>
                            </m:r>
                            <m:r>
                              <a:rPr lang="en-US" sz="1100" b="0" i="1">
                                <a:solidFill>
                                  <a:srgbClr val="000000"/>
                                </a:solidFill>
                                <a:effectLst/>
                                <a:latin typeface="Cambria Math" panose="02040503050406030204" pitchFamily="18" charset="0"/>
                                <a:ea typeface="+mn-ea"/>
                                <a:cs typeface="+mn-cs"/>
                              </a:rPr>
                              <m:t> </m:t>
                            </m:r>
                            <m:r>
                              <a:rPr lang="en-US" sz="1100" b="0" i="1">
                                <a:solidFill>
                                  <a:srgbClr val="000000"/>
                                </a:solidFill>
                                <a:effectLst/>
                                <a:latin typeface="Cambria Math" panose="02040503050406030204" pitchFamily="18" charset="0"/>
                                <a:ea typeface="+mn-ea"/>
                                <a:cs typeface="+mn-cs"/>
                              </a:rPr>
                              <m:t>𝑝𝑜𝑤𝑒𝑟</m:t>
                            </m:r>
                          </m:e>
                          <m:sub>
                            <m:r>
                              <a:rPr lang="en-US" sz="1100" b="0" i="1">
                                <a:solidFill>
                                  <a:srgbClr val="000000"/>
                                </a:solidFill>
                                <a:effectLst/>
                                <a:latin typeface="Cambria Math" panose="02040503050406030204" pitchFamily="18" charset="0"/>
                                <a:ea typeface="+mn-ea"/>
                                <a:cs typeface="+mn-cs"/>
                              </a:rPr>
                              <m:t>𝑤</m:t>
                            </m:r>
                            <m:r>
                              <a:rPr lang="en-US" sz="1100" b="0" i="1">
                                <a:solidFill>
                                  <a:srgbClr val="000000"/>
                                </a:solidFill>
                                <a:effectLst/>
                                <a:latin typeface="Cambria Math" panose="02040503050406030204" pitchFamily="18" charset="0"/>
                                <a:ea typeface="+mn-ea"/>
                                <a:cs typeface="+mn-cs"/>
                              </a:rPr>
                              <m:t>/</m:t>
                            </m:r>
                            <m:r>
                              <a:rPr lang="en-US" sz="1100" b="0" i="1">
                                <a:solidFill>
                                  <a:srgbClr val="000000"/>
                                </a:solidFill>
                                <a:effectLst/>
                                <a:latin typeface="Cambria Math" panose="02040503050406030204" pitchFamily="18" charset="0"/>
                                <a:ea typeface="+mn-ea"/>
                                <a:cs typeface="+mn-cs"/>
                              </a:rPr>
                              <m:t>𝑐𝑓𝑚</m:t>
                            </m:r>
                          </m:sub>
                        </m:sSub>
                        <m:r>
                          <a:rPr lang="en-US" sz="1100" b="0" i="1">
                            <a:solidFill>
                              <a:srgbClr val="000000"/>
                            </a:solidFill>
                            <a:effectLst/>
                            <a:latin typeface="Cambria Math" panose="02040503050406030204" pitchFamily="18" charset="0"/>
                            <a:ea typeface="+mn-ea"/>
                            <a:cs typeface="+mn-cs"/>
                          </a:rPr>
                          <m:t>∗</m:t>
                        </m:r>
                        <m:r>
                          <a:rPr lang="en-US" sz="1100" b="0" i="1">
                            <a:solidFill>
                              <a:srgbClr val="000000"/>
                            </a:solidFill>
                            <a:effectLst/>
                            <a:latin typeface="Cambria Math" panose="02040503050406030204" pitchFamily="18" charset="0"/>
                            <a:ea typeface="+mn-ea"/>
                            <a:cs typeface="+mn-cs"/>
                          </a:rPr>
                          <m:t>𝑐𝑓𝑚</m:t>
                        </m:r>
                        <m:r>
                          <a:rPr lang="en-US" sz="1100" b="0" i="1">
                            <a:solidFill>
                              <a:srgbClr val="000000"/>
                            </a:solidFill>
                            <a:effectLst/>
                            <a:latin typeface="Cambria Math" panose="02040503050406030204" pitchFamily="18" charset="0"/>
                            <a:ea typeface="+mn-ea"/>
                            <a:cs typeface="+mn-cs"/>
                          </a:rPr>
                          <m:t>∗</m:t>
                        </m:r>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𝜇</m:t>
                            </m:r>
                          </m:e>
                          <m:sub>
                            <m:r>
                              <a:rPr lang="en-US" sz="1100" b="0" i="1">
                                <a:solidFill>
                                  <a:srgbClr val="000000"/>
                                </a:solidFill>
                                <a:effectLst/>
                                <a:latin typeface="Cambria Math" panose="02040503050406030204" pitchFamily="18" charset="0"/>
                                <a:ea typeface="+mn-ea"/>
                                <a:cs typeface="+mn-cs"/>
                              </a:rPr>
                              <m:t>𝑚𝑜𝑡𝑜𝑟</m:t>
                            </m:r>
                          </m:sub>
                        </m:sSub>
                      </m:num>
                      <m:den>
                        <m:r>
                          <a:rPr lang="en-US" sz="1100" b="0" i="1">
                            <a:solidFill>
                              <a:srgbClr val="000000"/>
                            </a:solidFill>
                            <a:effectLst/>
                            <a:latin typeface="Cambria Math" panose="02040503050406030204" pitchFamily="18" charset="0"/>
                            <a:ea typeface="+mn-ea"/>
                            <a:cs typeface="+mn-cs"/>
                          </a:rPr>
                          <m:t>746</m:t>
                        </m:r>
                      </m:den>
                    </m:f>
                  </m:oMath>
                </m:oMathPara>
              </a14:m>
              <a:endParaRPr lang="en-US" sz="1100">
                <a:solidFill>
                  <a:srgbClr val="000000"/>
                </a:solidFill>
              </a:endParaRPr>
            </a:p>
          </xdr:txBody>
        </xdr:sp>
      </mc:Choice>
      <mc:Fallback xmlns="">
        <xdr:sp macro="" textlink="">
          <xdr:nvSpPr>
            <xdr:cNvPr id="15" name="TextBox 14">
              <a:extLst>
                <a:ext uri="{FF2B5EF4-FFF2-40B4-BE49-F238E27FC236}">
                  <a16:creationId xmlns:a16="http://schemas.microsoft.com/office/drawing/2014/main" id="{4E2C6008-F823-45A1-8967-6501DB7453E2}"/>
                </a:ext>
              </a:extLst>
            </xdr:cNvPr>
            <xdr:cNvSpPr txBox="1">
              <a:spLocks/>
            </xdr:cNvSpPr>
          </xdr:nvSpPr>
          <xdr:spPr>
            <a:xfrm>
              <a:off x="0" y="14109340"/>
              <a:ext cx="2360967" cy="3282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rgbClr val="000000"/>
                  </a:solidFill>
                  <a:latin typeface="Cambria Math" panose="02040503050406030204" pitchFamily="18" charset="0"/>
                </a:rPr>
                <a:t>𝑏ℎ𝑝=</a:t>
              </a:r>
              <a:r>
                <a:rPr lang="en-US" sz="1100" b="0" i="0">
                  <a:solidFill>
                    <a:srgbClr val="000000"/>
                  </a:solidFill>
                  <a:effectLst/>
                  <a:latin typeface="Cambria Math" panose="02040503050406030204" pitchFamily="18" charset="0"/>
                  <a:ea typeface="+mn-ea"/>
                  <a:cs typeface="+mn-cs"/>
                </a:rPr>
                <a:t>(〖𝐹𝑎𝑛 𝑝𝑜𝑤𝑒𝑟〗_(𝑤/𝑐𝑓𝑚)∗𝑐𝑓𝑚∗𝜇_𝑚𝑜𝑡𝑜𝑟)/746</a:t>
              </a:r>
              <a:endParaRPr lang="en-US" sz="1100">
                <a:solidFill>
                  <a:srgbClr val="000000"/>
                </a:solidFill>
              </a:endParaRPr>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twoCellAnchor>
    <xdr:from>
      <xdr:col>0</xdr:col>
      <xdr:colOff>0</xdr:colOff>
      <xdr:row>33</xdr:row>
      <xdr:rowOff>161012</xdr:rowOff>
    </xdr:from>
    <xdr:to>
      <xdr:col>3</xdr:col>
      <xdr:colOff>1657602</xdr:colOff>
      <xdr:row>64</xdr:row>
      <xdr:rowOff>943</xdr:rowOff>
    </xdr:to>
    <xdr:pic>
      <xdr:nvPicPr>
        <xdr:cNvPr id="3" name="Picture 2">
          <a:extLst>
            <a:ext uri="{FF2B5EF4-FFF2-40B4-BE49-F238E27FC236}">
              <a16:creationId xmlns:a16="http://schemas.microsoft.com/office/drawing/2014/main" id="{402B393C-3A1B-5D8C-FC09-78C8977840C6}"/>
            </a:ext>
          </a:extLst>
        </xdr:cNvPr>
        <xdr:cNvPicPr>
          <a:picLocks noChangeAspect="1"/>
        </xdr:cNvPicPr>
      </xdr:nvPicPr>
      <xdr:blipFill>
        <a:blip xmlns:r="http://schemas.openxmlformats.org/officeDocument/2006/relationships" r:embed="rId1"/>
        <a:stretch>
          <a:fillRect/>
        </a:stretch>
      </xdr:blipFill>
      <xdr:spPr>
        <a:xfrm>
          <a:off x="0" y="6786644"/>
          <a:ext cx="6241199" cy="5023959"/>
        </a:xfrm>
        <a:prstGeom prst="rect">
          <a:avLst/>
        </a:prstGeom>
      </xdr:spPr>
    </xdr:pic>
    <xdr:clientData/>
  </xdr:twoCellAnchor>
  <xdr:twoCellAnchor>
    <xdr:from>
      <xdr:col>4</xdr:col>
      <xdr:colOff>177752</xdr:colOff>
      <xdr:row>35</xdr:row>
      <xdr:rowOff>148443</xdr:rowOff>
    </xdr:from>
    <xdr:to>
      <xdr:col>10</xdr:col>
      <xdr:colOff>238272</xdr:colOff>
      <xdr:row>39</xdr:row>
      <xdr:rowOff>41867</xdr:rowOff>
    </xdr:to>
    <xdr:pic>
      <xdr:nvPicPr>
        <xdr:cNvPr id="4" name="Picture 3">
          <a:extLst>
            <a:ext uri="{FF2B5EF4-FFF2-40B4-BE49-F238E27FC236}">
              <a16:creationId xmlns:a16="http://schemas.microsoft.com/office/drawing/2014/main" id="{FB71FE12-8A5C-D369-F585-13A86E275496}"/>
            </a:ext>
          </a:extLst>
        </xdr:cNvPr>
        <xdr:cNvPicPr>
          <a:picLocks noChangeAspect="1"/>
        </xdr:cNvPicPr>
      </xdr:nvPicPr>
      <xdr:blipFill>
        <a:blip xmlns:r="http://schemas.openxmlformats.org/officeDocument/2006/relationships" r:embed="rId2"/>
        <a:stretch>
          <a:fillRect/>
        </a:stretch>
      </xdr:blipFill>
      <xdr:spPr>
        <a:xfrm>
          <a:off x="6803384" y="7674240"/>
          <a:ext cx="8399982" cy="563315"/>
        </a:xfrm>
        <a:prstGeom prst="rect">
          <a:avLst/>
        </a:prstGeom>
      </xdr:spPr>
    </xdr:pic>
    <xdr:clientData/>
  </xdr:twoCellAnchor>
  <xdr:twoCellAnchor editAs="oneCell">
    <xdr:from>
      <xdr:col>0</xdr:col>
      <xdr:colOff>0</xdr:colOff>
      <xdr:row>91</xdr:row>
      <xdr:rowOff>0</xdr:rowOff>
    </xdr:from>
    <xdr:to>
      <xdr:col>0</xdr:col>
      <xdr:colOff>304800</xdr:colOff>
      <xdr:row>197</xdr:row>
      <xdr:rowOff>140970</xdr:rowOff>
    </xdr:to>
    <xdr:sp macro="" textlink="">
      <xdr:nvSpPr>
        <xdr:cNvPr id="7169" name="AutoShape 1" descr="Hot Sale Industrial Fast Food Kitchen Equipment KFC Full Set - Electric Gas">
          <a:extLst>
            <a:ext uri="{FF2B5EF4-FFF2-40B4-BE49-F238E27FC236}">
              <a16:creationId xmlns:a16="http://schemas.microsoft.com/office/drawing/2014/main" id="{A5204988-3122-52CE-2FE9-E3CDD8AF4C9A}"/>
            </a:ext>
          </a:extLst>
        </xdr:cNvPr>
        <xdr:cNvSpPr>
          <a:spLocks noChangeAspect="1" noChangeArrowheads="1"/>
        </xdr:cNvSpPr>
      </xdr:nvSpPr>
      <xdr:spPr bwMode="auto">
        <a:xfrm>
          <a:off x="0" y="144856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86</xdr:row>
      <xdr:rowOff>0</xdr:rowOff>
    </xdr:from>
    <xdr:to>
      <xdr:col>0</xdr:col>
      <xdr:colOff>304800</xdr:colOff>
      <xdr:row>197</xdr:row>
      <xdr:rowOff>140970</xdr:rowOff>
    </xdr:to>
    <xdr:sp macro="" textlink="">
      <xdr:nvSpPr>
        <xdr:cNvPr id="7170" name="AutoShape 2" descr="Hot Sale Industrial Fast Food Kitchen Equipment KFC Full Set - Electric Gas">
          <a:extLst>
            <a:ext uri="{FF2B5EF4-FFF2-40B4-BE49-F238E27FC236}">
              <a16:creationId xmlns:a16="http://schemas.microsoft.com/office/drawing/2014/main" id="{7E0E2C31-A1A0-CC43-0907-5629DAD17BE6}"/>
            </a:ext>
          </a:extLst>
        </xdr:cNvPr>
        <xdr:cNvSpPr>
          <a:spLocks noChangeAspect="1" noChangeArrowheads="1"/>
        </xdr:cNvSpPr>
      </xdr:nvSpPr>
      <xdr:spPr bwMode="auto">
        <a:xfrm>
          <a:off x="0" y="136093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762000</xdr:colOff>
      <xdr:row>84</xdr:row>
      <xdr:rowOff>16747</xdr:rowOff>
    </xdr:from>
    <xdr:to>
      <xdr:col>3</xdr:col>
      <xdr:colOff>510792</xdr:colOff>
      <xdr:row>109</xdr:row>
      <xdr:rowOff>3690</xdr:rowOff>
    </xdr:to>
    <xdr:pic>
      <xdr:nvPicPr>
        <xdr:cNvPr id="5" name="Picture 4">
          <a:extLst>
            <a:ext uri="{FF2B5EF4-FFF2-40B4-BE49-F238E27FC236}">
              <a16:creationId xmlns:a16="http://schemas.microsoft.com/office/drawing/2014/main" id="{3C991FC7-32AA-88E4-995B-AA61CBFD8FE6}"/>
            </a:ext>
          </a:extLst>
        </xdr:cNvPr>
        <xdr:cNvPicPr>
          <a:picLocks noChangeAspect="1"/>
        </xdr:cNvPicPr>
      </xdr:nvPicPr>
      <xdr:blipFill>
        <a:blip xmlns:r="http://schemas.openxmlformats.org/officeDocument/2006/relationships" r:embed="rId3"/>
        <a:stretch>
          <a:fillRect/>
        </a:stretch>
      </xdr:blipFill>
      <xdr:spPr>
        <a:xfrm>
          <a:off x="762000" y="13314066"/>
          <a:ext cx="4353533" cy="4391638"/>
        </a:xfrm>
        <a:prstGeom prst="rect">
          <a:avLst/>
        </a:prstGeom>
      </xdr:spPr>
    </xdr:pic>
    <xdr:clientData/>
  </xdr:twoCellAnchor>
  <xdr:twoCellAnchor>
    <xdr:from>
      <xdr:col>3</xdr:col>
      <xdr:colOff>1122066</xdr:colOff>
      <xdr:row>83</xdr:row>
      <xdr:rowOff>117231</xdr:rowOff>
    </xdr:from>
    <xdr:to>
      <xdr:col>7</xdr:col>
      <xdr:colOff>174194</xdr:colOff>
      <xdr:row>108</xdr:row>
      <xdr:rowOff>94064</xdr:rowOff>
    </xdr:to>
    <xdr:pic>
      <xdr:nvPicPr>
        <xdr:cNvPr id="6" name="Picture 5">
          <a:extLst>
            <a:ext uri="{FF2B5EF4-FFF2-40B4-BE49-F238E27FC236}">
              <a16:creationId xmlns:a16="http://schemas.microsoft.com/office/drawing/2014/main" id="{9F41CFD8-F82E-D8AE-122B-00E382AAB2D9}"/>
            </a:ext>
          </a:extLst>
        </xdr:cNvPr>
        <xdr:cNvPicPr>
          <a:picLocks noChangeAspect="1"/>
        </xdr:cNvPicPr>
      </xdr:nvPicPr>
      <xdr:blipFill>
        <a:blip xmlns:r="http://schemas.openxmlformats.org/officeDocument/2006/relationships" r:embed="rId4"/>
        <a:stretch>
          <a:fillRect/>
        </a:stretch>
      </xdr:blipFill>
      <xdr:spPr>
        <a:xfrm>
          <a:off x="5719187" y="13238704"/>
          <a:ext cx="6611273" cy="4401164"/>
        </a:xfrm>
        <a:prstGeom prst="rect">
          <a:avLst/>
        </a:prstGeom>
      </xdr:spPr>
    </xdr:pic>
    <xdr:clientData/>
  </xdr:twoCellAnchor>
  <xdr:twoCellAnchor>
    <xdr:from>
      <xdr:col>7</xdr:col>
      <xdr:colOff>990601</xdr:colOff>
      <xdr:row>83</xdr:row>
      <xdr:rowOff>97971</xdr:rowOff>
    </xdr:from>
    <xdr:to>
      <xdr:col>10</xdr:col>
      <xdr:colOff>1350317</xdr:colOff>
      <xdr:row>108</xdr:row>
      <xdr:rowOff>113552</xdr:rowOff>
    </xdr:to>
    <xdr:pic>
      <xdr:nvPicPr>
        <xdr:cNvPr id="7" name="Picture 6">
          <a:extLst>
            <a:ext uri="{FF2B5EF4-FFF2-40B4-BE49-F238E27FC236}">
              <a16:creationId xmlns:a16="http://schemas.microsoft.com/office/drawing/2014/main" id="{0EE31AAC-F3DE-5826-7FD5-59F97A06E788}"/>
            </a:ext>
          </a:extLst>
        </xdr:cNvPr>
        <xdr:cNvPicPr>
          <a:picLocks noChangeAspect="1"/>
        </xdr:cNvPicPr>
      </xdr:nvPicPr>
      <xdr:blipFill>
        <a:blip xmlns:r="http://schemas.openxmlformats.org/officeDocument/2006/relationships" r:embed="rId5"/>
        <a:stretch>
          <a:fillRect/>
        </a:stretch>
      </xdr:blipFill>
      <xdr:spPr>
        <a:xfrm>
          <a:off x="12714515" y="13139057"/>
          <a:ext cx="3496163" cy="4391638"/>
        </a:xfrm>
        <a:prstGeom prst="rect">
          <a:avLst/>
        </a:prstGeom>
      </xdr:spPr>
    </xdr:pic>
    <xdr:clientData/>
  </xdr:twoCellAnchor>
  <xdr:twoCellAnchor>
    <xdr:from>
      <xdr:col>11</xdr:col>
      <xdr:colOff>0</xdr:colOff>
      <xdr:row>83</xdr:row>
      <xdr:rowOff>0</xdr:rowOff>
    </xdr:from>
    <xdr:to>
      <xdr:col>18</xdr:col>
      <xdr:colOff>286662</xdr:colOff>
      <xdr:row>108</xdr:row>
      <xdr:rowOff>15581</xdr:rowOff>
    </xdr:to>
    <xdr:pic>
      <xdr:nvPicPr>
        <xdr:cNvPr id="8" name="Picture 7">
          <a:extLst>
            <a:ext uri="{FF2B5EF4-FFF2-40B4-BE49-F238E27FC236}">
              <a16:creationId xmlns:a16="http://schemas.microsoft.com/office/drawing/2014/main" id="{52C5AEE0-21A6-578C-2AD9-5BD0DC151AA0}"/>
            </a:ext>
          </a:extLst>
        </xdr:cNvPr>
        <xdr:cNvPicPr>
          <a:picLocks noChangeAspect="1"/>
        </xdr:cNvPicPr>
      </xdr:nvPicPr>
      <xdr:blipFill>
        <a:blip xmlns:r="http://schemas.openxmlformats.org/officeDocument/2006/relationships" r:embed="rId6"/>
        <a:stretch>
          <a:fillRect/>
        </a:stretch>
      </xdr:blipFill>
      <xdr:spPr>
        <a:xfrm>
          <a:off x="17112343" y="13041086"/>
          <a:ext cx="6535062" cy="4391638"/>
        </a:xfrm>
        <a:prstGeom prst="rect">
          <a:avLst/>
        </a:prstGeom>
      </xdr:spPr>
    </xdr:pic>
    <xdr:clientData/>
  </xdr:twoCellAnchor>
  <xdr:twoCellAnchor>
    <xdr:from>
      <xdr:col>0</xdr:col>
      <xdr:colOff>163285</xdr:colOff>
      <xdr:row>110</xdr:row>
      <xdr:rowOff>21771</xdr:rowOff>
    </xdr:from>
    <xdr:to>
      <xdr:col>3</xdr:col>
      <xdr:colOff>403174</xdr:colOff>
      <xdr:row>135</xdr:row>
      <xdr:rowOff>78177</xdr:rowOff>
    </xdr:to>
    <xdr:pic>
      <xdr:nvPicPr>
        <xdr:cNvPr id="9" name="Picture 8">
          <a:extLst>
            <a:ext uri="{FF2B5EF4-FFF2-40B4-BE49-F238E27FC236}">
              <a16:creationId xmlns:a16="http://schemas.microsoft.com/office/drawing/2014/main" id="{6CED3374-26CF-FB5E-1EA7-17938DFC1DC4}"/>
            </a:ext>
          </a:extLst>
        </xdr:cNvPr>
        <xdr:cNvPicPr>
          <a:picLocks noChangeAspect="1"/>
        </xdr:cNvPicPr>
      </xdr:nvPicPr>
      <xdr:blipFill>
        <a:blip xmlns:r="http://schemas.openxmlformats.org/officeDocument/2006/relationships" r:embed="rId7"/>
        <a:stretch>
          <a:fillRect/>
        </a:stretch>
      </xdr:blipFill>
      <xdr:spPr>
        <a:xfrm>
          <a:off x="163285" y="17787257"/>
          <a:ext cx="4839375" cy="4410691"/>
        </a:xfrm>
        <a:prstGeom prst="rect">
          <a:avLst/>
        </a:prstGeom>
      </xdr:spPr>
    </xdr:pic>
    <xdr:clientData/>
  </xdr:twoCellAnchor>
  <xdr:twoCellAnchor>
    <xdr:from>
      <xdr:col>3</xdr:col>
      <xdr:colOff>1001486</xdr:colOff>
      <xdr:row>110</xdr:row>
      <xdr:rowOff>119743</xdr:rowOff>
    </xdr:from>
    <xdr:to>
      <xdr:col>8</xdr:col>
      <xdr:colOff>722340</xdr:colOff>
      <xdr:row>136</xdr:row>
      <xdr:rowOff>21029</xdr:rowOff>
    </xdr:to>
    <xdr:pic>
      <xdr:nvPicPr>
        <xdr:cNvPr id="10" name="Picture 9">
          <a:extLst>
            <a:ext uri="{FF2B5EF4-FFF2-40B4-BE49-F238E27FC236}">
              <a16:creationId xmlns:a16="http://schemas.microsoft.com/office/drawing/2014/main" id="{7784F749-B0AB-D53A-8EE6-2B7C0879B581}"/>
            </a:ext>
          </a:extLst>
        </xdr:cNvPr>
        <xdr:cNvPicPr>
          <a:picLocks noChangeAspect="1"/>
        </xdr:cNvPicPr>
      </xdr:nvPicPr>
      <xdr:blipFill>
        <a:blip xmlns:r="http://schemas.openxmlformats.org/officeDocument/2006/relationships" r:embed="rId8"/>
        <a:stretch>
          <a:fillRect/>
        </a:stretch>
      </xdr:blipFill>
      <xdr:spPr>
        <a:xfrm>
          <a:off x="5595257" y="17885229"/>
          <a:ext cx="8326012" cy="4429743"/>
        </a:xfrm>
        <a:prstGeom prst="rect">
          <a:avLst/>
        </a:prstGeom>
      </xdr:spPr>
    </xdr:pic>
    <xdr:clientData/>
  </xdr:twoCellAnchor>
  <xdr:twoCellAnchor>
    <xdr:from>
      <xdr:col>9</xdr:col>
      <xdr:colOff>283029</xdr:colOff>
      <xdr:row>110</xdr:row>
      <xdr:rowOff>163285</xdr:rowOff>
    </xdr:from>
    <xdr:to>
      <xdr:col>15</xdr:col>
      <xdr:colOff>390638</xdr:colOff>
      <xdr:row>136</xdr:row>
      <xdr:rowOff>35992</xdr:rowOff>
    </xdr:to>
    <xdr:pic>
      <xdr:nvPicPr>
        <xdr:cNvPr id="11" name="Picture 10">
          <a:extLst>
            <a:ext uri="{FF2B5EF4-FFF2-40B4-BE49-F238E27FC236}">
              <a16:creationId xmlns:a16="http://schemas.microsoft.com/office/drawing/2014/main" id="{827C7C48-F9BF-3D2F-5BA1-1C45F41A3084}"/>
            </a:ext>
          </a:extLst>
        </xdr:cNvPr>
        <xdr:cNvPicPr>
          <a:picLocks noChangeAspect="1"/>
        </xdr:cNvPicPr>
      </xdr:nvPicPr>
      <xdr:blipFill>
        <a:blip xmlns:r="http://schemas.openxmlformats.org/officeDocument/2006/relationships" r:embed="rId9"/>
        <a:stretch>
          <a:fillRect/>
        </a:stretch>
      </xdr:blipFill>
      <xdr:spPr>
        <a:xfrm>
          <a:off x="14216743" y="17928771"/>
          <a:ext cx="6658904" cy="4401164"/>
        </a:xfrm>
        <a:prstGeom prst="rect">
          <a:avLst/>
        </a:prstGeom>
      </xdr:spPr>
    </xdr:pic>
    <xdr:clientData/>
  </xdr:twoCellAnchor>
  <xdr:twoCellAnchor>
    <xdr:from>
      <xdr:col>0</xdr:col>
      <xdr:colOff>0</xdr:colOff>
      <xdr:row>137</xdr:row>
      <xdr:rowOff>0</xdr:rowOff>
    </xdr:from>
    <xdr:to>
      <xdr:col>2</xdr:col>
      <xdr:colOff>1162670</xdr:colOff>
      <xdr:row>162</xdr:row>
      <xdr:rowOff>134519</xdr:rowOff>
    </xdr:to>
    <xdr:pic>
      <xdr:nvPicPr>
        <xdr:cNvPr id="12" name="Picture 11">
          <a:extLst>
            <a:ext uri="{FF2B5EF4-FFF2-40B4-BE49-F238E27FC236}">
              <a16:creationId xmlns:a16="http://schemas.microsoft.com/office/drawing/2014/main" id="{2A84E5BE-5F6E-9E83-3F92-60ACF47911D4}"/>
            </a:ext>
          </a:extLst>
        </xdr:cNvPr>
        <xdr:cNvPicPr>
          <a:picLocks noChangeAspect="1"/>
        </xdr:cNvPicPr>
      </xdr:nvPicPr>
      <xdr:blipFill>
        <a:blip xmlns:r="http://schemas.openxmlformats.org/officeDocument/2006/relationships" r:embed="rId10"/>
        <a:stretch>
          <a:fillRect/>
        </a:stretch>
      </xdr:blipFill>
      <xdr:spPr>
        <a:xfrm>
          <a:off x="0" y="22468114"/>
          <a:ext cx="4439270" cy="4477375"/>
        </a:xfrm>
        <a:prstGeom prst="rect">
          <a:avLst/>
        </a:prstGeom>
      </xdr:spPr>
    </xdr:pic>
    <xdr:clientData/>
  </xdr:twoCellAnchor>
  <xdr:twoCellAnchor>
    <xdr:from>
      <xdr:col>3</xdr:col>
      <xdr:colOff>0</xdr:colOff>
      <xdr:row>138</xdr:row>
      <xdr:rowOff>0</xdr:rowOff>
    </xdr:from>
    <xdr:to>
      <xdr:col>6</xdr:col>
      <xdr:colOff>441562</xdr:colOff>
      <xdr:row>161</xdr:row>
      <xdr:rowOff>132297</xdr:rowOff>
    </xdr:to>
    <xdr:pic>
      <xdr:nvPicPr>
        <xdr:cNvPr id="13" name="Picture 12">
          <a:extLst>
            <a:ext uri="{FF2B5EF4-FFF2-40B4-BE49-F238E27FC236}">
              <a16:creationId xmlns:a16="http://schemas.microsoft.com/office/drawing/2014/main" id="{8AB135C1-6BC0-A5B6-066D-54087564B9DD}"/>
            </a:ext>
          </a:extLst>
        </xdr:cNvPr>
        <xdr:cNvPicPr>
          <a:picLocks noChangeAspect="1"/>
        </xdr:cNvPicPr>
      </xdr:nvPicPr>
      <xdr:blipFill>
        <a:blip xmlns:r="http://schemas.openxmlformats.org/officeDocument/2006/relationships" r:embed="rId11"/>
        <a:stretch>
          <a:fillRect/>
        </a:stretch>
      </xdr:blipFill>
      <xdr:spPr>
        <a:xfrm>
          <a:off x="4593771" y="22642286"/>
          <a:ext cx="6897063" cy="4153480"/>
        </a:xfrm>
        <a:prstGeom prst="rect">
          <a:avLst/>
        </a:prstGeom>
      </xdr:spPr>
    </xdr:pic>
    <xdr:clientData/>
  </xdr:twoCellAnchor>
  <xdr:twoCellAnchor>
    <xdr:from>
      <xdr:col>7</xdr:col>
      <xdr:colOff>0</xdr:colOff>
      <xdr:row>138</xdr:row>
      <xdr:rowOff>0</xdr:rowOff>
    </xdr:from>
    <xdr:to>
      <xdr:col>10</xdr:col>
      <xdr:colOff>1807718</xdr:colOff>
      <xdr:row>159</xdr:row>
      <xdr:rowOff>38616</xdr:rowOff>
    </xdr:to>
    <xdr:pic>
      <xdr:nvPicPr>
        <xdr:cNvPr id="14" name="Picture 13">
          <a:extLst>
            <a:ext uri="{FF2B5EF4-FFF2-40B4-BE49-F238E27FC236}">
              <a16:creationId xmlns:a16="http://schemas.microsoft.com/office/drawing/2014/main" id="{75A58042-F39F-A883-F914-2D017779649E}"/>
            </a:ext>
          </a:extLst>
        </xdr:cNvPr>
        <xdr:cNvPicPr>
          <a:picLocks noChangeAspect="1"/>
        </xdr:cNvPicPr>
      </xdr:nvPicPr>
      <xdr:blipFill>
        <a:blip xmlns:r="http://schemas.openxmlformats.org/officeDocument/2006/relationships" r:embed="rId12"/>
        <a:stretch>
          <a:fillRect/>
        </a:stretch>
      </xdr:blipFill>
      <xdr:spPr>
        <a:xfrm>
          <a:off x="11723914" y="22642286"/>
          <a:ext cx="4944165" cy="3696216"/>
        </a:xfrm>
        <a:prstGeom prst="rect">
          <a:avLst/>
        </a:prstGeom>
      </xdr:spPr>
    </xdr:pic>
    <xdr:clientData/>
  </xdr:twoCellAnchor>
  <xdr:twoCellAnchor>
    <xdr:from>
      <xdr:col>0</xdr:col>
      <xdr:colOff>0</xdr:colOff>
      <xdr:row>163</xdr:row>
      <xdr:rowOff>0</xdr:rowOff>
    </xdr:from>
    <xdr:to>
      <xdr:col>4</xdr:col>
      <xdr:colOff>676796</xdr:colOff>
      <xdr:row>192</xdr:row>
      <xdr:rowOff>93245</xdr:rowOff>
    </xdr:to>
    <xdr:pic>
      <xdr:nvPicPr>
        <xdr:cNvPr id="15" name="Picture 14">
          <a:extLst>
            <a:ext uri="{FF2B5EF4-FFF2-40B4-BE49-F238E27FC236}">
              <a16:creationId xmlns:a16="http://schemas.microsoft.com/office/drawing/2014/main" id="{A0D7244E-6335-65C9-EB61-24E94D2F35DD}"/>
            </a:ext>
          </a:extLst>
        </xdr:cNvPr>
        <xdr:cNvPicPr>
          <a:picLocks noChangeAspect="1"/>
        </xdr:cNvPicPr>
      </xdr:nvPicPr>
      <xdr:blipFill>
        <a:blip xmlns:r="http://schemas.openxmlformats.org/officeDocument/2006/relationships" r:embed="rId13"/>
        <a:stretch>
          <a:fillRect/>
        </a:stretch>
      </xdr:blipFill>
      <xdr:spPr>
        <a:xfrm>
          <a:off x="0" y="26996571"/>
          <a:ext cx="7630590" cy="5134692"/>
        </a:xfrm>
        <a:prstGeom prst="rect">
          <a:avLst/>
        </a:prstGeom>
      </xdr:spPr>
    </xdr:pic>
    <xdr:clientData/>
  </xdr:twoCellAnchor>
  <xdr:twoCellAnchor>
    <xdr:from>
      <xdr:col>4</xdr:col>
      <xdr:colOff>1273629</xdr:colOff>
      <xdr:row>163</xdr:row>
      <xdr:rowOff>32657</xdr:rowOff>
    </xdr:from>
    <xdr:to>
      <xdr:col>9</xdr:col>
      <xdr:colOff>463020</xdr:colOff>
      <xdr:row>189</xdr:row>
      <xdr:rowOff>92078</xdr:rowOff>
    </xdr:to>
    <xdr:pic>
      <xdr:nvPicPr>
        <xdr:cNvPr id="16" name="Picture 15">
          <a:extLst>
            <a:ext uri="{FF2B5EF4-FFF2-40B4-BE49-F238E27FC236}">
              <a16:creationId xmlns:a16="http://schemas.microsoft.com/office/drawing/2014/main" id="{8339D7E3-C80D-5B06-5CE7-796996BCE543}"/>
            </a:ext>
          </a:extLst>
        </xdr:cNvPr>
        <xdr:cNvPicPr>
          <a:picLocks noChangeAspect="1"/>
        </xdr:cNvPicPr>
      </xdr:nvPicPr>
      <xdr:blipFill>
        <a:blip xmlns:r="http://schemas.openxmlformats.org/officeDocument/2006/relationships" r:embed="rId14"/>
        <a:stretch>
          <a:fillRect/>
        </a:stretch>
      </xdr:blipFill>
      <xdr:spPr>
        <a:xfrm>
          <a:off x="7892143" y="27029228"/>
          <a:ext cx="6601746" cy="4582164"/>
        </a:xfrm>
        <a:prstGeom prst="rect">
          <a:avLst/>
        </a:prstGeom>
      </xdr:spPr>
    </xdr:pic>
    <xdr:clientData/>
  </xdr:twoCellAnchor>
  <xdr:twoCellAnchor>
    <xdr:from>
      <xdr:col>10</xdr:col>
      <xdr:colOff>0</xdr:colOff>
      <xdr:row>164</xdr:row>
      <xdr:rowOff>0</xdr:rowOff>
    </xdr:from>
    <xdr:to>
      <xdr:col>15</xdr:col>
      <xdr:colOff>698931</xdr:colOff>
      <xdr:row>191</xdr:row>
      <xdr:rowOff>60538</xdr:rowOff>
    </xdr:to>
    <xdr:pic>
      <xdr:nvPicPr>
        <xdr:cNvPr id="17" name="Picture 16">
          <a:extLst>
            <a:ext uri="{FF2B5EF4-FFF2-40B4-BE49-F238E27FC236}">
              <a16:creationId xmlns:a16="http://schemas.microsoft.com/office/drawing/2014/main" id="{C2A6AAFC-DADF-5762-F996-C2EAD9169CB7}"/>
            </a:ext>
          </a:extLst>
        </xdr:cNvPr>
        <xdr:cNvPicPr>
          <a:picLocks noChangeAspect="1"/>
        </xdr:cNvPicPr>
      </xdr:nvPicPr>
      <xdr:blipFill>
        <a:blip xmlns:r="http://schemas.openxmlformats.org/officeDocument/2006/relationships" r:embed="rId15"/>
        <a:stretch>
          <a:fillRect/>
        </a:stretch>
      </xdr:blipFill>
      <xdr:spPr>
        <a:xfrm>
          <a:off x="14869886" y="27170743"/>
          <a:ext cx="6335009" cy="4772691"/>
        </a:xfrm>
        <a:prstGeom prst="rect">
          <a:avLst/>
        </a:prstGeom>
      </xdr:spPr>
    </xdr:pic>
    <xdr:clientData/>
  </xdr:twoCellAnchor>
  <xdr:twoCellAnchor>
    <xdr:from>
      <xdr:col>11</xdr:col>
      <xdr:colOff>0</xdr:colOff>
      <xdr:row>138</xdr:row>
      <xdr:rowOff>0</xdr:rowOff>
    </xdr:from>
    <xdr:to>
      <xdr:col>18</xdr:col>
      <xdr:colOff>58030</xdr:colOff>
      <xdr:row>161</xdr:row>
      <xdr:rowOff>136104</xdr:rowOff>
    </xdr:to>
    <xdr:pic>
      <xdr:nvPicPr>
        <xdr:cNvPr id="18" name="Picture 17">
          <a:extLst>
            <a:ext uri="{FF2B5EF4-FFF2-40B4-BE49-F238E27FC236}">
              <a16:creationId xmlns:a16="http://schemas.microsoft.com/office/drawing/2014/main" id="{3AA73F08-1E2D-52C0-18B4-AE2DC986F8C5}"/>
            </a:ext>
          </a:extLst>
        </xdr:cNvPr>
        <xdr:cNvPicPr>
          <a:picLocks noChangeAspect="1"/>
        </xdr:cNvPicPr>
      </xdr:nvPicPr>
      <xdr:blipFill>
        <a:blip xmlns:r="http://schemas.openxmlformats.org/officeDocument/2006/relationships" r:embed="rId16"/>
        <a:stretch>
          <a:fillRect/>
        </a:stretch>
      </xdr:blipFill>
      <xdr:spPr>
        <a:xfrm>
          <a:off x="17112343" y="22642286"/>
          <a:ext cx="6306430" cy="4134427"/>
        </a:xfrm>
        <a:prstGeom prst="rect">
          <a:avLst/>
        </a:prstGeom>
      </xdr:spPr>
    </xdr:pic>
    <xdr:clientData/>
  </xdr:twoCellAnchor>
  <xdr:twoCellAnchor>
    <xdr:from>
      <xdr:col>15</xdr:col>
      <xdr:colOff>533399</xdr:colOff>
      <xdr:row>110</xdr:row>
      <xdr:rowOff>133350</xdr:rowOff>
    </xdr:from>
    <xdr:to>
      <xdr:col>23</xdr:col>
      <xdr:colOff>188782</xdr:colOff>
      <xdr:row>135</xdr:row>
      <xdr:rowOff>692</xdr:rowOff>
    </xdr:to>
    <xdr:pic>
      <xdr:nvPicPr>
        <xdr:cNvPr id="19" name="Picture 18">
          <a:extLst>
            <a:ext uri="{FF2B5EF4-FFF2-40B4-BE49-F238E27FC236}">
              <a16:creationId xmlns:a16="http://schemas.microsoft.com/office/drawing/2014/main" id="{01A9B2B6-E752-9922-BFA9-1BE401F2B310}"/>
            </a:ext>
          </a:extLst>
        </xdr:cNvPr>
        <xdr:cNvPicPr>
          <a:picLocks noChangeAspect="1"/>
        </xdr:cNvPicPr>
      </xdr:nvPicPr>
      <xdr:blipFill>
        <a:blip xmlns:r="http://schemas.openxmlformats.org/officeDocument/2006/relationships" r:embed="rId17"/>
        <a:stretch>
          <a:fillRect/>
        </a:stretch>
      </xdr:blipFill>
      <xdr:spPr>
        <a:xfrm>
          <a:off x="21145499" y="17678400"/>
          <a:ext cx="6037133" cy="4144067"/>
        </a:xfrm>
        <a:prstGeom prst="rect">
          <a:avLst/>
        </a:prstGeom>
      </xdr:spPr>
    </xdr:pic>
    <xdr:clientData/>
  </xdr:twoCellAnchor>
  <xdr:twoCellAnchor>
    <xdr:from>
      <xdr:col>0</xdr:col>
      <xdr:colOff>1783080</xdr:colOff>
      <xdr:row>68</xdr:row>
      <xdr:rowOff>20955</xdr:rowOff>
    </xdr:from>
    <xdr:to>
      <xdr:col>4</xdr:col>
      <xdr:colOff>373447</xdr:colOff>
      <xdr:row>81</xdr:row>
      <xdr:rowOff>130327</xdr:rowOff>
    </xdr:to>
    <xdr:pic>
      <xdr:nvPicPr>
        <xdr:cNvPr id="2" name="Picture 1">
          <a:extLst>
            <a:ext uri="{FF2B5EF4-FFF2-40B4-BE49-F238E27FC236}">
              <a16:creationId xmlns:a16="http://schemas.microsoft.com/office/drawing/2014/main" id="{859DD1BF-E61F-2BAA-34C4-1E50BB2E66DF}"/>
            </a:ext>
          </a:extLst>
        </xdr:cNvPr>
        <xdr:cNvPicPr>
          <a:picLocks noChangeAspect="1"/>
        </xdr:cNvPicPr>
      </xdr:nvPicPr>
      <xdr:blipFill>
        <a:blip xmlns:r="http://schemas.openxmlformats.org/officeDocument/2006/relationships" r:embed="rId18"/>
        <a:stretch>
          <a:fillRect/>
        </a:stretch>
      </xdr:blipFill>
      <xdr:spPr>
        <a:xfrm>
          <a:off x="1783080" y="13946505"/>
          <a:ext cx="5534092" cy="234203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0</xdr:colOff>
      <xdr:row>17</xdr:row>
      <xdr:rowOff>0</xdr:rowOff>
    </xdr:from>
    <xdr:to>
      <xdr:col>7</xdr:col>
      <xdr:colOff>304800</xdr:colOff>
      <xdr:row>17</xdr:row>
      <xdr:rowOff>304800</xdr:rowOff>
    </xdr:to>
    <xdr:sp macro="" textlink="">
      <xdr:nvSpPr>
        <xdr:cNvPr id="7169" name="AutoShape 1">
          <a:extLst>
            <a:ext uri="{FF2B5EF4-FFF2-40B4-BE49-F238E27FC236}">
              <a16:creationId xmlns:a16="http://schemas.microsoft.com/office/drawing/2014/main" id="{198CA843-11C1-5904-BD88-EEB260404A43}"/>
            </a:ext>
          </a:extLst>
        </xdr:cNvPr>
        <xdr:cNvSpPr>
          <a:spLocks noChangeAspect="1" noChangeArrowheads="1"/>
        </xdr:cNvSpPr>
      </xdr:nvSpPr>
      <xdr:spPr bwMode="auto">
        <a:xfrm>
          <a:off x="1389888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17</xdr:row>
      <xdr:rowOff>0</xdr:rowOff>
    </xdr:from>
    <xdr:to>
      <xdr:col>7</xdr:col>
      <xdr:colOff>304800</xdr:colOff>
      <xdr:row>17</xdr:row>
      <xdr:rowOff>304800</xdr:rowOff>
    </xdr:to>
    <xdr:sp macro="" textlink="">
      <xdr:nvSpPr>
        <xdr:cNvPr id="7170" name="AutoShape 2">
          <a:extLst>
            <a:ext uri="{FF2B5EF4-FFF2-40B4-BE49-F238E27FC236}">
              <a16:creationId xmlns:a16="http://schemas.microsoft.com/office/drawing/2014/main" id="{3DE546B5-F8FC-851C-0A29-D5B998C0C267}"/>
            </a:ext>
          </a:extLst>
        </xdr:cNvPr>
        <xdr:cNvSpPr>
          <a:spLocks noChangeAspect="1" noChangeArrowheads="1"/>
        </xdr:cNvSpPr>
      </xdr:nvSpPr>
      <xdr:spPr bwMode="auto">
        <a:xfrm>
          <a:off x="1389888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17</xdr:row>
      <xdr:rowOff>0</xdr:rowOff>
    </xdr:from>
    <xdr:to>
      <xdr:col>7</xdr:col>
      <xdr:colOff>304800</xdr:colOff>
      <xdr:row>17</xdr:row>
      <xdr:rowOff>304800</xdr:rowOff>
    </xdr:to>
    <xdr:sp macro="" textlink="">
      <xdr:nvSpPr>
        <xdr:cNvPr id="7171" name="AutoShape 3">
          <a:extLst>
            <a:ext uri="{FF2B5EF4-FFF2-40B4-BE49-F238E27FC236}">
              <a16:creationId xmlns:a16="http://schemas.microsoft.com/office/drawing/2014/main" id="{5FCD80E2-4116-C229-362C-6DD9B22D33CC}"/>
            </a:ext>
          </a:extLst>
        </xdr:cNvPr>
        <xdr:cNvSpPr>
          <a:spLocks noChangeAspect="1" noChangeArrowheads="1"/>
        </xdr:cNvSpPr>
      </xdr:nvSpPr>
      <xdr:spPr bwMode="auto">
        <a:xfrm>
          <a:off x="1389888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17</xdr:row>
      <xdr:rowOff>0</xdr:rowOff>
    </xdr:from>
    <xdr:to>
      <xdr:col>7</xdr:col>
      <xdr:colOff>304800</xdr:colOff>
      <xdr:row>17</xdr:row>
      <xdr:rowOff>304800</xdr:rowOff>
    </xdr:to>
    <xdr:sp macro="" textlink="">
      <xdr:nvSpPr>
        <xdr:cNvPr id="7172" name="AutoShape 4">
          <a:extLst>
            <a:ext uri="{FF2B5EF4-FFF2-40B4-BE49-F238E27FC236}">
              <a16:creationId xmlns:a16="http://schemas.microsoft.com/office/drawing/2014/main" id="{6CC1EC1F-4553-040E-AEDC-0555D3AC45B2}"/>
            </a:ext>
          </a:extLst>
        </xdr:cNvPr>
        <xdr:cNvSpPr>
          <a:spLocks noChangeAspect="1" noChangeArrowheads="1"/>
        </xdr:cNvSpPr>
      </xdr:nvSpPr>
      <xdr:spPr bwMode="auto">
        <a:xfrm>
          <a:off x="1389888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17</xdr:row>
      <xdr:rowOff>0</xdr:rowOff>
    </xdr:from>
    <xdr:to>
      <xdr:col>7</xdr:col>
      <xdr:colOff>304800</xdr:colOff>
      <xdr:row>17</xdr:row>
      <xdr:rowOff>304800</xdr:rowOff>
    </xdr:to>
    <xdr:sp macro="" textlink="">
      <xdr:nvSpPr>
        <xdr:cNvPr id="7173" name="AutoShape 5">
          <a:extLst>
            <a:ext uri="{FF2B5EF4-FFF2-40B4-BE49-F238E27FC236}">
              <a16:creationId xmlns:a16="http://schemas.microsoft.com/office/drawing/2014/main" id="{AF32786F-34E6-6E2E-A254-022B531525DA}"/>
            </a:ext>
          </a:extLst>
        </xdr:cNvPr>
        <xdr:cNvSpPr>
          <a:spLocks noChangeAspect="1" noChangeArrowheads="1"/>
        </xdr:cNvSpPr>
      </xdr:nvSpPr>
      <xdr:spPr bwMode="auto">
        <a:xfrm>
          <a:off x="1389888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17</xdr:row>
      <xdr:rowOff>0</xdr:rowOff>
    </xdr:from>
    <xdr:to>
      <xdr:col>7</xdr:col>
      <xdr:colOff>304800</xdr:colOff>
      <xdr:row>17</xdr:row>
      <xdr:rowOff>304800</xdr:rowOff>
    </xdr:to>
    <xdr:sp macro="" textlink="">
      <xdr:nvSpPr>
        <xdr:cNvPr id="7174" name="AutoShape 6">
          <a:extLst>
            <a:ext uri="{FF2B5EF4-FFF2-40B4-BE49-F238E27FC236}">
              <a16:creationId xmlns:a16="http://schemas.microsoft.com/office/drawing/2014/main" id="{7A8CEE41-A8EA-7951-1C40-395C8B8A5FD5}"/>
            </a:ext>
          </a:extLst>
        </xdr:cNvPr>
        <xdr:cNvSpPr>
          <a:spLocks noChangeAspect="1" noChangeArrowheads="1"/>
        </xdr:cNvSpPr>
      </xdr:nvSpPr>
      <xdr:spPr bwMode="auto">
        <a:xfrm>
          <a:off x="1389888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1665767</xdr:colOff>
      <xdr:row>15</xdr:row>
      <xdr:rowOff>118934</xdr:rowOff>
    </xdr:from>
    <xdr:to>
      <xdr:col>8</xdr:col>
      <xdr:colOff>464621</xdr:colOff>
      <xdr:row>30</xdr:row>
      <xdr:rowOff>302445</xdr:rowOff>
    </xdr:to>
    <xdr:pic>
      <xdr:nvPicPr>
        <xdr:cNvPr id="5" name="Picture 4">
          <a:extLst>
            <a:ext uri="{FF2B5EF4-FFF2-40B4-BE49-F238E27FC236}">
              <a16:creationId xmlns:a16="http://schemas.microsoft.com/office/drawing/2014/main" id="{BC631EA6-EBD6-EC2B-682E-9ADAF0EC242C}"/>
            </a:ext>
          </a:extLst>
        </xdr:cNvPr>
        <xdr:cNvPicPr>
          <a:picLocks noChangeAspect="1"/>
        </xdr:cNvPicPr>
      </xdr:nvPicPr>
      <xdr:blipFill>
        <a:blip xmlns:r="http://schemas.openxmlformats.org/officeDocument/2006/relationships" r:embed="rId1"/>
        <a:stretch>
          <a:fillRect/>
        </a:stretch>
      </xdr:blipFill>
      <xdr:spPr>
        <a:xfrm>
          <a:off x="12519837" y="6595934"/>
          <a:ext cx="4708784" cy="4607099"/>
        </a:xfrm>
        <a:prstGeom prst="rect">
          <a:avLst/>
        </a:prstGeom>
      </xdr:spPr>
    </xdr:pic>
    <xdr:clientData/>
  </xdr:twoCellAnchor>
  <xdr:twoCellAnchor editAs="oneCell">
    <xdr:from>
      <xdr:col>8</xdr:col>
      <xdr:colOff>1479912</xdr:colOff>
      <xdr:row>15</xdr:row>
      <xdr:rowOff>115186</xdr:rowOff>
    </xdr:from>
    <xdr:to>
      <xdr:col>14</xdr:col>
      <xdr:colOff>269879</xdr:colOff>
      <xdr:row>30</xdr:row>
      <xdr:rowOff>351574</xdr:rowOff>
    </xdr:to>
    <xdr:pic>
      <xdr:nvPicPr>
        <xdr:cNvPr id="6" name="Picture 5">
          <a:extLst>
            <a:ext uri="{FF2B5EF4-FFF2-40B4-BE49-F238E27FC236}">
              <a16:creationId xmlns:a16="http://schemas.microsoft.com/office/drawing/2014/main" id="{CC74C98F-03AB-57A2-F44A-7BE204994905}"/>
            </a:ext>
          </a:extLst>
        </xdr:cNvPr>
        <xdr:cNvPicPr>
          <a:picLocks noChangeAspect="1"/>
        </xdr:cNvPicPr>
      </xdr:nvPicPr>
      <xdr:blipFill>
        <a:blip xmlns:r="http://schemas.openxmlformats.org/officeDocument/2006/relationships" r:embed="rId2"/>
        <a:stretch>
          <a:fillRect/>
        </a:stretch>
      </xdr:blipFill>
      <xdr:spPr>
        <a:xfrm>
          <a:off x="18243912" y="6592186"/>
          <a:ext cx="5594804" cy="4659976"/>
        </a:xfrm>
        <a:prstGeom prst="rect">
          <a:avLst/>
        </a:prstGeom>
      </xdr:spPr>
    </xdr:pic>
    <xdr:clientData/>
  </xdr:twoCellAnchor>
  <xdr:twoCellAnchor editAs="oneCell">
    <xdr:from>
      <xdr:col>14</xdr:col>
      <xdr:colOff>531627</xdr:colOff>
      <xdr:row>23</xdr:row>
      <xdr:rowOff>88605</xdr:rowOff>
    </xdr:from>
    <xdr:to>
      <xdr:col>38</xdr:col>
      <xdr:colOff>420143</xdr:colOff>
      <xdr:row>30</xdr:row>
      <xdr:rowOff>470745</xdr:rowOff>
    </xdr:to>
    <xdr:pic>
      <xdr:nvPicPr>
        <xdr:cNvPr id="7" name="Picture 6">
          <a:extLst>
            <a:ext uri="{FF2B5EF4-FFF2-40B4-BE49-F238E27FC236}">
              <a16:creationId xmlns:a16="http://schemas.microsoft.com/office/drawing/2014/main" id="{EEF02126-B6A3-BE66-920A-799F12F10CE1}"/>
            </a:ext>
          </a:extLst>
        </xdr:cNvPr>
        <xdr:cNvPicPr>
          <a:picLocks noChangeAspect="1"/>
        </xdr:cNvPicPr>
      </xdr:nvPicPr>
      <xdr:blipFill>
        <a:blip xmlns:r="http://schemas.openxmlformats.org/officeDocument/2006/relationships" r:embed="rId3"/>
        <a:stretch>
          <a:fillRect/>
        </a:stretch>
      </xdr:blipFill>
      <xdr:spPr>
        <a:xfrm>
          <a:off x="24100464" y="8435163"/>
          <a:ext cx="5913632" cy="293395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32</xdr:row>
      <xdr:rowOff>91558</xdr:rowOff>
    </xdr:from>
    <xdr:to>
      <xdr:col>2</xdr:col>
      <xdr:colOff>800100</xdr:colOff>
      <xdr:row>36</xdr:row>
      <xdr:rowOff>19187</xdr:rowOff>
    </xdr:to>
    <xdr:pic>
      <xdr:nvPicPr>
        <xdr:cNvPr id="2" name="Picture 1">
          <a:extLst>
            <a:ext uri="{FF2B5EF4-FFF2-40B4-BE49-F238E27FC236}">
              <a16:creationId xmlns:a16="http://schemas.microsoft.com/office/drawing/2014/main" id="{727FD934-94A3-09C1-56CA-0B846D50F21B}"/>
            </a:ext>
          </a:extLst>
        </xdr:cNvPr>
        <xdr:cNvPicPr>
          <a:picLocks noChangeAspect="1"/>
        </xdr:cNvPicPr>
      </xdr:nvPicPr>
      <xdr:blipFill>
        <a:blip xmlns:r="http://schemas.openxmlformats.org/officeDocument/2006/relationships" r:embed="rId1"/>
        <a:stretch>
          <a:fillRect/>
        </a:stretch>
      </xdr:blipFill>
      <xdr:spPr>
        <a:xfrm>
          <a:off x="0" y="8797408"/>
          <a:ext cx="5734050" cy="61342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13</xdr:col>
      <xdr:colOff>0</xdr:colOff>
      <xdr:row>52</xdr:row>
      <xdr:rowOff>137160</xdr:rowOff>
    </xdr:from>
    <xdr:to>
      <xdr:col>17</xdr:col>
      <xdr:colOff>762920</xdr:colOff>
      <xdr:row>77</xdr:row>
      <xdr:rowOff>48197</xdr:rowOff>
    </xdr:to>
    <xdr:pic>
      <xdr:nvPicPr>
        <xdr:cNvPr id="3" name="Picture 2">
          <a:extLst>
            <a:ext uri="{FF2B5EF4-FFF2-40B4-BE49-F238E27FC236}">
              <a16:creationId xmlns:a16="http://schemas.microsoft.com/office/drawing/2014/main" id="{126E17D4-DBF9-19F2-BB49-4E3381566922}"/>
            </a:ext>
          </a:extLst>
        </xdr:cNvPr>
        <xdr:cNvPicPr>
          <a:picLocks noChangeAspect="1"/>
        </xdr:cNvPicPr>
      </xdr:nvPicPr>
      <xdr:blipFill>
        <a:blip xmlns:r="http://schemas.openxmlformats.org/officeDocument/2006/relationships" r:embed="rId1"/>
        <a:stretch>
          <a:fillRect/>
        </a:stretch>
      </xdr:blipFill>
      <xdr:spPr>
        <a:xfrm>
          <a:off x="0" y="5905500"/>
          <a:ext cx="6592220" cy="4096322"/>
        </a:xfrm>
        <a:prstGeom prst="rect">
          <a:avLst/>
        </a:prstGeom>
      </xdr:spPr>
    </xdr:pic>
    <xdr:clientData/>
  </xdr:twoCellAnchor>
  <xdr:twoCellAnchor>
    <xdr:from>
      <xdr:col>17</xdr:col>
      <xdr:colOff>748393</xdr:colOff>
      <xdr:row>53</xdr:row>
      <xdr:rowOff>78921</xdr:rowOff>
    </xdr:from>
    <xdr:to>
      <xdr:col>24</xdr:col>
      <xdr:colOff>516047</xdr:colOff>
      <xdr:row>76</xdr:row>
      <xdr:rowOff>100417</xdr:rowOff>
    </xdr:to>
    <xdr:pic>
      <xdr:nvPicPr>
        <xdr:cNvPr id="4" name="Picture 3">
          <a:extLst>
            <a:ext uri="{FF2B5EF4-FFF2-40B4-BE49-F238E27FC236}">
              <a16:creationId xmlns:a16="http://schemas.microsoft.com/office/drawing/2014/main" id="{7984C760-6552-D76D-D5BE-6414038A3BFB}"/>
            </a:ext>
          </a:extLst>
        </xdr:cNvPr>
        <xdr:cNvPicPr>
          <a:picLocks noChangeAspect="1"/>
        </xdr:cNvPicPr>
      </xdr:nvPicPr>
      <xdr:blipFill>
        <a:blip xmlns:r="http://schemas.openxmlformats.org/officeDocument/2006/relationships" r:embed="rId2"/>
        <a:stretch>
          <a:fillRect/>
        </a:stretch>
      </xdr:blipFill>
      <xdr:spPr>
        <a:xfrm>
          <a:off x="16015607" y="11032671"/>
          <a:ext cx="6952226" cy="4090032"/>
        </a:xfrm>
        <a:prstGeom prst="rect">
          <a:avLst/>
        </a:prstGeom>
      </xdr:spPr>
    </xdr:pic>
    <xdr:clientData/>
  </xdr:twoCellAnchor>
  <xdr:twoCellAnchor>
    <xdr:from>
      <xdr:col>24</xdr:col>
      <xdr:colOff>0</xdr:colOff>
      <xdr:row>1</xdr:row>
      <xdr:rowOff>0</xdr:rowOff>
    </xdr:from>
    <xdr:to>
      <xdr:col>39</xdr:col>
      <xdr:colOff>361740</xdr:colOff>
      <xdr:row>17</xdr:row>
      <xdr:rowOff>99695</xdr:rowOff>
    </xdr:to>
    <xdr:graphicFrame macro="">
      <xdr:nvGraphicFramePr>
        <xdr:cNvPr id="2" name="Chart 1">
          <a:extLst>
            <a:ext uri="{FF2B5EF4-FFF2-40B4-BE49-F238E27FC236}">
              <a16:creationId xmlns:a16="http://schemas.microsoft.com/office/drawing/2014/main" id="{425933D4-9F6B-4C73-AE08-2257EC330F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9525</xdr:colOff>
      <xdr:row>19</xdr:row>
      <xdr:rowOff>19050</xdr:rowOff>
    </xdr:from>
    <xdr:to>
      <xdr:col>37</xdr:col>
      <xdr:colOff>390525</xdr:colOff>
      <xdr:row>45</xdr:row>
      <xdr:rowOff>85725</xdr:rowOff>
    </xdr:to>
    <xdr:graphicFrame macro="">
      <xdr:nvGraphicFramePr>
        <xdr:cNvPr id="26" name="Chart 2">
          <a:extLst>
            <a:ext uri="{FF2B5EF4-FFF2-40B4-BE49-F238E27FC236}">
              <a16:creationId xmlns:a16="http://schemas.microsoft.com/office/drawing/2014/main" id="{ABAB2591-8C19-4BF8-8F8C-249982396124}"/>
            </a:ext>
            <a:ext uri="{147F2762-F138-4A5C-976F-8EAC2B608ADB}">
              <a16:predDERef xmlns:a16="http://schemas.microsoft.com/office/drawing/2014/main" pred="{425933D4-9F6B-4C73-AE08-2257EC330F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561431</xdr:colOff>
      <xdr:row>53</xdr:row>
      <xdr:rowOff>57150</xdr:rowOff>
    </xdr:from>
    <xdr:to>
      <xdr:col>5</xdr:col>
      <xdr:colOff>936716</xdr:colOff>
      <xdr:row>80</xdr:row>
      <xdr:rowOff>93344</xdr:rowOff>
    </xdr:to>
    <xdr:pic>
      <xdr:nvPicPr>
        <xdr:cNvPr id="10" name="Picture 5">
          <a:extLst>
            <a:ext uri="{FF2B5EF4-FFF2-40B4-BE49-F238E27FC236}">
              <a16:creationId xmlns:a16="http://schemas.microsoft.com/office/drawing/2014/main" id="{4BB641ED-98CE-623B-E1EC-6238AEF71BCF}"/>
            </a:ext>
            <a:ext uri="{147F2762-F138-4A5C-976F-8EAC2B608ADB}">
              <a16:predDERef xmlns:a16="http://schemas.microsoft.com/office/drawing/2014/main" pred="{ABAB2591-8C19-4BF8-8F8C-249982396124}"/>
            </a:ext>
          </a:extLst>
        </xdr:cNvPr>
        <xdr:cNvPicPr>
          <a:picLocks noChangeAspect="1"/>
        </xdr:cNvPicPr>
      </xdr:nvPicPr>
      <xdr:blipFill>
        <a:blip xmlns:r="http://schemas.openxmlformats.org/officeDocument/2006/relationships" r:embed="rId5"/>
        <a:stretch>
          <a:fillRect/>
        </a:stretch>
      </xdr:blipFill>
      <xdr:spPr>
        <a:xfrm>
          <a:off x="561431" y="11010900"/>
          <a:ext cx="4239714" cy="4812301"/>
        </a:xfrm>
        <a:prstGeom prst="rect">
          <a:avLst/>
        </a:prstGeom>
      </xdr:spPr>
    </xdr:pic>
    <xdr:clientData/>
  </xdr:twoCellAnchor>
  <xdr:twoCellAnchor>
    <xdr:from>
      <xdr:col>0</xdr:col>
      <xdr:colOff>66675</xdr:colOff>
      <xdr:row>80</xdr:row>
      <xdr:rowOff>19050</xdr:rowOff>
    </xdr:from>
    <xdr:to>
      <xdr:col>7</xdr:col>
      <xdr:colOff>45720</xdr:colOff>
      <xdr:row>102</xdr:row>
      <xdr:rowOff>150495</xdr:rowOff>
    </xdr:to>
    <xdr:pic>
      <xdr:nvPicPr>
        <xdr:cNvPr id="12" name="Picture 6">
          <a:extLst>
            <a:ext uri="{FF2B5EF4-FFF2-40B4-BE49-F238E27FC236}">
              <a16:creationId xmlns:a16="http://schemas.microsoft.com/office/drawing/2014/main" id="{4737DF0F-51E8-4479-F976-B3D412388C7A}"/>
            </a:ext>
            <a:ext uri="{147F2762-F138-4A5C-976F-8EAC2B608ADB}">
              <a16:predDERef xmlns:a16="http://schemas.microsoft.com/office/drawing/2014/main" pred="{4BB641ED-98CE-623B-E1EC-6238AEF71BCF}"/>
            </a:ext>
          </a:extLst>
        </xdr:cNvPr>
        <xdr:cNvPicPr>
          <a:picLocks noChangeAspect="1"/>
        </xdr:cNvPicPr>
      </xdr:nvPicPr>
      <xdr:blipFill>
        <a:blip xmlns:r="http://schemas.openxmlformats.org/officeDocument/2006/relationships" r:embed="rId6"/>
        <a:stretch>
          <a:fillRect/>
        </a:stretch>
      </xdr:blipFill>
      <xdr:spPr>
        <a:xfrm>
          <a:off x="66675" y="11496675"/>
          <a:ext cx="6105525" cy="3819525"/>
        </a:xfrm>
        <a:prstGeom prst="rect">
          <a:avLst/>
        </a:prstGeom>
      </xdr:spPr>
    </xdr:pic>
    <xdr:clientData/>
  </xdr:twoCellAnchor>
  <xdr:twoCellAnchor>
    <xdr:from>
      <xdr:col>0</xdr:col>
      <xdr:colOff>152400</xdr:colOff>
      <xdr:row>104</xdr:row>
      <xdr:rowOff>104775</xdr:rowOff>
    </xdr:from>
    <xdr:to>
      <xdr:col>5</xdr:col>
      <xdr:colOff>390525</xdr:colOff>
      <xdr:row>131</xdr:row>
      <xdr:rowOff>150494</xdr:rowOff>
    </xdr:to>
    <xdr:pic>
      <xdr:nvPicPr>
        <xdr:cNvPr id="13" name="Picture 7">
          <a:extLst>
            <a:ext uri="{FF2B5EF4-FFF2-40B4-BE49-F238E27FC236}">
              <a16:creationId xmlns:a16="http://schemas.microsoft.com/office/drawing/2014/main" id="{980A6779-A463-26D1-B88C-3AC5F874FC64}"/>
            </a:ext>
            <a:ext uri="{147F2762-F138-4A5C-976F-8EAC2B608ADB}">
              <a16:predDERef xmlns:a16="http://schemas.microsoft.com/office/drawing/2014/main" pred="{4737DF0F-51E8-4479-F976-B3D412388C7A}"/>
            </a:ext>
          </a:extLst>
        </xdr:cNvPr>
        <xdr:cNvPicPr>
          <a:picLocks noChangeAspect="1"/>
        </xdr:cNvPicPr>
      </xdr:nvPicPr>
      <xdr:blipFill>
        <a:blip xmlns:r="http://schemas.openxmlformats.org/officeDocument/2006/relationships" r:embed="rId7"/>
        <a:stretch>
          <a:fillRect/>
        </a:stretch>
      </xdr:blipFill>
      <xdr:spPr>
        <a:xfrm>
          <a:off x="152400" y="15468600"/>
          <a:ext cx="4124325" cy="45720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29</xdr:col>
      <xdr:colOff>268943</xdr:colOff>
      <xdr:row>6</xdr:row>
      <xdr:rowOff>22412</xdr:rowOff>
    </xdr:from>
    <xdr:to>
      <xdr:col>35</xdr:col>
      <xdr:colOff>620471</xdr:colOff>
      <xdr:row>8</xdr:row>
      <xdr:rowOff>429092</xdr:rowOff>
    </xdr:to>
    <xdr:graphicFrame macro="">
      <xdr:nvGraphicFramePr>
        <xdr:cNvPr id="79" name="Chart 5">
          <a:extLst>
            <a:ext uri="{FF2B5EF4-FFF2-40B4-BE49-F238E27FC236}">
              <a16:creationId xmlns:a16="http://schemas.microsoft.com/office/drawing/2014/main" id="{7F887ED4-EF83-451C-B1B7-74B19AE4617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289560</xdr:colOff>
      <xdr:row>9</xdr:row>
      <xdr:rowOff>0</xdr:rowOff>
    </xdr:from>
    <xdr:to>
      <xdr:col>36</xdr:col>
      <xdr:colOff>0</xdr:colOff>
      <xdr:row>11</xdr:row>
      <xdr:rowOff>391886</xdr:rowOff>
    </xdr:to>
    <xdr:graphicFrame macro="">
      <xdr:nvGraphicFramePr>
        <xdr:cNvPr id="78" name="Chart 5">
          <a:extLst>
            <a:ext uri="{FF2B5EF4-FFF2-40B4-BE49-F238E27FC236}">
              <a16:creationId xmlns:a16="http://schemas.microsoft.com/office/drawing/2014/main" id="{562C7D60-D222-45AF-9013-A79B918CAA53}"/>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289560</xdr:colOff>
      <xdr:row>34</xdr:row>
      <xdr:rowOff>0</xdr:rowOff>
    </xdr:from>
    <xdr:to>
      <xdr:col>36</xdr:col>
      <xdr:colOff>0</xdr:colOff>
      <xdr:row>36</xdr:row>
      <xdr:rowOff>391886</xdr:rowOff>
    </xdr:to>
    <xdr:graphicFrame macro="">
      <xdr:nvGraphicFramePr>
        <xdr:cNvPr id="72" name="Chart 5">
          <a:extLst>
            <a:ext uri="{FF2B5EF4-FFF2-40B4-BE49-F238E27FC236}">
              <a16:creationId xmlns:a16="http://schemas.microsoft.com/office/drawing/2014/main" id="{F8649B1F-C1B4-4ACF-B5FC-61526761CFE2}"/>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289560</xdr:colOff>
      <xdr:row>18</xdr:row>
      <xdr:rowOff>0</xdr:rowOff>
    </xdr:from>
    <xdr:to>
      <xdr:col>36</xdr:col>
      <xdr:colOff>0</xdr:colOff>
      <xdr:row>20</xdr:row>
      <xdr:rowOff>391886</xdr:rowOff>
    </xdr:to>
    <xdr:graphicFrame macro="">
      <xdr:nvGraphicFramePr>
        <xdr:cNvPr id="74" name="Chart 5">
          <a:extLst>
            <a:ext uri="{FF2B5EF4-FFF2-40B4-BE49-F238E27FC236}">
              <a16:creationId xmlns:a16="http://schemas.microsoft.com/office/drawing/2014/main" id="{3829B692-84CA-4F11-A572-28334A0337A2}"/>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289560</xdr:colOff>
      <xdr:row>12</xdr:row>
      <xdr:rowOff>0</xdr:rowOff>
    </xdr:from>
    <xdr:to>
      <xdr:col>36</xdr:col>
      <xdr:colOff>0</xdr:colOff>
      <xdr:row>14</xdr:row>
      <xdr:rowOff>391886</xdr:rowOff>
    </xdr:to>
    <xdr:graphicFrame macro="">
      <xdr:nvGraphicFramePr>
        <xdr:cNvPr id="77" name="Chart 5">
          <a:extLst>
            <a:ext uri="{FF2B5EF4-FFF2-40B4-BE49-F238E27FC236}">
              <a16:creationId xmlns:a16="http://schemas.microsoft.com/office/drawing/2014/main" id="{44729C12-D2A0-4BBC-B561-E4199A740F80}"/>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289560</xdr:colOff>
      <xdr:row>15</xdr:row>
      <xdr:rowOff>0</xdr:rowOff>
    </xdr:from>
    <xdr:to>
      <xdr:col>36</xdr:col>
      <xdr:colOff>0</xdr:colOff>
      <xdr:row>17</xdr:row>
      <xdr:rowOff>391886</xdr:rowOff>
    </xdr:to>
    <xdr:graphicFrame macro="">
      <xdr:nvGraphicFramePr>
        <xdr:cNvPr id="75" name="Chart 7">
          <a:extLst>
            <a:ext uri="{FF2B5EF4-FFF2-40B4-BE49-F238E27FC236}">
              <a16:creationId xmlns:a16="http://schemas.microsoft.com/office/drawing/2014/main" id="{64306D0B-239D-466F-B383-D93A0723FCC6}"/>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319368</xdr:colOff>
      <xdr:row>37</xdr:row>
      <xdr:rowOff>33617</xdr:rowOff>
    </xdr:from>
    <xdr:to>
      <xdr:col>36</xdr:col>
      <xdr:colOff>33618</xdr:colOff>
      <xdr:row>39</xdr:row>
      <xdr:rowOff>427408</xdr:rowOff>
    </xdr:to>
    <xdr:graphicFrame macro="">
      <xdr:nvGraphicFramePr>
        <xdr:cNvPr id="70" name="Chart 5">
          <a:extLst>
            <a:ext uri="{FF2B5EF4-FFF2-40B4-BE49-F238E27FC236}">
              <a16:creationId xmlns:a16="http://schemas.microsoft.com/office/drawing/2014/main" id="{C48C3029-B5F1-4B32-B1A3-D5B22C5C63C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277233</xdr:colOff>
      <xdr:row>42</xdr:row>
      <xdr:rowOff>468407</xdr:rowOff>
    </xdr:from>
    <xdr:to>
      <xdr:col>35</xdr:col>
      <xdr:colOff>609600</xdr:colOff>
      <xdr:row>45</xdr:row>
      <xdr:rowOff>376518</xdr:rowOff>
    </xdr:to>
    <xdr:graphicFrame macro="">
      <xdr:nvGraphicFramePr>
        <xdr:cNvPr id="66" name="Chart 5">
          <a:extLst>
            <a:ext uri="{FF2B5EF4-FFF2-40B4-BE49-F238E27FC236}">
              <a16:creationId xmlns:a16="http://schemas.microsoft.com/office/drawing/2014/main" id="{AD13ECEB-16E4-4AFF-8E89-282EEAAE886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29</xdr:col>
      <xdr:colOff>278355</xdr:colOff>
      <xdr:row>40</xdr:row>
      <xdr:rowOff>75079</xdr:rowOff>
    </xdr:from>
    <xdr:to>
      <xdr:col>35</xdr:col>
      <xdr:colOff>618566</xdr:colOff>
      <xdr:row>42</xdr:row>
      <xdr:rowOff>349624</xdr:rowOff>
    </xdr:to>
    <xdr:graphicFrame macro="">
      <xdr:nvGraphicFramePr>
        <xdr:cNvPr id="71" name="Chart 5">
          <a:extLst>
            <a:ext uri="{FF2B5EF4-FFF2-40B4-BE49-F238E27FC236}">
              <a16:creationId xmlns:a16="http://schemas.microsoft.com/office/drawing/2014/main" id="{C5525377-4094-49D7-A558-50BC6FA52BB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29</xdr:col>
      <xdr:colOff>281940</xdr:colOff>
      <xdr:row>31</xdr:row>
      <xdr:rowOff>0</xdr:rowOff>
    </xdr:from>
    <xdr:to>
      <xdr:col>35</xdr:col>
      <xdr:colOff>634365</xdr:colOff>
      <xdr:row>33</xdr:row>
      <xdr:rowOff>332831</xdr:rowOff>
    </xdr:to>
    <xdr:graphicFrame macro="">
      <xdr:nvGraphicFramePr>
        <xdr:cNvPr id="73" name="Chart 5">
          <a:extLst>
            <a:ext uri="{FF2B5EF4-FFF2-40B4-BE49-F238E27FC236}">
              <a16:creationId xmlns:a16="http://schemas.microsoft.com/office/drawing/2014/main" id="{5D80E14B-9B99-49BA-A8A8-57450D8BBB65}"/>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29</xdr:col>
      <xdr:colOff>278913</xdr:colOff>
      <xdr:row>48</xdr:row>
      <xdr:rowOff>487952</xdr:rowOff>
    </xdr:from>
    <xdr:to>
      <xdr:col>36</xdr:col>
      <xdr:colOff>11989</xdr:colOff>
      <xdr:row>51</xdr:row>
      <xdr:rowOff>316773</xdr:rowOff>
    </xdr:to>
    <xdr:graphicFrame macro="">
      <xdr:nvGraphicFramePr>
        <xdr:cNvPr id="69" name="Chart 5">
          <a:extLst>
            <a:ext uri="{FF2B5EF4-FFF2-40B4-BE49-F238E27FC236}">
              <a16:creationId xmlns:a16="http://schemas.microsoft.com/office/drawing/2014/main" id="{2ED0622F-48A9-48EC-BE0A-FCEF3C51A4BA}"/>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29</xdr:col>
      <xdr:colOff>278354</xdr:colOff>
      <xdr:row>46</xdr:row>
      <xdr:rowOff>57150</xdr:rowOff>
    </xdr:from>
    <xdr:to>
      <xdr:col>36</xdr:col>
      <xdr:colOff>0</xdr:colOff>
      <xdr:row>48</xdr:row>
      <xdr:rowOff>449036</xdr:rowOff>
    </xdr:to>
    <xdr:graphicFrame macro="">
      <xdr:nvGraphicFramePr>
        <xdr:cNvPr id="18" name="Chart 5">
          <a:extLst>
            <a:ext uri="{FF2B5EF4-FFF2-40B4-BE49-F238E27FC236}">
              <a16:creationId xmlns:a16="http://schemas.microsoft.com/office/drawing/2014/main" id="{4CF35C84-2205-461F-BE9D-DE7A96498FA3}"/>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29</xdr:col>
      <xdr:colOff>286870</xdr:colOff>
      <xdr:row>17</xdr:row>
      <xdr:rowOff>466165</xdr:rowOff>
    </xdr:from>
    <xdr:to>
      <xdr:col>35</xdr:col>
      <xdr:colOff>633804</xdr:colOff>
      <xdr:row>18</xdr:row>
      <xdr:rowOff>0</xdr:rowOff>
    </xdr:to>
    <xdr:graphicFrame macro="">
      <xdr:nvGraphicFramePr>
        <xdr:cNvPr id="27" name="Chart 5">
          <a:extLst>
            <a:ext uri="{FF2B5EF4-FFF2-40B4-BE49-F238E27FC236}">
              <a16:creationId xmlns:a16="http://schemas.microsoft.com/office/drawing/2014/main" id="{B2EDD7BD-9E89-4747-92BE-83BD9B7BB81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29</xdr:col>
      <xdr:colOff>272751</xdr:colOff>
      <xdr:row>3</xdr:row>
      <xdr:rowOff>53340</xdr:rowOff>
    </xdr:from>
    <xdr:to>
      <xdr:col>35</xdr:col>
      <xdr:colOff>620469</xdr:colOff>
      <xdr:row>5</xdr:row>
      <xdr:rowOff>351193</xdr:rowOff>
    </xdr:to>
    <xdr:graphicFrame macro="">
      <xdr:nvGraphicFramePr>
        <xdr:cNvPr id="81" name="Chart 5">
          <a:extLst>
            <a:ext uri="{FF2B5EF4-FFF2-40B4-BE49-F238E27FC236}">
              <a16:creationId xmlns:a16="http://schemas.microsoft.com/office/drawing/2014/main" id="{BFB5E6CE-1DC8-43BD-AB76-7B507BEB194C}"/>
            </a:ext>
            <a:ext uri="{147F2762-F138-4A5C-976F-8EAC2B608ADB}">
              <a16:predDERef xmlns:a16="http://schemas.microsoft.com/office/drawing/2014/main" pred="{B2EDD7BD-9E89-4747-92BE-83BD9B7BB8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87283</xdr:colOff>
      <xdr:row>213</xdr:row>
      <xdr:rowOff>99060</xdr:rowOff>
    </xdr:from>
    <xdr:to>
      <xdr:col>11</xdr:col>
      <xdr:colOff>0</xdr:colOff>
      <xdr:row>235</xdr:row>
      <xdr:rowOff>7620</xdr:rowOff>
    </xdr:to>
    <xdr:graphicFrame macro="">
      <xdr:nvGraphicFramePr>
        <xdr:cNvPr id="4" name="Chart 3">
          <a:extLst>
            <a:ext uri="{FF2B5EF4-FFF2-40B4-BE49-F238E27FC236}">
              <a16:creationId xmlns:a16="http://schemas.microsoft.com/office/drawing/2014/main" id="{6C00F964-3302-B551-21D9-7092763F72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12</xdr:col>
      <xdr:colOff>0</xdr:colOff>
      <xdr:row>214</xdr:row>
      <xdr:rowOff>0</xdr:rowOff>
    </xdr:from>
    <xdr:to>
      <xdr:col>30</xdr:col>
      <xdr:colOff>381486</xdr:colOff>
      <xdr:row>231</xdr:row>
      <xdr:rowOff>59887</xdr:rowOff>
    </xdr:to>
    <xdr:pic>
      <xdr:nvPicPr>
        <xdr:cNvPr id="23" name="Picture 22">
          <a:extLst>
            <a:ext uri="{FF2B5EF4-FFF2-40B4-BE49-F238E27FC236}">
              <a16:creationId xmlns:a16="http://schemas.microsoft.com/office/drawing/2014/main" id="{3E4EC8C5-EF15-4426-19E4-D7CA80963C24}"/>
            </a:ext>
          </a:extLst>
        </xdr:cNvPr>
        <xdr:cNvPicPr>
          <a:picLocks noChangeAspect="1"/>
        </xdr:cNvPicPr>
      </xdr:nvPicPr>
      <xdr:blipFill>
        <a:blip xmlns:r="http://schemas.openxmlformats.org/officeDocument/2006/relationships" r:embed="rId16"/>
        <a:stretch>
          <a:fillRect/>
        </a:stretch>
      </xdr:blipFill>
      <xdr:spPr>
        <a:xfrm>
          <a:off x="8157882" y="20148176"/>
          <a:ext cx="7687722" cy="3139712"/>
        </a:xfrm>
        <a:prstGeom prst="rect">
          <a:avLst/>
        </a:prstGeom>
      </xdr:spPr>
    </xdr:pic>
    <xdr:clientData/>
  </xdr:twoCellAnchor>
  <xdr:twoCellAnchor>
    <xdr:from>
      <xdr:col>29</xdr:col>
      <xdr:colOff>285750</xdr:colOff>
      <xdr:row>52</xdr:row>
      <xdr:rowOff>60145</xdr:rowOff>
    </xdr:from>
    <xdr:to>
      <xdr:col>36</xdr:col>
      <xdr:colOff>9301</xdr:colOff>
      <xdr:row>54</xdr:row>
      <xdr:rowOff>375014</xdr:rowOff>
    </xdr:to>
    <xdr:graphicFrame macro="">
      <xdr:nvGraphicFramePr>
        <xdr:cNvPr id="68" name="Chart 5">
          <a:extLst>
            <a:ext uri="{FF2B5EF4-FFF2-40B4-BE49-F238E27FC236}">
              <a16:creationId xmlns:a16="http://schemas.microsoft.com/office/drawing/2014/main" id="{5452FA6B-7528-434C-89C6-38BDEC955591}"/>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995084</xdr:colOff>
      <xdr:row>124</xdr:row>
      <xdr:rowOff>75143</xdr:rowOff>
    </xdr:from>
    <xdr:to>
      <xdr:col>3</xdr:col>
      <xdr:colOff>277906</xdr:colOff>
      <xdr:row>137</xdr:row>
      <xdr:rowOff>1392</xdr:rowOff>
    </xdr:to>
    <xdr:graphicFrame macro="">
      <xdr:nvGraphicFramePr>
        <xdr:cNvPr id="2" name="Chart 1">
          <a:extLst>
            <a:ext uri="{FF2B5EF4-FFF2-40B4-BE49-F238E27FC236}">
              <a16:creationId xmlns:a16="http://schemas.microsoft.com/office/drawing/2014/main" id="{C96BE081-020A-4AE4-A489-0D66EF7A4C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xdr:col>
      <xdr:colOff>1049545</xdr:colOff>
      <xdr:row>124</xdr:row>
      <xdr:rowOff>115526</xdr:rowOff>
    </xdr:from>
    <xdr:to>
      <xdr:col>12</xdr:col>
      <xdr:colOff>251012</xdr:colOff>
      <xdr:row>137</xdr:row>
      <xdr:rowOff>21993</xdr:rowOff>
    </xdr:to>
    <xdr:graphicFrame macro="">
      <xdr:nvGraphicFramePr>
        <xdr:cNvPr id="3" name="Chart 2">
          <a:extLst>
            <a:ext uri="{FF2B5EF4-FFF2-40B4-BE49-F238E27FC236}">
              <a16:creationId xmlns:a16="http://schemas.microsoft.com/office/drawing/2014/main" id="{D90BC5D7-B03E-414F-B8E5-905A69EEE4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14</xdr:col>
      <xdr:colOff>377334</xdr:colOff>
      <xdr:row>124</xdr:row>
      <xdr:rowOff>113065</xdr:rowOff>
    </xdr:from>
    <xdr:to>
      <xdr:col>26</xdr:col>
      <xdr:colOff>35859</xdr:colOff>
      <xdr:row>136</xdr:row>
      <xdr:rowOff>209824</xdr:rowOff>
    </xdr:to>
    <xdr:graphicFrame macro="">
      <xdr:nvGraphicFramePr>
        <xdr:cNvPr id="5" name="Chart 4">
          <a:extLst>
            <a:ext uri="{FF2B5EF4-FFF2-40B4-BE49-F238E27FC236}">
              <a16:creationId xmlns:a16="http://schemas.microsoft.com/office/drawing/2014/main" id="{F329FBD1-2665-4E03-BBE7-AA0C03CF96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govinfo.gov/content/pkg/FR-2009-03-23/pdf/FR-2009-03-23.pdf" TargetMode="External"/><Relationship Id="rId13" Type="http://schemas.openxmlformats.org/officeDocument/2006/relationships/hyperlink" Target="https://www.streivor.com/wp-content/uploads/2020/11/CKV-Design-Guide-1-Selecting-and-Sizing-Exhaust-Hoods.pdf" TargetMode="External"/><Relationship Id="rId18" Type="http://schemas.openxmlformats.org/officeDocument/2006/relationships/hyperlink" Target="https://www.grainger.com/category/plumbing/water-heaters/electric-tank-water-heaters" TargetMode="External"/><Relationship Id="rId3" Type="http://schemas.openxmlformats.org/officeDocument/2006/relationships/hyperlink" Target="https://github.com/sound-data/DEER-Prototypes-EnergyPlus" TargetMode="External"/><Relationship Id="rId7" Type="http://schemas.openxmlformats.org/officeDocument/2006/relationships/hyperlink" Target="https://2050partners.sharepoint.com/:w:/r/sites/CalBEMCollaborativeEfforts/_layouts/15/Doc.aspx?sourcedoc=%7B3BEF8F74-7FAC-44F2-A70C-D76617660066%7D&amp;file=Infiltration_rate_report_14May2025-Short-Version.docx&amp;action=default&amp;mobileredirect=true" TargetMode="External"/><Relationship Id="rId12" Type="http://schemas.openxmlformats.org/officeDocument/2006/relationships/hyperlink" Target="https://www.eia.gov/consumption/commercial/pba/food-service.php" TargetMode="External"/><Relationship Id="rId17" Type="http://schemas.openxmlformats.org/officeDocument/2006/relationships/hyperlink" Target="https://www.grainger.com/category/plumbing/water-heaters/gas-tank-water-heaters" TargetMode="External"/><Relationship Id="rId2" Type="http://schemas.openxmlformats.org/officeDocument/2006/relationships/hyperlink" Target="https://www.energycodes.gov/prototype-building-models" TargetMode="External"/><Relationship Id="rId16" Type="http://schemas.openxmlformats.org/officeDocument/2006/relationships/hyperlink" Target="https://www.energystar.gov/productfinder/product/certified-commercial-water-heaters/results?fuel_filter=Gas&amp;markets_filter=United+States" TargetMode="External"/><Relationship Id="rId20" Type="http://schemas.openxmlformats.org/officeDocument/2006/relationships/drawing" Target="../drawings/drawing1.xml"/><Relationship Id="rId1" Type="http://schemas.openxmlformats.org/officeDocument/2006/relationships/hyperlink" Target="https://bees.noresco.com/software2022.html" TargetMode="External"/><Relationship Id="rId6" Type="http://schemas.openxmlformats.org/officeDocument/2006/relationships/hyperlink" Target="https://www.pnnl.gov/main/publications/external/technical_reports/PNNL-20405.pdf" TargetMode="External"/><Relationship Id="rId11" Type="http://schemas.openxmlformats.org/officeDocument/2006/relationships/hyperlink" Target="https://title24stakeholders.com/wp-content/uploads/2016/10/T24-2019-CASE-Study-Results-Report-Outdoor-Sources_Final_with-Attachments.pdf" TargetMode="External"/><Relationship Id="rId5" Type="http://schemas.openxmlformats.org/officeDocument/2006/relationships/hyperlink" Target="https://title24stakeholders.com/wp-content/uploads/2020/10/2022-T24-Final-CASE-Report_Reduce-Infiltration.pdf" TargetMode="External"/><Relationship Id="rId15" Type="http://schemas.openxmlformats.org/officeDocument/2006/relationships/hyperlink" Target="https://caenergywise.com/design-guides/hot-water/Technical_Design_Guide.pdf" TargetMode="External"/><Relationship Id="rId10" Type="http://schemas.openxmlformats.org/officeDocument/2006/relationships/hyperlink" Target="https://www.govinfo.gov/content/pkg/CFR-2013-title10-vol3/pdf/CFR-2013-title10-vol3-part431.pdf" TargetMode="External"/><Relationship Id="rId19" Type="http://schemas.openxmlformats.org/officeDocument/2006/relationships/hyperlink" Target="https://www.thefreelibrary.com/Determining+Vintage+Bins+for+Prototype+Development%3a+An+Analysis+of...-a0879271125" TargetMode="External"/><Relationship Id="rId4" Type="http://schemas.openxmlformats.org/officeDocument/2006/relationships/hyperlink" Target="https://www.energy.ca.gov/publications/2022/2022-nonresidential-and-multifamily-alternative-calculation-method-reference" TargetMode="External"/><Relationship Id="rId9" Type="http://schemas.openxmlformats.org/officeDocument/2006/relationships/hyperlink" Target="https://www.govinfo.gov/content/pkg/CFR-2024-title10-vol3/pdf/CFR-2024-title10-vol3-part431-subpartF.pdf" TargetMode="External"/><Relationship Id="rId14" Type="http://schemas.openxmlformats.org/officeDocument/2006/relationships/hyperlink" Target="https://efiling.energy.ca.gov/GetDocument.aspx?tn=265693&amp;DocumentContentId=102545"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thefreelibrary.com/Determining+Vintage+Bins+for+Prototype+Development%3a+An+Analysis+of...-a0879271125" TargetMode="External"/><Relationship Id="rId1" Type="http://schemas.openxmlformats.org/officeDocument/2006/relationships/hyperlink" Target="https://2050partners.sharepoint.com/:w:/r/sites/CalBEMCollaborativeEfforts/Shared%20Documents/Working%20Group%201%20-%20Streamlined%20Process/D%20-%20Complexity%20of%20Compliance/Prototype%20Unification/Project%20Development/Phase%202%20(Collect%20Inputs)%20Development/NonRes-Vintage%20bins-Draft%20Report-30Nov2023-Final.docx?d=w8560be34ea9744e086bccf7767b0a3cf&amp;csf=1&amp;web=1&amp;e=tpxacv"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https://2050partners.sharepoint.com/:w:/r/sites/CalBEMCollaborativeEfforts/_layouts/15/Doc.aspx?sourcedoc=%7B3BEF8F74-7FAC-44F2-A70C-D76617660066%7D&amp;file=Infiltration_rate_report_14May2025-Short-Version.docx&amp;action=default&amp;mobileredirect=true&amp;wdLOR=c37D90580-1DC7-4CAF-9995-F2723497E773" TargetMode="External"/><Relationship Id="rId2" Type="http://schemas.openxmlformats.org/officeDocument/2006/relationships/hyperlink" Target="https://title24stakeholders.com/wp-content/uploads/2020/10/2022-T24-Final-CASE-Report_Reduce-Infiltration.pdf" TargetMode="External"/><Relationship Id="rId1" Type="http://schemas.openxmlformats.org/officeDocument/2006/relationships/hyperlink" Target="https://title24stakeholders.com/wp-content/uploads/2020/10/2022-T24-Final-CASE-Report_Reduce-Infiltration.pdf"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www.streivor.com/wp-content/uploads/2020/11/CKV-Design-Guide-1-Selecting-and-Sizing-Exhaust-Hoods.pdf"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4.bin"/><Relationship Id="rId1" Type="http://schemas.openxmlformats.org/officeDocument/2006/relationships/hyperlink" Target="https://caenergywise.com/design-guides/hot-water/Technical_Design_Guide.pdf"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hyperlink" Target="https://portfoliomanager.energystar.gov/pm/targetFinder?execution=e1s1" TargetMode="External"/><Relationship Id="rId1" Type="http://schemas.openxmlformats.org/officeDocument/2006/relationships/hyperlink" Target="https://www.eia.gov/consumption/commercial/pba/food-service.php"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65BDF-3C17-4869-B954-111AEEDC46EB}">
  <sheetPr codeName="Sheet4"/>
  <dimension ref="A1:E142"/>
  <sheetViews>
    <sheetView zoomScaleNormal="100" workbookViewId="0">
      <selection sqref="A1:C1"/>
    </sheetView>
  </sheetViews>
  <sheetFormatPr defaultColWidth="9.33203125" defaultRowHeight="13.2" x14ac:dyDescent="0.25"/>
  <cols>
    <col min="1" max="1" width="20.33203125" style="57" customWidth="1"/>
    <col min="2" max="2" width="99.109375" style="57" customWidth="1"/>
    <col min="3" max="3" width="39.6640625" style="57" customWidth="1"/>
    <col min="4" max="4" width="9.33203125" style="57"/>
    <col min="5" max="5" width="21.6640625" style="57" customWidth="1"/>
    <col min="6" max="6" width="10.6640625" style="57" customWidth="1"/>
    <col min="7" max="7" width="9.6640625" style="57" customWidth="1"/>
    <col min="8" max="8" width="9.6640625" style="57" bestFit="1" customWidth="1"/>
    <col min="9" max="9" width="12.44140625" style="57" customWidth="1"/>
    <col min="10" max="10" width="9.33203125" style="57"/>
    <col min="11" max="11" width="12.5546875" style="57" customWidth="1"/>
    <col min="12" max="16384" width="9.33203125" style="57"/>
  </cols>
  <sheetData>
    <row r="1" spans="1:4" ht="20.399999999999999" customHeight="1" x14ac:dyDescent="0.25">
      <c r="A1" s="798" t="s">
        <v>0</v>
      </c>
      <c r="B1" s="798"/>
      <c r="C1" s="798"/>
    </row>
    <row r="2" spans="1:4" x14ac:dyDescent="0.25">
      <c r="A2" s="797" t="s">
        <v>1</v>
      </c>
      <c r="B2" s="57" t="s">
        <v>2</v>
      </c>
      <c r="C2" s="740"/>
      <c r="D2" s="57" t="s">
        <v>3</v>
      </c>
    </row>
    <row r="3" spans="1:4" x14ac:dyDescent="0.25">
      <c r="A3" s="797"/>
      <c r="B3" s="57" t="s">
        <v>4</v>
      </c>
      <c r="C3" s="740"/>
      <c r="D3" s="57" t="s">
        <v>3</v>
      </c>
    </row>
    <row r="4" spans="1:4" x14ac:dyDescent="0.25">
      <c r="A4" s="797"/>
      <c r="B4" s="57" t="s">
        <v>5</v>
      </c>
      <c r="C4" s="740"/>
      <c r="D4" s="57" t="s">
        <v>3</v>
      </c>
    </row>
    <row r="5" spans="1:4" x14ac:dyDescent="0.25">
      <c r="A5" s="797"/>
      <c r="B5" s="57" t="s">
        <v>6</v>
      </c>
      <c r="C5" s="740"/>
      <c r="D5" s="57" t="s">
        <v>3</v>
      </c>
    </row>
    <row r="6" spans="1:4" ht="14.4" x14ac:dyDescent="0.3">
      <c r="A6" s="797" t="s">
        <v>7</v>
      </c>
      <c r="B6" s="57" t="s">
        <v>8</v>
      </c>
      <c r="C6" s="237" t="s">
        <v>9</v>
      </c>
      <c r="D6" s="57" t="s">
        <v>3</v>
      </c>
    </row>
    <row r="7" spans="1:4" ht="14.4" x14ac:dyDescent="0.3">
      <c r="A7" s="797"/>
      <c r="B7" s="57" t="s">
        <v>10</v>
      </c>
      <c r="C7" s="237" t="s">
        <v>11</v>
      </c>
      <c r="D7" s="57" t="s">
        <v>3</v>
      </c>
    </row>
    <row r="8" spans="1:4" ht="14.4" x14ac:dyDescent="0.3">
      <c r="A8" s="797"/>
      <c r="B8" s="57" t="s">
        <v>12</v>
      </c>
      <c r="C8" s="237" t="s">
        <v>13</v>
      </c>
      <c r="D8" s="57" t="s">
        <v>3</v>
      </c>
    </row>
    <row r="9" spans="1:4" ht="14.4" x14ac:dyDescent="0.3">
      <c r="A9" s="797"/>
      <c r="C9" s="237"/>
      <c r="D9" s="57" t="s">
        <v>3</v>
      </c>
    </row>
    <row r="10" spans="1:4" x14ac:dyDescent="0.25">
      <c r="A10" s="797" t="s">
        <v>14</v>
      </c>
      <c r="B10" s="57" t="s">
        <v>15</v>
      </c>
      <c r="C10" s="740"/>
      <c r="D10" s="57" t="s">
        <v>3</v>
      </c>
    </row>
    <row r="11" spans="1:4" x14ac:dyDescent="0.25">
      <c r="A11" s="797"/>
      <c r="B11" s="57" t="s">
        <v>16</v>
      </c>
      <c r="C11" s="740"/>
      <c r="D11" s="57" t="s">
        <v>3</v>
      </c>
    </row>
    <row r="12" spans="1:4" ht="14.4" x14ac:dyDescent="0.3">
      <c r="A12" s="797"/>
      <c r="B12" s="141" t="s">
        <v>17</v>
      </c>
      <c r="C12" s="237" t="s">
        <v>18</v>
      </c>
      <c r="D12" s="57" t="s">
        <v>3</v>
      </c>
    </row>
    <row r="13" spans="1:4" ht="14.4" x14ac:dyDescent="0.3">
      <c r="A13" s="797"/>
      <c r="B13" s="141" t="s">
        <v>19</v>
      </c>
      <c r="C13" s="237" t="s">
        <v>20</v>
      </c>
      <c r="D13" s="57" t="s">
        <v>3</v>
      </c>
    </row>
    <row r="14" spans="1:4" ht="14.4" x14ac:dyDescent="0.3">
      <c r="A14" s="797"/>
      <c r="B14" s="141" t="s">
        <v>21</v>
      </c>
      <c r="C14" s="237" t="s">
        <v>22</v>
      </c>
      <c r="D14" s="57" t="s">
        <v>3</v>
      </c>
    </row>
    <row r="15" spans="1:4" x14ac:dyDescent="0.25">
      <c r="A15" s="797"/>
      <c r="C15" s="740"/>
      <c r="D15" s="57" t="s">
        <v>3</v>
      </c>
    </row>
    <row r="16" spans="1:4" ht="12.75" customHeight="1" x14ac:dyDescent="0.25">
      <c r="A16" s="797" t="s">
        <v>23</v>
      </c>
      <c r="B16" s="183" t="s">
        <v>24</v>
      </c>
      <c r="C16" s="183"/>
      <c r="D16" s="57" t="s">
        <v>3</v>
      </c>
    </row>
    <row r="17" spans="1:5" ht="14.4" x14ac:dyDescent="0.3">
      <c r="A17" s="797"/>
      <c r="B17" s="183" t="s">
        <v>25</v>
      </c>
      <c r="C17" s="237" t="s">
        <v>26</v>
      </c>
      <c r="D17" s="57" t="s">
        <v>3</v>
      </c>
    </row>
    <row r="18" spans="1:5" ht="12.75" customHeight="1" x14ac:dyDescent="0.3">
      <c r="A18" s="797"/>
      <c r="B18" s="129" t="s">
        <v>27</v>
      </c>
      <c r="C18" s="237" t="s">
        <v>28</v>
      </c>
      <c r="D18" s="57" t="s">
        <v>3</v>
      </c>
    </row>
    <row r="19" spans="1:5" ht="12.75" customHeight="1" x14ac:dyDescent="0.3">
      <c r="A19" s="797"/>
      <c r="B19" s="57" t="s">
        <v>29</v>
      </c>
      <c r="C19" s="237" t="s">
        <v>30</v>
      </c>
      <c r="D19" s="57" t="s">
        <v>3</v>
      </c>
    </row>
    <row r="20" spans="1:5" ht="12.75" customHeight="1" x14ac:dyDescent="0.3">
      <c r="A20" s="797"/>
      <c r="B20" s="57" t="s">
        <v>31</v>
      </c>
      <c r="C20" s="237" t="s">
        <v>32</v>
      </c>
      <c r="D20" s="57" t="s">
        <v>3</v>
      </c>
    </row>
    <row r="21" spans="1:5" ht="12.75" customHeight="1" x14ac:dyDescent="0.3">
      <c r="A21" s="797"/>
      <c r="B21" s="57" t="s">
        <v>33</v>
      </c>
      <c r="C21" s="238" t="s">
        <v>34</v>
      </c>
      <c r="D21" s="57" t="s">
        <v>3</v>
      </c>
    </row>
    <row r="22" spans="1:5" ht="28.2" customHeight="1" x14ac:dyDescent="0.25">
      <c r="A22" s="797"/>
      <c r="B22" s="611" t="s">
        <v>35</v>
      </c>
      <c r="C22" s="612" t="s">
        <v>36</v>
      </c>
      <c r="D22" s="57" t="s">
        <v>3</v>
      </c>
    </row>
    <row r="23" spans="1:5" ht="31.95" customHeight="1" x14ac:dyDescent="0.25">
      <c r="A23" s="797"/>
      <c r="B23" s="62" t="s">
        <v>37</v>
      </c>
      <c r="C23" s="562" t="s">
        <v>38</v>
      </c>
      <c r="D23" s="60" t="s">
        <v>3</v>
      </c>
    </row>
    <row r="24" spans="1:5" ht="29.4" customHeight="1" x14ac:dyDescent="0.25">
      <c r="A24" s="797"/>
      <c r="B24" s="62" t="s">
        <v>39</v>
      </c>
      <c r="C24" s="108" t="s">
        <v>40</v>
      </c>
      <c r="D24" s="60" t="s">
        <v>3</v>
      </c>
    </row>
    <row r="25" spans="1:5" ht="29.4" customHeight="1" x14ac:dyDescent="0.25">
      <c r="A25" s="797"/>
      <c r="B25" s="62" t="s">
        <v>41</v>
      </c>
      <c r="C25" s="108" t="s">
        <v>42</v>
      </c>
      <c r="D25" s="60" t="s">
        <v>3</v>
      </c>
    </row>
    <row r="26" spans="1:5" x14ac:dyDescent="0.25">
      <c r="A26" s="797"/>
      <c r="B26" s="130" t="s">
        <v>43</v>
      </c>
      <c r="C26" s="610" t="s">
        <v>44</v>
      </c>
      <c r="D26" s="610" t="s">
        <v>3</v>
      </c>
      <c r="E26" s="610"/>
    </row>
    <row r="27" spans="1:5" x14ac:dyDescent="0.25">
      <c r="A27" s="797"/>
      <c r="B27" s="130" t="s">
        <v>45</v>
      </c>
      <c r="C27" s="610" t="s">
        <v>46</v>
      </c>
      <c r="D27" s="610" t="s">
        <v>3</v>
      </c>
      <c r="E27" s="610"/>
    </row>
    <row r="28" spans="1:5" x14ac:dyDescent="0.25">
      <c r="A28" s="797"/>
      <c r="B28" s="130" t="s">
        <v>47</v>
      </c>
      <c r="C28" s="610" t="s">
        <v>48</v>
      </c>
      <c r="D28" s="610" t="s">
        <v>3</v>
      </c>
      <c r="E28" s="610"/>
    </row>
    <row r="29" spans="1:5" ht="13.8" x14ac:dyDescent="0.3">
      <c r="A29" s="746"/>
      <c r="C29" s="592"/>
      <c r="D29" s="57" t="s">
        <v>3</v>
      </c>
    </row>
    <row r="30" spans="1:5" ht="13.8" x14ac:dyDescent="0.3">
      <c r="A30" s="746"/>
      <c r="C30" s="592"/>
    </row>
    <row r="31" spans="1:5" ht="13.8" x14ac:dyDescent="0.3">
      <c r="A31" s="746"/>
      <c r="C31" s="592"/>
    </row>
    <row r="32" spans="1:5" ht="16.8" x14ac:dyDescent="0.3">
      <c r="A32" s="591"/>
      <c r="C32" s="592"/>
    </row>
    <row r="33" spans="1:5" ht="16.8" x14ac:dyDescent="0.3">
      <c r="A33" s="591"/>
      <c r="C33" s="592"/>
    </row>
    <row r="34" spans="1:5" ht="16.8" x14ac:dyDescent="0.3">
      <c r="A34" s="591"/>
      <c r="C34" s="592"/>
    </row>
    <row r="35" spans="1:5" ht="16.8" x14ac:dyDescent="0.3">
      <c r="A35" s="591"/>
      <c r="C35" s="592"/>
    </row>
    <row r="36" spans="1:5" ht="16.8" x14ac:dyDescent="0.3">
      <c r="A36" s="591"/>
      <c r="C36" s="592"/>
    </row>
    <row r="37" spans="1:5" x14ac:dyDescent="0.25">
      <c r="C37" s="740"/>
    </row>
    <row r="38" spans="1:5" x14ac:dyDescent="0.25">
      <c r="C38" s="740"/>
    </row>
    <row r="39" spans="1:5" x14ac:dyDescent="0.25">
      <c r="C39" s="740"/>
    </row>
    <row r="40" spans="1:5" x14ac:dyDescent="0.25">
      <c r="C40" s="740"/>
    </row>
    <row r="41" spans="1:5" x14ac:dyDescent="0.25">
      <c r="C41" s="740"/>
    </row>
    <row r="42" spans="1:5" x14ac:dyDescent="0.25">
      <c r="C42" s="740"/>
    </row>
    <row r="43" spans="1:5" x14ac:dyDescent="0.25">
      <c r="C43" s="740"/>
    </row>
    <row r="44" spans="1:5" x14ac:dyDescent="0.25">
      <c r="C44" s="740"/>
    </row>
    <row r="45" spans="1:5" ht="19.2" customHeight="1" x14ac:dyDescent="0.25">
      <c r="A45" s="798" t="s">
        <v>49</v>
      </c>
      <c r="B45" s="798"/>
      <c r="C45" s="798"/>
    </row>
    <row r="46" spans="1:5" ht="34.200000000000003" customHeight="1" x14ac:dyDescent="0.25">
      <c r="A46" s="60" t="s">
        <v>50</v>
      </c>
      <c r="B46" s="800" t="s">
        <v>51</v>
      </c>
      <c r="C46" s="800"/>
      <c r="E46" s="746"/>
    </row>
    <row r="47" spans="1:5" x14ac:dyDescent="0.25">
      <c r="A47" s="61"/>
      <c r="B47" s="799"/>
      <c r="C47" s="799"/>
      <c r="E47" s="746"/>
    </row>
    <row r="49" spans="1:2" ht="14.4" x14ac:dyDescent="0.3">
      <c r="A49" s="57" t="s">
        <v>52</v>
      </c>
      <c r="B49" s="184" t="s">
        <v>53</v>
      </c>
    </row>
    <row r="80" spans="2:3" hidden="1" x14ac:dyDescent="0.25">
      <c r="B80" s="796" t="s">
        <v>54</v>
      </c>
      <c r="C80" s="796"/>
    </row>
    <row r="81" spans="1:3" hidden="1" x14ac:dyDescent="0.25">
      <c r="A81" s="113" t="s">
        <v>55</v>
      </c>
      <c r="B81" s="121" t="s">
        <v>56</v>
      </c>
      <c r="C81" s="121" t="s">
        <v>57</v>
      </c>
    </row>
    <row r="82" spans="1:3" hidden="1" x14ac:dyDescent="0.25">
      <c r="A82" s="122">
        <v>1967</v>
      </c>
      <c r="B82" s="119">
        <v>5361.9</v>
      </c>
      <c r="C82" s="57">
        <v>152</v>
      </c>
    </row>
    <row r="83" spans="1:3" hidden="1" x14ac:dyDescent="0.25">
      <c r="A83" s="122">
        <v>1968</v>
      </c>
      <c r="B83" s="119">
        <v>8270.9999999999982</v>
      </c>
      <c r="C83" s="57">
        <v>452</v>
      </c>
    </row>
    <row r="84" spans="1:3" hidden="1" x14ac:dyDescent="0.25">
      <c r="A84" s="122">
        <v>1969</v>
      </c>
      <c r="B84" s="119">
        <v>13593.6</v>
      </c>
      <c r="C84" s="57">
        <v>655</v>
      </c>
    </row>
    <row r="85" spans="1:3" hidden="1" x14ac:dyDescent="0.25">
      <c r="A85" s="122">
        <v>1970</v>
      </c>
      <c r="B85" s="119">
        <v>14323.700000000006</v>
      </c>
      <c r="C85" s="57">
        <v>601</v>
      </c>
    </row>
    <row r="86" spans="1:3" hidden="1" x14ac:dyDescent="0.25">
      <c r="A86" s="122">
        <v>1971</v>
      </c>
      <c r="B86" s="119">
        <v>13719.800000000003</v>
      </c>
      <c r="C86" s="57">
        <v>592</v>
      </c>
    </row>
    <row r="87" spans="1:3" hidden="1" x14ac:dyDescent="0.25">
      <c r="A87" s="122">
        <v>1972</v>
      </c>
      <c r="B87" s="119">
        <v>16513.900000000001</v>
      </c>
      <c r="C87" s="57">
        <v>687</v>
      </c>
    </row>
    <row r="88" spans="1:3" hidden="1" x14ac:dyDescent="0.25">
      <c r="A88" s="122">
        <v>1973</v>
      </c>
      <c r="B88" s="119">
        <v>27619.599999999988</v>
      </c>
      <c r="C88" s="57">
        <v>920</v>
      </c>
    </row>
    <row r="89" spans="1:3" hidden="1" x14ac:dyDescent="0.25">
      <c r="A89" s="122">
        <v>1974</v>
      </c>
      <c r="B89" s="119">
        <v>26732.000000000015</v>
      </c>
      <c r="C89" s="57">
        <v>804</v>
      </c>
    </row>
    <row r="90" spans="1:3" hidden="1" x14ac:dyDescent="0.25">
      <c r="A90" s="122">
        <v>1975</v>
      </c>
      <c r="B90" s="119">
        <v>13654.600000000019</v>
      </c>
      <c r="C90" s="57">
        <v>710</v>
      </c>
    </row>
    <row r="91" spans="1:3" hidden="1" x14ac:dyDescent="0.25">
      <c r="A91" s="122">
        <v>1976</v>
      </c>
      <c r="B91" s="119">
        <v>19608.399999999991</v>
      </c>
      <c r="C91" s="57">
        <v>853</v>
      </c>
    </row>
    <row r="92" spans="1:3" hidden="1" x14ac:dyDescent="0.25">
      <c r="A92" s="123">
        <v>1977</v>
      </c>
      <c r="B92" s="120">
        <v>29745.300000000007</v>
      </c>
      <c r="C92" s="118">
        <v>1055</v>
      </c>
    </row>
    <row r="93" spans="1:3" hidden="1" x14ac:dyDescent="0.25">
      <c r="A93" s="122">
        <v>1978</v>
      </c>
      <c r="B93" s="119">
        <v>40044.400000000052</v>
      </c>
      <c r="C93" s="57">
        <v>1359</v>
      </c>
    </row>
    <row r="94" spans="1:3" hidden="1" x14ac:dyDescent="0.25">
      <c r="A94" s="124">
        <v>1979</v>
      </c>
      <c r="B94" s="119">
        <v>40268.500000000015</v>
      </c>
      <c r="C94" s="57">
        <v>1053</v>
      </c>
    </row>
    <row r="95" spans="1:3" hidden="1" x14ac:dyDescent="0.25">
      <c r="A95" s="124">
        <v>1980</v>
      </c>
      <c r="B95" s="119">
        <v>26862.200000000019</v>
      </c>
      <c r="C95" s="57">
        <v>851</v>
      </c>
    </row>
    <row r="96" spans="1:3" hidden="1" x14ac:dyDescent="0.25">
      <c r="A96" s="122">
        <v>1981</v>
      </c>
      <c r="B96" s="119">
        <v>21498.200000000004</v>
      </c>
      <c r="C96" s="57">
        <v>812</v>
      </c>
    </row>
    <row r="97" spans="1:3" hidden="1" x14ac:dyDescent="0.25">
      <c r="A97" s="122">
        <v>1982</v>
      </c>
      <c r="B97" s="119">
        <v>14017.9</v>
      </c>
      <c r="C97" s="57">
        <v>606</v>
      </c>
    </row>
    <row r="98" spans="1:3" hidden="1" x14ac:dyDescent="0.25">
      <c r="A98" s="122">
        <v>1983</v>
      </c>
      <c r="B98" s="119">
        <v>19364.400000000012</v>
      </c>
      <c r="C98" s="57">
        <v>880</v>
      </c>
    </row>
    <row r="99" spans="1:3" hidden="1" x14ac:dyDescent="0.25">
      <c r="A99" s="122">
        <v>1984</v>
      </c>
      <c r="B99" s="119">
        <v>31271.700000000041</v>
      </c>
      <c r="C99" s="57">
        <v>1271</v>
      </c>
    </row>
    <row r="100" spans="1:3" hidden="1" x14ac:dyDescent="0.25">
      <c r="A100" s="122">
        <v>1985</v>
      </c>
      <c r="B100" s="119">
        <v>44833.100000000057</v>
      </c>
      <c r="C100" s="57">
        <v>1461</v>
      </c>
    </row>
    <row r="101" spans="1:3" hidden="1" x14ac:dyDescent="0.25">
      <c r="A101" s="122">
        <v>1986</v>
      </c>
      <c r="B101" s="119">
        <v>46291.200000000019</v>
      </c>
      <c r="C101" s="57">
        <v>1382</v>
      </c>
    </row>
    <row r="102" spans="1:3" hidden="1" x14ac:dyDescent="0.25">
      <c r="A102" s="122">
        <v>1987</v>
      </c>
      <c r="B102" s="119">
        <v>46613.600000000064</v>
      </c>
      <c r="C102" s="57">
        <v>1265</v>
      </c>
    </row>
    <row r="103" spans="1:3" hidden="1" x14ac:dyDescent="0.25">
      <c r="A103" s="122">
        <v>1988</v>
      </c>
      <c r="B103" s="119">
        <v>50555.200000000048</v>
      </c>
      <c r="C103" s="57">
        <v>1237</v>
      </c>
    </row>
    <row r="104" spans="1:3" hidden="1" x14ac:dyDescent="0.25">
      <c r="A104" s="122">
        <v>1989</v>
      </c>
      <c r="B104" s="119">
        <v>48019.100000000035</v>
      </c>
      <c r="C104" s="57">
        <v>1233</v>
      </c>
    </row>
    <row r="105" spans="1:3" hidden="1" x14ac:dyDescent="0.25">
      <c r="A105" s="122">
        <v>1990</v>
      </c>
      <c r="B105" s="119">
        <v>37809.799999999996</v>
      </c>
      <c r="C105" s="57">
        <v>1111</v>
      </c>
    </row>
    <row r="106" spans="1:3" hidden="1" x14ac:dyDescent="0.25">
      <c r="A106" s="122">
        <v>1991</v>
      </c>
      <c r="B106" s="119">
        <v>20082.399999999983</v>
      </c>
      <c r="C106" s="57">
        <v>768</v>
      </c>
    </row>
    <row r="107" spans="1:3" hidden="1" x14ac:dyDescent="0.25">
      <c r="A107" s="122">
        <v>1992</v>
      </c>
      <c r="B107" s="119">
        <v>11010.900000000014</v>
      </c>
      <c r="C107" s="57">
        <v>426</v>
      </c>
    </row>
    <row r="108" spans="1:3" hidden="1" x14ac:dyDescent="0.25">
      <c r="A108" s="122">
        <v>1993</v>
      </c>
      <c r="B108" s="119">
        <v>7511.1999999999962</v>
      </c>
      <c r="C108" s="57">
        <v>470</v>
      </c>
    </row>
    <row r="109" spans="1:3" hidden="1" x14ac:dyDescent="0.25">
      <c r="A109" s="122">
        <v>1994</v>
      </c>
      <c r="B109" s="119">
        <v>11961.3</v>
      </c>
      <c r="C109" s="57">
        <v>465</v>
      </c>
    </row>
    <row r="110" spans="1:3" hidden="1" x14ac:dyDescent="0.25">
      <c r="A110" s="122">
        <v>1995</v>
      </c>
      <c r="B110" s="119">
        <v>13270.899999999998</v>
      </c>
      <c r="C110" s="57">
        <v>521</v>
      </c>
    </row>
    <row r="111" spans="1:3" hidden="1" x14ac:dyDescent="0.25">
      <c r="A111" s="122">
        <v>1996</v>
      </c>
      <c r="B111" s="119">
        <v>20653.800000000003</v>
      </c>
      <c r="C111" s="57">
        <v>570</v>
      </c>
    </row>
    <row r="112" spans="1:3" hidden="1" x14ac:dyDescent="0.25">
      <c r="A112" s="123">
        <v>1997</v>
      </c>
      <c r="B112" s="120">
        <v>27588.899999999998</v>
      </c>
      <c r="C112" s="118">
        <v>407</v>
      </c>
    </row>
    <row r="113" spans="1:3" hidden="1" x14ac:dyDescent="0.25">
      <c r="A113" s="122">
        <v>1998</v>
      </c>
      <c r="B113" s="119">
        <v>41631.299999999974</v>
      </c>
      <c r="C113" s="57">
        <v>476</v>
      </c>
    </row>
    <row r="114" spans="1:3" hidden="1" x14ac:dyDescent="0.25">
      <c r="A114" s="122">
        <v>1999</v>
      </c>
      <c r="B114" s="119">
        <v>48039.599999999969</v>
      </c>
      <c r="C114" s="57">
        <v>533</v>
      </c>
    </row>
    <row r="115" spans="1:3" hidden="1" x14ac:dyDescent="0.25">
      <c r="A115" s="122">
        <v>2000</v>
      </c>
      <c r="B115" s="119">
        <v>52612.199999999968</v>
      </c>
      <c r="C115" s="57">
        <v>500</v>
      </c>
    </row>
    <row r="116" spans="1:3" hidden="1" x14ac:dyDescent="0.25">
      <c r="A116" s="122">
        <v>2001</v>
      </c>
      <c r="B116" s="119">
        <v>40337.200000000026</v>
      </c>
      <c r="C116" s="57">
        <v>432</v>
      </c>
    </row>
    <row r="117" spans="1:3" hidden="1" x14ac:dyDescent="0.25">
      <c r="A117" s="122">
        <v>2002</v>
      </c>
      <c r="B117" s="119">
        <v>33147.200000000004</v>
      </c>
      <c r="C117" s="57">
        <v>399</v>
      </c>
    </row>
    <row r="118" spans="1:3" hidden="1" x14ac:dyDescent="0.25">
      <c r="A118" s="122">
        <v>2003</v>
      </c>
      <c r="B118" s="119">
        <v>30982.799999999977</v>
      </c>
      <c r="C118" s="57">
        <v>398</v>
      </c>
    </row>
    <row r="119" spans="1:3" hidden="1" x14ac:dyDescent="0.25">
      <c r="A119" s="122">
        <v>2004</v>
      </c>
      <c r="B119" s="119">
        <v>29560.799999999985</v>
      </c>
      <c r="C119" s="57">
        <v>417</v>
      </c>
    </row>
    <row r="120" spans="1:3" hidden="1" x14ac:dyDescent="0.25">
      <c r="A120" s="122">
        <v>2005</v>
      </c>
      <c r="B120" s="119">
        <v>27484.099999999995</v>
      </c>
      <c r="C120" s="57">
        <v>347</v>
      </c>
    </row>
    <row r="121" spans="1:3" hidden="1" x14ac:dyDescent="0.25">
      <c r="A121" s="122">
        <v>2006</v>
      </c>
      <c r="B121" s="119">
        <v>25891.899999999983</v>
      </c>
      <c r="C121" s="57">
        <v>299</v>
      </c>
    </row>
    <row r="122" spans="1:3" hidden="1" x14ac:dyDescent="0.25">
      <c r="A122" s="123">
        <v>2007</v>
      </c>
      <c r="B122" s="120">
        <v>25769.199999999993</v>
      </c>
      <c r="C122" s="118">
        <v>248</v>
      </c>
    </row>
    <row r="123" spans="1:3" hidden="1" x14ac:dyDescent="0.25">
      <c r="A123" s="122">
        <v>2008</v>
      </c>
      <c r="B123" s="119">
        <v>20632.600000000006</v>
      </c>
      <c r="C123" s="57">
        <v>236</v>
      </c>
    </row>
    <row r="124" spans="1:3" hidden="1" x14ac:dyDescent="0.25">
      <c r="A124" s="122">
        <v>2009</v>
      </c>
      <c r="B124" s="119">
        <v>5608</v>
      </c>
      <c r="C124" s="57">
        <v>122</v>
      </c>
    </row>
    <row r="125" spans="1:3" hidden="1" x14ac:dyDescent="0.25">
      <c r="A125" s="122">
        <v>2010</v>
      </c>
      <c r="B125" s="119">
        <v>2602.9</v>
      </c>
      <c r="C125" s="57">
        <v>47</v>
      </c>
    </row>
    <row r="126" spans="1:3" hidden="1" x14ac:dyDescent="0.25">
      <c r="A126" s="122">
        <v>2011</v>
      </c>
      <c r="B126" s="119">
        <v>3617.8999999999996</v>
      </c>
      <c r="C126" s="57">
        <v>36</v>
      </c>
    </row>
    <row r="127" spans="1:3" hidden="1" x14ac:dyDescent="0.25">
      <c r="A127" s="122">
        <v>2012</v>
      </c>
      <c r="B127" s="119">
        <v>8233.2000000000007</v>
      </c>
      <c r="C127" s="57">
        <v>63</v>
      </c>
    </row>
    <row r="128" spans="1:3" hidden="1" x14ac:dyDescent="0.25">
      <c r="A128" s="122">
        <v>2013</v>
      </c>
      <c r="B128" s="119">
        <v>17625.900000000009</v>
      </c>
      <c r="C128" s="57">
        <v>46</v>
      </c>
    </row>
    <row r="129" spans="1:3" hidden="1" x14ac:dyDescent="0.25">
      <c r="A129" s="122">
        <v>2014</v>
      </c>
      <c r="B129" s="119">
        <v>13973.900000000001</v>
      </c>
      <c r="C129" s="57">
        <v>72</v>
      </c>
    </row>
    <row r="130" spans="1:3" hidden="1" x14ac:dyDescent="0.25">
      <c r="A130" s="122">
        <v>2015</v>
      </c>
      <c r="B130" s="119">
        <v>29759.5</v>
      </c>
      <c r="C130" s="57">
        <v>104</v>
      </c>
    </row>
    <row r="131" spans="1:3" hidden="1" x14ac:dyDescent="0.25">
      <c r="A131" s="122">
        <v>2016</v>
      </c>
      <c r="B131" s="119">
        <v>25538.800000000003</v>
      </c>
      <c r="C131" s="57">
        <v>152</v>
      </c>
    </row>
    <row r="132" spans="1:3" hidden="1" x14ac:dyDescent="0.25">
      <c r="A132" s="122">
        <v>2017</v>
      </c>
      <c r="B132" s="119">
        <v>27796.899999999994</v>
      </c>
      <c r="C132" s="57">
        <v>105</v>
      </c>
    </row>
    <row r="133" spans="1:3" hidden="1" x14ac:dyDescent="0.25">
      <c r="A133" s="123">
        <v>2018</v>
      </c>
      <c r="B133" s="120">
        <v>32684.699999999997</v>
      </c>
      <c r="C133" s="118">
        <v>117</v>
      </c>
    </row>
    <row r="134" spans="1:3" hidden="1" x14ac:dyDescent="0.25">
      <c r="A134" s="122">
        <v>2019</v>
      </c>
      <c r="B134" s="119">
        <v>30948.5</v>
      </c>
      <c r="C134" s="57">
        <v>141</v>
      </c>
    </row>
    <row r="135" spans="1:3" hidden="1" x14ac:dyDescent="0.25">
      <c r="A135" s="122">
        <v>2020</v>
      </c>
      <c r="B135" s="119">
        <v>34022.899999999994</v>
      </c>
      <c r="C135" s="57">
        <v>162</v>
      </c>
    </row>
    <row r="136" spans="1:3" hidden="1" x14ac:dyDescent="0.25">
      <c r="A136" s="122">
        <v>2021</v>
      </c>
      <c r="B136" s="119">
        <v>53815</v>
      </c>
      <c r="C136" s="57">
        <v>225</v>
      </c>
    </row>
    <row r="137" spans="1:3" hidden="1" x14ac:dyDescent="0.25">
      <c r="A137" s="122">
        <v>2022</v>
      </c>
      <c r="B137" s="119">
        <v>41442.099999999991</v>
      </c>
      <c r="C137" s="57">
        <v>218</v>
      </c>
    </row>
    <row r="138" spans="1:3" hidden="1" x14ac:dyDescent="0.25">
      <c r="A138" s="123">
        <v>2023</v>
      </c>
      <c r="B138" s="120">
        <v>10975.699999999997</v>
      </c>
      <c r="C138" s="118">
        <v>44</v>
      </c>
    </row>
    <row r="139" spans="1:3" hidden="1" x14ac:dyDescent="0.25"/>
    <row r="142" spans="1:3" x14ac:dyDescent="0.25">
      <c r="A142" s="58" t="s">
        <v>58</v>
      </c>
    </row>
  </sheetData>
  <mergeCells count="9">
    <mergeCell ref="B80:C80"/>
    <mergeCell ref="A2:A5"/>
    <mergeCell ref="A6:A9"/>
    <mergeCell ref="A1:C1"/>
    <mergeCell ref="B47:C47"/>
    <mergeCell ref="A45:C45"/>
    <mergeCell ref="A10:A15"/>
    <mergeCell ref="B46:C46"/>
    <mergeCell ref="A16:A28"/>
  </mergeCells>
  <hyperlinks>
    <hyperlink ref="C6" r:id="rId1" xr:uid="{BE11EEF8-3AF7-48F0-A38B-7309CE5A9491}"/>
    <hyperlink ref="C7" r:id="rId2" location="Commercial" xr:uid="{626A4776-C2FA-489E-88C0-BC9C7C8EA36F}"/>
    <hyperlink ref="C8" r:id="rId3" xr:uid="{0DEB00BB-3A26-4527-9ED4-40D17F93A579}"/>
    <hyperlink ref="C17" r:id="rId4" xr:uid="{C101F69F-EDD8-471F-98DF-28BD71BFA34E}"/>
    <hyperlink ref="C18" r:id="rId5" xr:uid="{C21443C5-174B-48CB-B5FC-BB95D3C23A8F}"/>
    <hyperlink ref="C20" r:id="rId6" xr:uid="{4E61207C-6D7D-460C-9DCB-0AE5748B3693}"/>
    <hyperlink ref="C21" r:id="rId7" xr:uid="{5BC370BB-1BDD-4FB0-B79E-B506D3A772A4}"/>
    <hyperlink ref="C12" r:id="rId8" xr:uid="{4C0AD932-1417-4F37-8CE6-5428F9E95D4D}"/>
    <hyperlink ref="C14" r:id="rId9" xr:uid="{01E16CA6-DE8D-459D-AD1C-DBAD9C8825B5}"/>
    <hyperlink ref="C13" r:id="rId10" xr:uid="{F3B96E39-7573-49D7-89DD-B71DAC94F1EC}"/>
    <hyperlink ref="C19" r:id="rId11" xr:uid="{69576B2E-A9A2-478E-A000-014A867874A5}"/>
    <hyperlink ref="B49" r:id="rId12" display="https://www.eia.gov/consumption/commercial/pba/food-service.php" xr:uid="{775440FD-5C1E-46FB-84FC-8D3732AECB8F}"/>
    <hyperlink ref="C24" r:id="rId13" xr:uid="{D668C4E4-9D9B-4EE5-8E56-7890087F99C8}"/>
    <hyperlink ref="C25" r:id="rId14" xr:uid="{E3024A45-D41A-4512-A67B-89729DACF69E}"/>
    <hyperlink ref="C23" r:id="rId15" xr:uid="{81EADB5F-BA5C-4030-99E4-F8937F748734}"/>
    <hyperlink ref="C26" r:id="rId16" xr:uid="{65519F30-869D-4A70-A09A-7F2548346A57}"/>
    <hyperlink ref="C27" r:id="rId17" xr:uid="{43919B56-8BA2-47E1-8450-55AD68EFD0A6}"/>
    <hyperlink ref="C28" r:id="rId18" xr:uid="{1F5D8D76-AB69-4014-8C93-3ECA455BEA2A}"/>
    <hyperlink ref="C22" r:id="rId19" xr:uid="{018B20AC-0C81-454D-8921-32810662B30D}"/>
  </hyperlinks>
  <pageMargins left="0.7" right="0.7" top="0.75" bottom="0.75" header="0.3" footer="0.3"/>
  <drawing r:id="rId2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2FF8-E67F-4AF9-A6F9-E2B7AE862021}">
  <sheetPr codeName="Sheet1"/>
  <dimension ref="A1:BG150"/>
  <sheetViews>
    <sheetView tabSelected="1" zoomScale="85" zoomScaleNormal="85" workbookViewId="0">
      <selection sqref="A1:C1"/>
    </sheetView>
  </sheetViews>
  <sheetFormatPr defaultColWidth="9.33203125" defaultRowHeight="13.8" x14ac:dyDescent="0.25"/>
  <cols>
    <col min="1" max="1" width="32.109375" style="55" customWidth="1"/>
    <col min="2" max="5" width="49.109375" style="55" customWidth="1"/>
    <col min="6" max="6" width="45.88671875" style="55" customWidth="1"/>
    <col min="7" max="7" width="44.88671875" style="55" customWidth="1"/>
    <col min="8" max="8" width="48.33203125" style="55" customWidth="1"/>
    <col min="9" max="9" width="8.6640625" style="55" customWidth="1"/>
    <col min="10" max="16384" width="9.33203125" style="55"/>
  </cols>
  <sheetData>
    <row r="1" spans="1:9" ht="17.399999999999999" x14ac:dyDescent="0.25">
      <c r="A1" s="1062" t="s">
        <v>1013</v>
      </c>
      <c r="B1" s="1062"/>
      <c r="C1" s="1062"/>
      <c r="D1" s="63"/>
      <c r="E1" s="63"/>
      <c r="F1" s="63"/>
    </row>
    <row r="2" spans="1:9" ht="25.2" customHeight="1" x14ac:dyDescent="0.25">
      <c r="A2" s="781" t="s">
        <v>50</v>
      </c>
      <c r="B2" s="782"/>
      <c r="C2" s="782"/>
      <c r="D2" s="63"/>
      <c r="E2" s="63"/>
      <c r="F2" s="63"/>
    </row>
    <row r="3" spans="1:9" ht="20.399999999999999" customHeight="1" x14ac:dyDescent="0.25">
      <c r="A3" s="65" t="s">
        <v>59</v>
      </c>
      <c r="B3" s="765" t="s">
        <v>60</v>
      </c>
      <c r="C3" s="66" t="s">
        <v>0</v>
      </c>
    </row>
    <row r="4" spans="1:9" ht="16.2" customHeight="1" x14ac:dyDescent="0.25">
      <c r="A4" s="64" t="s">
        <v>61</v>
      </c>
      <c r="B4" s="744" t="s">
        <v>62</v>
      </c>
      <c r="C4" s="64"/>
    </row>
    <row r="5" spans="1:9" ht="16.2" customHeight="1" x14ac:dyDescent="0.25">
      <c r="A5" s="64" t="s">
        <v>63</v>
      </c>
      <c r="B5" s="744" t="s">
        <v>64</v>
      </c>
      <c r="C5" s="64"/>
    </row>
    <row r="6" spans="1:9" ht="16.2" customHeight="1" x14ac:dyDescent="0.25">
      <c r="A6" s="64" t="s">
        <v>65</v>
      </c>
      <c r="B6" s="751" t="s">
        <v>66</v>
      </c>
      <c r="C6" s="64"/>
    </row>
    <row r="7" spans="1:9" ht="82.2" customHeight="1" x14ac:dyDescent="0.25">
      <c r="A7" s="64" t="s">
        <v>67</v>
      </c>
      <c r="B7" s="749" t="s">
        <v>68</v>
      </c>
      <c r="C7" s="615" t="s">
        <v>69</v>
      </c>
      <c r="D7" s="613" t="s">
        <v>36</v>
      </c>
      <c r="E7" s="108" t="s">
        <v>70</v>
      </c>
    </row>
    <row r="8" spans="1:9" ht="97.2" customHeight="1" x14ac:dyDescent="0.25">
      <c r="A8" s="386" t="s">
        <v>71</v>
      </c>
      <c r="B8" s="754"/>
      <c r="C8" s="609" t="s">
        <v>72</v>
      </c>
      <c r="D8" s="117"/>
      <c r="I8" s="56"/>
    </row>
    <row r="9" spans="1:9" ht="19.2" customHeight="1" x14ac:dyDescent="0.25">
      <c r="A9" s="387" t="s">
        <v>73</v>
      </c>
      <c r="B9" s="773" t="s">
        <v>74</v>
      </c>
      <c r="C9" s="609" t="s">
        <v>72</v>
      </c>
    </row>
    <row r="10" spans="1:9" ht="16.2" customHeight="1" x14ac:dyDescent="0.25">
      <c r="A10" s="387" t="s">
        <v>75</v>
      </c>
      <c r="B10" s="382">
        <v>1</v>
      </c>
      <c r="C10" s="609" t="s">
        <v>72</v>
      </c>
    </row>
    <row r="11" spans="1:9" ht="17.399999999999999" customHeight="1" x14ac:dyDescent="0.25">
      <c r="A11" s="388" t="s">
        <v>76</v>
      </c>
      <c r="B11" s="383">
        <v>1</v>
      </c>
      <c r="C11" s="609" t="s">
        <v>72</v>
      </c>
    </row>
    <row r="12" spans="1:9" ht="17.399999999999999" customHeight="1" x14ac:dyDescent="0.25">
      <c r="A12" s="388" t="s">
        <v>77</v>
      </c>
      <c r="B12" s="383" t="s">
        <v>78</v>
      </c>
      <c r="C12" s="609" t="s">
        <v>72</v>
      </c>
      <c r="F12" s="730"/>
    </row>
    <row r="13" spans="1:9" ht="26.4" x14ac:dyDescent="0.25">
      <c r="A13" s="388" t="s">
        <v>79</v>
      </c>
      <c r="B13" s="384" t="s">
        <v>80</v>
      </c>
      <c r="C13" s="609" t="s">
        <v>72</v>
      </c>
      <c r="F13" s="730"/>
    </row>
    <row r="14" spans="1:9" ht="14.7" customHeight="1" x14ac:dyDescent="0.25">
      <c r="A14" s="387" t="s">
        <v>81</v>
      </c>
      <c r="B14" s="385" t="s">
        <v>82</v>
      </c>
      <c r="C14" s="609" t="s">
        <v>72</v>
      </c>
      <c r="F14" s="730"/>
    </row>
    <row r="15" spans="1:9" ht="14.7" customHeight="1" x14ac:dyDescent="0.25">
      <c r="A15" s="387" t="s">
        <v>83</v>
      </c>
      <c r="B15" s="383" t="s">
        <v>84</v>
      </c>
      <c r="C15" s="609" t="s">
        <v>72</v>
      </c>
      <c r="F15" s="730"/>
    </row>
    <row r="16" spans="1:9" ht="16.2" customHeight="1" x14ac:dyDescent="0.25">
      <c r="A16" s="387" t="s">
        <v>85</v>
      </c>
      <c r="B16" s="383">
        <v>10</v>
      </c>
      <c r="C16" s="609" t="s">
        <v>72</v>
      </c>
      <c r="F16" s="730"/>
    </row>
    <row r="17" spans="1:37" x14ac:dyDescent="0.25">
      <c r="A17" s="387" t="s">
        <v>86</v>
      </c>
      <c r="B17" s="753" t="s">
        <v>87</v>
      </c>
      <c r="C17" s="609" t="s">
        <v>72</v>
      </c>
      <c r="F17" s="730"/>
    </row>
    <row r="18" spans="1:37" x14ac:dyDescent="0.25">
      <c r="D18" s="730"/>
      <c r="E18" s="730"/>
      <c r="F18" s="730"/>
    </row>
    <row r="20" spans="1:37" ht="14.7" customHeight="1" x14ac:dyDescent="0.25"/>
    <row r="21" spans="1:37" ht="14.7" customHeight="1" x14ac:dyDescent="0.25"/>
    <row r="22" spans="1:37" ht="14.7" customHeight="1" x14ac:dyDescent="0.25"/>
    <row r="23" spans="1:37" ht="14.7" customHeight="1" x14ac:dyDescent="0.25"/>
    <row r="24" spans="1:37" ht="14.7" customHeight="1" x14ac:dyDescent="0.25"/>
    <row r="25" spans="1:37" ht="14.7" customHeight="1" x14ac:dyDescent="0.25"/>
    <row r="26" spans="1:37" ht="14.7" customHeight="1" x14ac:dyDescent="0.25"/>
    <row r="27" spans="1:37" s="175" customFormat="1" ht="16.95" hidden="1" customHeight="1" x14ac:dyDescent="0.3">
      <c r="A27" s="175" t="s">
        <v>88</v>
      </c>
    </row>
    <row r="28" spans="1:37" s="57" customFormat="1" ht="12.6" hidden="1" customHeight="1" x14ac:dyDescent="0.25">
      <c r="T28" s="78"/>
      <c r="U28" s="98"/>
      <c r="V28" s="99"/>
      <c r="W28" s="99"/>
      <c r="X28" s="99"/>
      <c r="Y28" s="99"/>
      <c r="Z28" s="99"/>
      <c r="AA28" s="99"/>
      <c r="AB28" s="99"/>
      <c r="AC28" s="99"/>
      <c r="AD28" s="99"/>
      <c r="AE28" s="99"/>
      <c r="AF28" s="99"/>
      <c r="AG28" s="99"/>
      <c r="AH28" s="99"/>
      <c r="AI28" s="99"/>
      <c r="AJ28" s="99"/>
      <c r="AK28" s="99"/>
    </row>
    <row r="29" spans="1:37" s="57" customFormat="1" ht="12.6" hidden="1" customHeight="1" x14ac:dyDescent="0.25">
      <c r="A29" s="141" t="s">
        <v>89</v>
      </c>
      <c r="B29" s="239"/>
      <c r="T29" s="78"/>
      <c r="U29" s="98"/>
      <c r="V29" s="99"/>
      <c r="W29" s="99"/>
      <c r="X29" s="99"/>
      <c r="Y29" s="99"/>
      <c r="Z29" s="99"/>
      <c r="AA29" s="99"/>
      <c r="AB29" s="99"/>
      <c r="AC29" s="99"/>
      <c r="AD29" s="99"/>
      <c r="AE29" s="99"/>
      <c r="AF29" s="99"/>
      <c r="AG29" s="99"/>
      <c r="AH29" s="99"/>
      <c r="AI29" s="99"/>
      <c r="AJ29" s="99"/>
      <c r="AK29" s="99"/>
    </row>
    <row r="30" spans="1:37" s="57" customFormat="1" ht="12.6" hidden="1" customHeight="1" x14ac:dyDescent="0.3">
      <c r="A30" s="366"/>
      <c r="B30" s="730"/>
      <c r="T30" s="78"/>
      <c r="U30" s="98"/>
      <c r="V30" s="99"/>
      <c r="W30" s="99"/>
      <c r="X30" s="99"/>
      <c r="Y30" s="99"/>
      <c r="Z30" s="99"/>
      <c r="AA30" s="99"/>
      <c r="AB30" s="99"/>
      <c r="AC30" s="99"/>
      <c r="AD30" s="99"/>
      <c r="AE30" s="99"/>
      <c r="AF30" s="99"/>
      <c r="AG30" s="99"/>
      <c r="AH30" s="99"/>
      <c r="AI30" s="99"/>
      <c r="AJ30" s="99"/>
      <c r="AK30" s="99"/>
    </row>
    <row r="31" spans="1:37" s="57" customFormat="1" ht="12.6" hidden="1" customHeight="1" x14ac:dyDescent="0.25">
      <c r="A31" s="730"/>
      <c r="B31" s="730"/>
      <c r="T31" s="78"/>
      <c r="U31" s="98"/>
      <c r="V31" s="99"/>
      <c r="W31" s="99"/>
      <c r="X31" s="99"/>
      <c r="Y31" s="99"/>
      <c r="Z31" s="99"/>
      <c r="AA31" s="99"/>
      <c r="AB31" s="99"/>
      <c r="AC31" s="99"/>
      <c r="AD31" s="99"/>
      <c r="AE31" s="99"/>
      <c r="AF31" s="99"/>
      <c r="AG31" s="99"/>
      <c r="AH31" s="99"/>
      <c r="AI31" s="99"/>
      <c r="AJ31" s="99"/>
      <c r="AK31" s="99"/>
    </row>
    <row r="32" spans="1:37" s="57" customFormat="1" ht="12.6" hidden="1" customHeight="1" x14ac:dyDescent="0.25">
      <c r="A32" s="239"/>
      <c r="B32" s="730"/>
      <c r="T32" s="78"/>
      <c r="U32" s="98"/>
      <c r="V32" s="99"/>
      <c r="W32" s="99"/>
      <c r="X32" s="99"/>
      <c r="Y32" s="99"/>
      <c r="Z32" s="99"/>
      <c r="AA32" s="99"/>
      <c r="AB32" s="99"/>
      <c r="AC32" s="99"/>
      <c r="AD32" s="99"/>
      <c r="AE32" s="99"/>
      <c r="AF32" s="99"/>
      <c r="AG32" s="99"/>
      <c r="AH32" s="99"/>
      <c r="AI32" s="99"/>
      <c r="AJ32" s="99"/>
      <c r="AK32" s="99"/>
    </row>
    <row r="33" spans="1:59" s="57" customFormat="1" ht="12.6" hidden="1" customHeight="1" x14ac:dyDescent="0.25">
      <c r="A33" s="730"/>
      <c r="B33" s="730"/>
      <c r="T33" s="78"/>
      <c r="U33" s="98"/>
      <c r="V33" s="99"/>
      <c r="W33" s="99"/>
      <c r="X33" s="99"/>
      <c r="Y33" s="99"/>
      <c r="Z33" s="99"/>
      <c r="AA33" s="99"/>
      <c r="AB33" s="99"/>
      <c r="AC33" s="99"/>
      <c r="AD33" s="99"/>
      <c r="AE33" s="99"/>
      <c r="AF33" s="99"/>
      <c r="AG33" s="99"/>
      <c r="AH33" s="99"/>
      <c r="AI33" s="99"/>
      <c r="AJ33" s="99"/>
      <c r="AK33" s="99"/>
    </row>
    <row r="34" spans="1:59" s="57" customFormat="1" ht="12.6" hidden="1" customHeight="1" x14ac:dyDescent="0.25">
      <c r="A34" s="730"/>
      <c r="B34" s="730"/>
      <c r="T34" s="78"/>
      <c r="U34" s="98"/>
      <c r="V34" s="99"/>
      <c r="W34" s="99"/>
      <c r="X34" s="99"/>
      <c r="Y34" s="99"/>
      <c r="Z34" s="99"/>
      <c r="AA34" s="99"/>
      <c r="AB34" s="99"/>
      <c r="AC34" s="99"/>
      <c r="AD34" s="99"/>
      <c r="AE34" s="99"/>
      <c r="AF34" s="99"/>
      <c r="AG34" s="99"/>
      <c r="AH34" s="99"/>
      <c r="AI34" s="99"/>
      <c r="AJ34" s="99"/>
      <c r="AK34" s="99"/>
    </row>
    <row r="35" spans="1:59" s="57" customFormat="1" ht="12.6" hidden="1" customHeight="1" x14ac:dyDescent="0.25">
      <c r="T35" s="78"/>
      <c r="U35" s="98"/>
      <c r="V35" s="99"/>
      <c r="W35" s="99"/>
      <c r="X35" s="99"/>
      <c r="Y35" s="99"/>
      <c r="Z35" s="99"/>
      <c r="AA35" s="99"/>
      <c r="AB35" s="99"/>
      <c r="AC35" s="99"/>
      <c r="AD35" s="99"/>
      <c r="AE35" s="99"/>
      <c r="AF35" s="99"/>
      <c r="AG35" s="99"/>
      <c r="AH35" s="99"/>
      <c r="AI35" s="99"/>
      <c r="AJ35" s="99"/>
      <c r="AK35" s="99"/>
    </row>
    <row r="36" spans="1:59" s="57" customFormat="1" ht="12.6" hidden="1" customHeight="1" x14ac:dyDescent="0.25">
      <c r="T36" s="78"/>
      <c r="U36" s="98"/>
      <c r="V36" s="99"/>
      <c r="W36" s="99"/>
      <c r="X36" s="99"/>
      <c r="Y36" s="99"/>
      <c r="Z36" s="99"/>
      <c r="AA36" s="99"/>
      <c r="AB36" s="99"/>
      <c r="AC36" s="99"/>
      <c r="AD36" s="99"/>
      <c r="AE36" s="99"/>
      <c r="AF36" s="99"/>
      <c r="AG36" s="99"/>
      <c r="AH36" s="99"/>
      <c r="AI36" s="99"/>
      <c r="AJ36" s="99"/>
      <c r="AK36" s="99"/>
    </row>
    <row r="37" spans="1:59" s="57" customFormat="1" ht="12.6" customHeight="1" x14ac:dyDescent="0.25">
      <c r="T37" s="78"/>
      <c r="U37" s="98"/>
      <c r="V37" s="99"/>
      <c r="W37" s="99"/>
      <c r="X37" s="99"/>
      <c r="Y37" s="99"/>
      <c r="Z37" s="99"/>
      <c r="AA37" s="99"/>
      <c r="AB37" s="99"/>
      <c r="AC37" s="99"/>
      <c r="AD37" s="99"/>
      <c r="AE37" s="99"/>
      <c r="AF37" s="99"/>
      <c r="AG37" s="99"/>
      <c r="AH37" s="99"/>
      <c r="AI37" s="99"/>
      <c r="AJ37" s="99"/>
      <c r="AK37" s="99"/>
    </row>
    <row r="38" spans="1:59" s="103" customFormat="1" ht="26.4" customHeight="1" x14ac:dyDescent="0.25">
      <c r="A38" s="614" t="s">
        <v>90</v>
      </c>
      <c r="B38" s="55"/>
      <c r="C38" s="174"/>
      <c r="D38" s="101"/>
      <c r="E38" s="101"/>
      <c r="F38" s="55"/>
      <c r="G38" s="101"/>
      <c r="H38" s="101"/>
      <c r="I38" s="101"/>
      <c r="J38" s="101"/>
      <c r="K38" s="101"/>
      <c r="L38" s="101"/>
      <c r="M38" s="101"/>
      <c r="N38" s="101"/>
      <c r="O38" s="101"/>
      <c r="P38" s="55"/>
      <c r="Q38" s="55"/>
      <c r="R38" s="55"/>
      <c r="S38" s="55"/>
      <c r="T38" s="55"/>
      <c r="U38" s="55"/>
      <c r="V38" s="55"/>
      <c r="W38" s="55"/>
      <c r="X38" s="55"/>
      <c r="Y38" s="55"/>
      <c r="Z38" s="55"/>
      <c r="AA38" s="55"/>
      <c r="AB38" s="55"/>
      <c r="AC38" s="55"/>
      <c r="AD38" s="55"/>
      <c r="AE38" s="55"/>
      <c r="AF38" s="55"/>
      <c r="AG38" s="55"/>
      <c r="AH38" s="55"/>
      <c r="AI38" s="55"/>
      <c r="AJ38" s="55"/>
      <c r="AK38" s="55"/>
      <c r="AL38" s="55"/>
      <c r="AM38" s="55"/>
      <c r="AN38" s="55"/>
      <c r="AO38" s="55"/>
      <c r="AP38" s="55"/>
      <c r="AQ38" s="55"/>
      <c r="AR38" s="55"/>
      <c r="AS38" s="55"/>
      <c r="AT38" s="55"/>
      <c r="AU38" s="55"/>
      <c r="AV38" s="55"/>
      <c r="AW38" s="55"/>
      <c r="AX38" s="55"/>
      <c r="AY38" s="55"/>
      <c r="AZ38" s="55"/>
      <c r="BA38" s="55"/>
      <c r="BB38" s="55"/>
      <c r="BC38" s="55"/>
      <c r="BD38" s="55"/>
      <c r="BE38" s="55"/>
      <c r="BF38" s="55"/>
      <c r="BG38" s="55"/>
    </row>
    <row r="39" spans="1:59" s="103" customFormat="1" ht="14.4" customHeight="1" x14ac:dyDescent="0.25">
      <c r="A39" s="389"/>
      <c r="B39" s="390" t="s">
        <v>91</v>
      </c>
      <c r="C39" s="391" t="s">
        <v>92</v>
      </c>
      <c r="D39" s="392" t="s">
        <v>93</v>
      </c>
      <c r="E39" s="393" t="s">
        <v>94</v>
      </c>
      <c r="F39" s="290"/>
      <c r="G39" s="290"/>
      <c r="H39" s="55"/>
      <c r="I39" s="55"/>
      <c r="J39" s="55"/>
      <c r="K39" s="55"/>
      <c r="L39" s="55"/>
      <c r="M39" s="55"/>
      <c r="N39" s="55"/>
      <c r="O39" s="55"/>
      <c r="P39" s="55"/>
      <c r="Q39" s="55"/>
      <c r="R39" s="55"/>
      <c r="S39" s="55"/>
      <c r="T39" s="55"/>
      <c r="U39" s="55"/>
      <c r="V39" s="55"/>
      <c r="W39" s="55"/>
      <c r="X39" s="55"/>
      <c r="Y39" s="55"/>
      <c r="Z39" s="55"/>
      <c r="AA39" s="55"/>
      <c r="AB39" s="55"/>
      <c r="AC39" s="55"/>
      <c r="AD39" s="55"/>
      <c r="AE39" s="55"/>
      <c r="AF39" s="55"/>
      <c r="AG39" s="55"/>
      <c r="AH39" s="55"/>
      <c r="AI39" s="55"/>
      <c r="AJ39" s="55"/>
      <c r="AK39" s="55"/>
      <c r="AL39" s="55"/>
      <c r="AM39" s="55"/>
      <c r="AN39" s="55"/>
      <c r="AO39" s="55"/>
      <c r="AP39" s="55"/>
      <c r="AQ39" s="55"/>
      <c r="AR39" s="55"/>
      <c r="AS39" s="55"/>
      <c r="AT39" s="55"/>
      <c r="AU39" s="55"/>
      <c r="AV39" s="55"/>
      <c r="AW39" s="55"/>
      <c r="AX39" s="55"/>
      <c r="AY39" s="55"/>
      <c r="AZ39" s="55"/>
      <c r="BA39" s="55"/>
      <c r="BB39" s="55"/>
      <c r="BC39" s="55"/>
      <c r="BD39" s="55"/>
      <c r="BE39" s="55"/>
      <c r="BF39" s="55"/>
      <c r="BG39" s="55"/>
    </row>
    <row r="40" spans="1:59" s="103" customFormat="1" ht="127.2" customHeight="1" x14ac:dyDescent="0.25">
      <c r="A40" s="394" t="s">
        <v>95</v>
      </c>
      <c r="B40" s="395" t="s">
        <v>96</v>
      </c>
      <c r="C40" s="395" t="s">
        <v>91</v>
      </c>
      <c r="D40" s="395" t="s">
        <v>91</v>
      </c>
      <c r="E40" s="395"/>
      <c r="F40" s="291"/>
      <c r="G40" s="57"/>
      <c r="H40" s="55"/>
      <c r="I40" s="55"/>
      <c r="J40" s="55"/>
      <c r="K40" s="55"/>
      <c r="L40" s="55"/>
      <c r="M40" s="55"/>
      <c r="N40" s="55"/>
      <c r="O40" s="55"/>
      <c r="P40" s="55"/>
      <c r="Q40" s="55"/>
      <c r="R40" s="55"/>
      <c r="S40" s="55"/>
      <c r="T40" s="55"/>
      <c r="U40" s="55"/>
      <c r="V40" s="55"/>
      <c r="W40" s="55"/>
      <c r="X40" s="55"/>
      <c r="Y40" s="55"/>
      <c r="Z40" s="55"/>
      <c r="AA40" s="55"/>
      <c r="AB40" s="55"/>
      <c r="AC40" s="55"/>
      <c r="AD40" s="55"/>
      <c r="AE40" s="55"/>
      <c r="AF40" s="55"/>
      <c r="AG40" s="55"/>
      <c r="AH40" s="55"/>
      <c r="AI40" s="55"/>
      <c r="AJ40" s="55"/>
      <c r="AK40" s="55"/>
      <c r="AL40" s="55"/>
      <c r="AM40" s="55"/>
      <c r="AN40" s="55"/>
      <c r="AO40" s="55"/>
      <c r="AP40" s="55"/>
      <c r="AQ40" s="55"/>
      <c r="AR40" s="55"/>
      <c r="AS40" s="55"/>
      <c r="AT40" s="55"/>
      <c r="AU40" s="55"/>
      <c r="AV40" s="55"/>
      <c r="AW40" s="55"/>
      <c r="AX40" s="55"/>
      <c r="AY40" s="55"/>
      <c r="AZ40" s="55"/>
      <c r="BA40" s="55"/>
      <c r="BB40" s="55"/>
      <c r="BC40" s="55"/>
      <c r="BD40" s="55"/>
      <c r="BE40" s="55"/>
      <c r="BF40" s="55"/>
      <c r="BG40" s="55"/>
    </row>
    <row r="41" spans="1:59" s="103" customFormat="1" ht="19.2" customHeight="1" x14ac:dyDescent="0.25">
      <c r="A41" s="396" t="s">
        <v>97</v>
      </c>
      <c r="B41" s="451" t="s">
        <v>98</v>
      </c>
      <c r="C41" s="425">
        <v>2500</v>
      </c>
      <c r="D41" s="425">
        <v>2500</v>
      </c>
      <c r="E41" s="425">
        <v>1998</v>
      </c>
      <c r="F41" s="292"/>
      <c r="G41" s="293"/>
      <c r="H41" s="55"/>
      <c r="I41" s="55"/>
      <c r="J41" s="55"/>
      <c r="K41" s="55"/>
      <c r="L41" s="55"/>
      <c r="M41" s="55"/>
      <c r="N41" s="55"/>
      <c r="O41" s="55"/>
      <c r="P41" s="55"/>
      <c r="Q41" s="55"/>
      <c r="R41" s="55"/>
      <c r="S41" s="55"/>
      <c r="T41" s="55"/>
      <c r="U41" s="55"/>
      <c r="V41" s="55"/>
      <c r="W41" s="55"/>
      <c r="X41" s="55"/>
      <c r="Y41" s="55"/>
      <c r="Z41" s="55"/>
      <c r="AA41" s="55"/>
      <c r="AB41" s="55"/>
      <c r="AC41" s="55"/>
      <c r="AD41" s="55"/>
      <c r="AE41" s="55"/>
      <c r="AF41" s="55"/>
      <c r="AG41" s="55"/>
      <c r="AH41" s="55"/>
      <c r="AI41" s="55"/>
      <c r="AJ41" s="55"/>
      <c r="AK41" s="55"/>
      <c r="AL41" s="55"/>
      <c r="AM41" s="55"/>
      <c r="AN41" s="55"/>
      <c r="AO41" s="55"/>
      <c r="AP41" s="55"/>
      <c r="AQ41" s="55"/>
      <c r="AR41" s="55"/>
      <c r="AS41" s="55"/>
      <c r="AT41" s="55"/>
      <c r="AU41" s="55"/>
      <c r="AV41" s="55"/>
      <c r="AW41" s="55"/>
      <c r="AX41" s="55"/>
      <c r="AY41" s="55"/>
      <c r="AZ41" s="55"/>
      <c r="BA41" s="55"/>
      <c r="BB41" s="55"/>
      <c r="BC41" s="55"/>
      <c r="BD41" s="55"/>
      <c r="BE41" s="55"/>
      <c r="BF41" s="55"/>
      <c r="BG41" s="55"/>
    </row>
    <row r="42" spans="1:59" s="103" customFormat="1" ht="18" customHeight="1" x14ac:dyDescent="0.25">
      <c r="A42" s="397" t="s">
        <v>99</v>
      </c>
      <c r="B42" s="452" t="s">
        <v>100</v>
      </c>
      <c r="C42" s="426">
        <v>10</v>
      </c>
      <c r="D42" s="427">
        <v>10</v>
      </c>
      <c r="E42" s="426">
        <v>10</v>
      </c>
      <c r="F42" s="294"/>
      <c r="G42" s="295"/>
      <c r="H42" s="55"/>
      <c r="I42" s="55"/>
      <c r="J42" s="55"/>
      <c r="K42" s="55"/>
      <c r="L42" s="55"/>
      <c r="M42" s="55"/>
      <c r="N42" s="55"/>
      <c r="O42" s="55"/>
      <c r="P42" s="55"/>
      <c r="Q42" s="55"/>
      <c r="R42" s="55"/>
      <c r="S42" s="55"/>
      <c r="T42" s="55"/>
      <c r="U42" s="55"/>
      <c r="V42" s="55"/>
      <c r="W42" s="55"/>
      <c r="X42" s="55"/>
      <c r="Y42" s="55"/>
      <c r="Z42" s="55"/>
      <c r="AA42" s="55"/>
      <c r="AB42" s="55"/>
      <c r="AC42" s="55"/>
      <c r="AD42" s="55"/>
      <c r="AE42" s="55"/>
      <c r="AF42" s="55"/>
      <c r="AG42" s="55"/>
      <c r="AH42" s="55"/>
      <c r="AI42" s="55"/>
      <c r="AJ42" s="55"/>
      <c r="AK42" s="55"/>
      <c r="AL42" s="55"/>
      <c r="AM42" s="55"/>
      <c r="AN42" s="55"/>
      <c r="AO42" s="55"/>
      <c r="AP42" s="55"/>
      <c r="AQ42" s="55"/>
      <c r="AR42" s="55"/>
      <c r="AS42" s="55"/>
      <c r="AT42" s="55"/>
      <c r="AU42" s="55"/>
      <c r="AV42" s="55"/>
      <c r="AW42" s="55"/>
      <c r="AX42" s="55"/>
      <c r="AY42" s="55"/>
      <c r="AZ42" s="55"/>
      <c r="BA42" s="55"/>
      <c r="BB42" s="55"/>
      <c r="BC42" s="55"/>
      <c r="BD42" s="55"/>
      <c r="BE42" s="55"/>
      <c r="BF42" s="55"/>
      <c r="BG42" s="55"/>
    </row>
    <row r="43" spans="1:59" s="106" customFormat="1" ht="26.4" x14ac:dyDescent="0.25">
      <c r="A43" s="450" t="s">
        <v>101</v>
      </c>
      <c r="B43" s="453" t="s">
        <v>91</v>
      </c>
      <c r="C43" s="428" t="s">
        <v>102</v>
      </c>
      <c r="D43" s="428" t="s">
        <v>103</v>
      </c>
      <c r="E43" s="428" t="s">
        <v>104</v>
      </c>
      <c r="F43" s="296"/>
      <c r="G43" s="297"/>
      <c r="H43" s="135"/>
      <c r="I43" s="135"/>
      <c r="J43" s="135"/>
      <c r="K43" s="135"/>
      <c r="L43" s="135"/>
      <c r="M43" s="135"/>
      <c r="N43" s="135"/>
      <c r="O43" s="135"/>
      <c r="P43" s="135"/>
      <c r="Q43" s="135"/>
      <c r="R43" s="135"/>
      <c r="S43" s="135"/>
      <c r="T43" s="135"/>
      <c r="U43" s="135"/>
      <c r="V43" s="135"/>
      <c r="W43" s="135"/>
      <c r="X43" s="135"/>
      <c r="Y43" s="135"/>
      <c r="Z43" s="135"/>
      <c r="AA43" s="135"/>
      <c r="AB43" s="135"/>
      <c r="AC43" s="135"/>
      <c r="AD43" s="135"/>
      <c r="AE43" s="135"/>
      <c r="AF43" s="135"/>
      <c r="AG43" s="135"/>
      <c r="AH43" s="135"/>
      <c r="AI43" s="135"/>
      <c r="AJ43" s="135"/>
      <c r="AK43" s="135"/>
      <c r="AL43" s="135"/>
      <c r="AM43" s="135"/>
      <c r="AN43" s="135"/>
      <c r="AO43" s="135"/>
      <c r="AP43" s="135"/>
      <c r="AQ43" s="135"/>
      <c r="AR43" s="135"/>
      <c r="AS43" s="135"/>
      <c r="AT43" s="135"/>
      <c r="AU43" s="135"/>
      <c r="AV43" s="135"/>
      <c r="AW43" s="135"/>
      <c r="AX43" s="135"/>
      <c r="AY43" s="135"/>
      <c r="AZ43" s="135"/>
      <c r="BA43" s="135"/>
      <c r="BB43" s="135"/>
      <c r="BC43" s="135"/>
      <c r="BD43" s="135"/>
      <c r="BE43" s="135"/>
      <c r="BF43" s="135"/>
      <c r="BG43" s="135"/>
    </row>
    <row r="44" spans="1:59" ht="14.25" customHeight="1" x14ac:dyDescent="0.25">
      <c r="A44" s="777" t="s">
        <v>105</v>
      </c>
      <c r="B44" s="777"/>
      <c r="C44" s="777"/>
      <c r="D44" s="777"/>
      <c r="E44" s="777"/>
    </row>
    <row r="45" spans="1:59" x14ac:dyDescent="0.25">
      <c r="A45" s="786" t="s">
        <v>106</v>
      </c>
      <c r="B45" s="398" t="s">
        <v>107</v>
      </c>
      <c r="C45" s="417">
        <v>7.0000000000000007E-2</v>
      </c>
      <c r="D45" s="417">
        <v>3.3000000000000002E-2</v>
      </c>
      <c r="E45" s="417">
        <v>3.3000000000000002E-2</v>
      </c>
      <c r="F45" s="298"/>
      <c r="G45" s="298"/>
      <c r="H45" s="774"/>
      <c r="I45" s="774"/>
      <c r="J45" s="774"/>
      <c r="K45" s="774"/>
      <c r="L45" s="774"/>
      <c r="M45" s="774"/>
      <c r="N45" s="774"/>
      <c r="O45" s="774"/>
      <c r="P45" s="774"/>
      <c r="Q45" s="774"/>
      <c r="R45" s="774"/>
      <c r="S45" s="774"/>
      <c r="T45" s="774"/>
      <c r="U45" s="774"/>
      <c r="V45" s="774"/>
      <c r="W45" s="774"/>
      <c r="X45" s="774"/>
      <c r="Y45" s="774"/>
      <c r="Z45" s="774"/>
      <c r="AA45" s="774"/>
      <c r="AB45" s="774"/>
      <c r="AC45" s="774"/>
      <c r="AD45" s="774"/>
      <c r="AE45" s="774"/>
      <c r="AF45" s="774"/>
      <c r="AG45" s="774"/>
      <c r="AH45" s="774"/>
      <c r="AI45" s="774"/>
      <c r="AJ45" s="774"/>
      <c r="AK45" s="774"/>
      <c r="AL45" s="774"/>
      <c r="AM45" s="774"/>
      <c r="AN45" s="774"/>
      <c r="AO45" s="774"/>
      <c r="AP45" s="774"/>
      <c r="AQ45" s="774"/>
      <c r="AR45" s="774"/>
      <c r="AS45" s="774"/>
      <c r="AT45" s="774"/>
      <c r="AU45" s="774"/>
      <c r="AV45" s="774"/>
      <c r="AW45" s="774"/>
      <c r="AX45" s="774"/>
      <c r="AY45" s="774"/>
      <c r="AZ45" s="774"/>
      <c r="BA45" s="774"/>
      <c r="BB45" s="774"/>
      <c r="BC45" s="774"/>
      <c r="BD45" s="774"/>
      <c r="BE45" s="774"/>
      <c r="BF45" s="774"/>
      <c r="BG45" s="774"/>
    </row>
    <row r="46" spans="1:59" ht="14.25" customHeight="1" x14ac:dyDescent="0.25">
      <c r="A46" s="786"/>
      <c r="B46" s="398" t="s">
        <v>108</v>
      </c>
      <c r="C46" s="417" t="s">
        <v>109</v>
      </c>
      <c r="D46" s="417">
        <v>2.5000000000000001E-3</v>
      </c>
      <c r="E46" s="417">
        <v>2.5000000000000001E-3</v>
      </c>
      <c r="F46" s="298"/>
      <c r="G46" s="298"/>
      <c r="H46" s="774"/>
      <c r="I46" s="774"/>
      <c r="J46" s="774"/>
      <c r="K46" s="774"/>
      <c r="L46" s="774"/>
      <c r="M46" s="774"/>
      <c r="N46" s="774"/>
      <c r="O46" s="774"/>
      <c r="P46" s="774"/>
      <c r="Q46" s="774"/>
      <c r="R46" s="774"/>
      <c r="S46" s="774"/>
      <c r="T46" s="774"/>
      <c r="U46" s="774"/>
      <c r="V46" s="774"/>
      <c r="W46" s="774"/>
      <c r="X46" s="774"/>
      <c r="Y46" s="774"/>
      <c r="Z46" s="774"/>
      <c r="AA46" s="774"/>
      <c r="AB46" s="774"/>
      <c r="AC46" s="774"/>
      <c r="AD46" s="774"/>
      <c r="AE46" s="774"/>
      <c r="AF46" s="774"/>
      <c r="AG46" s="774"/>
      <c r="AH46" s="774"/>
      <c r="AI46" s="774"/>
      <c r="AJ46" s="774"/>
      <c r="AK46" s="774"/>
      <c r="AL46" s="774"/>
      <c r="AM46" s="774"/>
      <c r="AN46" s="774"/>
      <c r="AO46" s="774"/>
      <c r="AP46" s="774"/>
      <c r="AQ46" s="774"/>
      <c r="AR46" s="774"/>
      <c r="AS46" s="774"/>
      <c r="AT46" s="774"/>
      <c r="AU46" s="774"/>
      <c r="AV46" s="774"/>
      <c r="AW46" s="774"/>
      <c r="AX46" s="774"/>
      <c r="AY46" s="774"/>
      <c r="AZ46" s="774"/>
      <c r="BA46" s="774"/>
      <c r="BB46" s="774"/>
      <c r="BC46" s="774"/>
      <c r="BD46" s="774"/>
      <c r="BE46" s="774"/>
      <c r="BF46" s="774"/>
      <c r="BG46" s="774"/>
    </row>
    <row r="47" spans="1:59" ht="14.25" customHeight="1" x14ac:dyDescent="0.25">
      <c r="A47" s="787"/>
      <c r="B47" s="398" t="s">
        <v>110</v>
      </c>
      <c r="C47" s="418" t="s">
        <v>111</v>
      </c>
      <c r="D47" s="418" t="s">
        <v>111</v>
      </c>
      <c r="E47" s="417" t="s">
        <v>112</v>
      </c>
      <c r="F47" s="298"/>
      <c r="G47" s="298"/>
      <c r="H47" s="774"/>
      <c r="I47" s="774"/>
      <c r="J47" s="774"/>
      <c r="K47" s="774"/>
      <c r="L47" s="774"/>
      <c r="M47" s="774"/>
      <c r="N47" s="774"/>
      <c r="O47" s="774"/>
      <c r="P47" s="774"/>
      <c r="Q47" s="774"/>
      <c r="R47" s="774"/>
      <c r="S47" s="774"/>
      <c r="T47" s="774"/>
      <c r="U47" s="774"/>
      <c r="V47" s="774"/>
      <c r="W47" s="774"/>
      <c r="X47" s="774"/>
      <c r="Y47" s="774"/>
      <c r="Z47" s="774"/>
      <c r="AA47" s="774"/>
      <c r="AB47" s="774"/>
      <c r="AC47" s="774"/>
      <c r="AD47" s="774"/>
      <c r="AE47" s="774"/>
      <c r="AF47" s="774"/>
      <c r="AG47" s="774"/>
      <c r="AH47" s="774"/>
      <c r="AI47" s="774"/>
      <c r="AJ47" s="774"/>
      <c r="AK47" s="774"/>
      <c r="AL47" s="774"/>
      <c r="AM47" s="774"/>
      <c r="AN47" s="774"/>
      <c r="AO47" s="774"/>
      <c r="AP47" s="774"/>
      <c r="AQ47" s="774"/>
      <c r="AR47" s="774"/>
      <c r="AS47" s="774"/>
      <c r="AT47" s="774"/>
      <c r="AU47" s="774"/>
      <c r="AV47" s="774"/>
      <c r="AW47" s="774"/>
      <c r="AX47" s="774"/>
      <c r="AY47" s="774"/>
      <c r="AZ47" s="774"/>
      <c r="BA47" s="774"/>
      <c r="BB47" s="774"/>
      <c r="BC47" s="774"/>
      <c r="BD47" s="774"/>
      <c r="BE47" s="774"/>
      <c r="BF47" s="774"/>
      <c r="BG47" s="774"/>
    </row>
    <row r="48" spans="1:59" x14ac:dyDescent="0.25">
      <c r="A48" s="788" t="s">
        <v>113</v>
      </c>
      <c r="B48" s="400" t="s">
        <v>107</v>
      </c>
      <c r="C48" s="419">
        <v>0.38</v>
      </c>
      <c r="D48" s="419">
        <v>0.45</v>
      </c>
      <c r="E48" s="419">
        <v>0.45</v>
      </c>
      <c r="F48" s="298"/>
      <c r="G48" s="298"/>
      <c r="H48" s="774"/>
      <c r="I48" s="774"/>
      <c r="J48" s="774"/>
      <c r="K48" s="774"/>
      <c r="L48" s="774"/>
      <c r="M48" s="774"/>
      <c r="N48" s="774"/>
      <c r="O48" s="774"/>
      <c r="P48" s="774"/>
      <c r="Q48" s="774"/>
      <c r="R48" s="774"/>
      <c r="S48" s="774"/>
      <c r="T48" s="774"/>
      <c r="U48" s="774"/>
      <c r="V48" s="774"/>
      <c r="W48" s="774"/>
      <c r="X48" s="774"/>
      <c r="Y48" s="774"/>
      <c r="Z48" s="774"/>
      <c r="AA48" s="774"/>
      <c r="AB48" s="774"/>
      <c r="AC48" s="774"/>
      <c r="AD48" s="774"/>
      <c r="AE48" s="774"/>
      <c r="AF48" s="774"/>
      <c r="AG48" s="774"/>
      <c r="AH48" s="774"/>
      <c r="AI48" s="774"/>
      <c r="AJ48" s="774"/>
      <c r="AK48" s="774"/>
      <c r="AL48" s="774"/>
      <c r="AM48" s="774"/>
      <c r="AN48" s="774"/>
      <c r="AO48" s="774"/>
      <c r="AP48" s="774"/>
      <c r="AQ48" s="774"/>
      <c r="AR48" s="774"/>
      <c r="AS48" s="774"/>
      <c r="AT48" s="774"/>
      <c r="AU48" s="774"/>
      <c r="AV48" s="774"/>
      <c r="AW48" s="774"/>
      <c r="AX48" s="774"/>
      <c r="AY48" s="774"/>
      <c r="AZ48" s="774"/>
      <c r="BA48" s="774"/>
      <c r="BB48" s="774"/>
      <c r="BC48" s="774"/>
      <c r="BD48" s="774"/>
      <c r="BE48" s="774"/>
      <c r="BF48" s="774"/>
      <c r="BG48" s="774"/>
    </row>
    <row r="49" spans="1:59" ht="14.25" customHeight="1" x14ac:dyDescent="0.25">
      <c r="A49" s="788"/>
      <c r="B49" s="400" t="s">
        <v>108</v>
      </c>
      <c r="C49" s="419">
        <v>0.89</v>
      </c>
      <c r="D49" s="419">
        <v>0.95</v>
      </c>
      <c r="E49" s="419">
        <v>0.95</v>
      </c>
      <c r="F49" s="298"/>
      <c r="G49" s="298"/>
      <c r="H49" s="774"/>
      <c r="I49" s="774"/>
      <c r="J49" s="774"/>
      <c r="K49" s="774"/>
      <c r="L49" s="774"/>
      <c r="M49" s="774"/>
      <c r="N49" s="774"/>
      <c r="O49" s="774"/>
      <c r="P49" s="774"/>
      <c r="Q49" s="774"/>
      <c r="R49" s="774"/>
      <c r="S49" s="774"/>
      <c r="T49" s="774"/>
      <c r="U49" s="774"/>
      <c r="V49" s="774"/>
      <c r="W49" s="774"/>
      <c r="X49" s="774"/>
      <c r="Y49" s="774"/>
      <c r="Z49" s="774"/>
      <c r="AA49" s="774"/>
      <c r="AB49" s="774"/>
      <c r="AC49" s="774"/>
      <c r="AD49" s="774"/>
      <c r="AE49" s="774"/>
      <c r="AF49" s="774"/>
      <c r="AG49" s="774"/>
      <c r="AH49" s="774"/>
      <c r="AI49" s="774"/>
      <c r="AJ49" s="774"/>
      <c r="AK49" s="774"/>
      <c r="AL49" s="774"/>
      <c r="AM49" s="774"/>
      <c r="AN49" s="774"/>
      <c r="AO49" s="774"/>
      <c r="AP49" s="774"/>
      <c r="AQ49" s="774"/>
      <c r="AR49" s="774"/>
      <c r="AS49" s="774"/>
      <c r="AT49" s="774"/>
      <c r="AU49" s="774"/>
      <c r="AV49" s="774"/>
      <c r="AW49" s="774"/>
      <c r="AX49" s="774"/>
      <c r="AY49" s="774"/>
      <c r="AZ49" s="774"/>
      <c r="BA49" s="774"/>
      <c r="BB49" s="774"/>
      <c r="BC49" s="774"/>
      <c r="BD49" s="774"/>
      <c r="BE49" s="774"/>
      <c r="BF49" s="774"/>
      <c r="BG49" s="774"/>
    </row>
    <row r="50" spans="1:59" ht="14.25" customHeight="1" x14ac:dyDescent="0.25">
      <c r="A50" s="789"/>
      <c r="B50" s="400" t="s">
        <v>110</v>
      </c>
      <c r="C50" s="419" t="s">
        <v>91</v>
      </c>
      <c r="D50" s="419" t="s">
        <v>91</v>
      </c>
      <c r="E50" s="419" t="s">
        <v>114</v>
      </c>
      <c r="F50" s="298"/>
      <c r="G50" s="298"/>
      <c r="H50" s="774"/>
      <c r="I50" s="774"/>
      <c r="J50" s="774"/>
      <c r="K50" s="774"/>
      <c r="L50" s="774"/>
      <c r="M50" s="774"/>
      <c r="N50" s="774"/>
      <c r="O50" s="774"/>
      <c r="P50" s="774"/>
      <c r="Q50" s="774"/>
      <c r="R50" s="774"/>
      <c r="S50" s="774"/>
      <c r="T50" s="774"/>
      <c r="U50" s="774"/>
      <c r="V50" s="774"/>
      <c r="W50" s="774"/>
      <c r="X50" s="774"/>
      <c r="Y50" s="774"/>
      <c r="Z50" s="774"/>
      <c r="AA50" s="774"/>
      <c r="AB50" s="774"/>
      <c r="AC50" s="774"/>
      <c r="AD50" s="774"/>
      <c r="AE50" s="774"/>
      <c r="AF50" s="774"/>
      <c r="AG50" s="774"/>
      <c r="AH50" s="774"/>
      <c r="AI50" s="774"/>
      <c r="AJ50" s="774"/>
      <c r="AK50" s="774"/>
      <c r="AL50" s="774"/>
      <c r="AM50" s="774"/>
      <c r="AN50" s="774"/>
      <c r="AO50" s="774"/>
      <c r="AP50" s="774"/>
      <c r="AQ50" s="774"/>
      <c r="AR50" s="774"/>
      <c r="AS50" s="774"/>
      <c r="AT50" s="774"/>
      <c r="AU50" s="774"/>
      <c r="AV50" s="774"/>
      <c r="AW50" s="774"/>
      <c r="AX50" s="774"/>
      <c r="AY50" s="774"/>
      <c r="AZ50" s="774"/>
      <c r="BA50" s="774"/>
      <c r="BB50" s="774"/>
      <c r="BC50" s="774"/>
      <c r="BD50" s="774"/>
      <c r="BE50" s="774"/>
      <c r="BF50" s="774"/>
      <c r="BG50" s="774"/>
    </row>
    <row r="51" spans="1:59" x14ac:dyDescent="0.25">
      <c r="A51" s="401" t="s">
        <v>115</v>
      </c>
      <c r="B51" s="402" t="s">
        <v>96</v>
      </c>
      <c r="C51" s="420" t="s">
        <v>116</v>
      </c>
      <c r="D51" s="421" t="s">
        <v>111</v>
      </c>
      <c r="E51" s="422" t="s">
        <v>111</v>
      </c>
      <c r="F51" s="298"/>
      <c r="G51" s="298"/>
      <c r="H51" s="774"/>
      <c r="I51" s="774"/>
      <c r="J51" s="774"/>
      <c r="K51" s="774"/>
      <c r="L51" s="774"/>
      <c r="M51" s="774"/>
      <c r="N51" s="774"/>
      <c r="O51" s="774"/>
      <c r="P51" s="774"/>
      <c r="Q51" s="774"/>
      <c r="R51" s="774"/>
      <c r="S51" s="774"/>
      <c r="T51" s="774"/>
      <c r="U51" s="774"/>
      <c r="V51" s="774"/>
      <c r="W51" s="774"/>
      <c r="X51" s="774"/>
      <c r="Y51" s="774"/>
      <c r="Z51" s="774"/>
      <c r="AA51" s="774"/>
      <c r="AB51" s="774"/>
      <c r="AC51" s="774"/>
      <c r="AD51" s="774"/>
      <c r="AE51" s="774"/>
      <c r="AF51" s="774"/>
      <c r="AG51" s="774"/>
      <c r="AH51" s="774"/>
      <c r="AI51" s="774"/>
      <c r="AJ51" s="774"/>
      <c r="AK51" s="774"/>
      <c r="AL51" s="774"/>
      <c r="AM51" s="774"/>
      <c r="AN51" s="774"/>
      <c r="AO51" s="774"/>
      <c r="AP51" s="774"/>
      <c r="AQ51" s="774"/>
      <c r="AR51" s="774"/>
      <c r="AS51" s="774"/>
      <c r="AT51" s="774"/>
      <c r="AU51" s="774"/>
      <c r="AV51" s="774"/>
      <c r="AW51" s="774"/>
      <c r="AX51" s="774"/>
      <c r="AY51" s="774"/>
      <c r="AZ51" s="774"/>
      <c r="BA51" s="774"/>
      <c r="BB51" s="774"/>
      <c r="BC51" s="774"/>
      <c r="BD51" s="774"/>
      <c r="BE51" s="774"/>
      <c r="BF51" s="774"/>
      <c r="BG51" s="774"/>
    </row>
    <row r="52" spans="1:59" x14ac:dyDescent="0.25">
      <c r="A52" s="403" t="s">
        <v>117</v>
      </c>
      <c r="B52" s="404" t="s">
        <v>108</v>
      </c>
      <c r="C52" s="423" t="s">
        <v>118</v>
      </c>
      <c r="D52" s="424">
        <v>32.4</v>
      </c>
      <c r="E52" s="424">
        <v>17.5</v>
      </c>
      <c r="F52" s="298"/>
      <c r="G52" s="298"/>
      <c r="H52" s="774"/>
      <c r="I52" s="774"/>
      <c r="J52" s="774"/>
      <c r="K52" s="774"/>
      <c r="L52" s="774"/>
      <c r="M52" s="774"/>
      <c r="N52" s="774"/>
      <c r="O52" s="774"/>
      <c r="P52" s="774"/>
      <c r="Q52" s="774"/>
      <c r="R52" s="774"/>
      <c r="S52" s="774"/>
      <c r="T52" s="774"/>
      <c r="U52" s="774"/>
      <c r="V52" s="774"/>
      <c r="W52" s="774"/>
      <c r="X52" s="774"/>
      <c r="Y52" s="774"/>
      <c r="Z52" s="774"/>
      <c r="AA52" s="774"/>
      <c r="AB52" s="774"/>
      <c r="AC52" s="774"/>
      <c r="AD52" s="774"/>
      <c r="AE52" s="774"/>
      <c r="AF52" s="774"/>
      <c r="AG52" s="774"/>
      <c r="AH52" s="774"/>
      <c r="AI52" s="774"/>
      <c r="AJ52" s="774"/>
      <c r="AK52" s="774"/>
      <c r="AL52" s="774"/>
      <c r="AM52" s="774"/>
      <c r="AN52" s="774"/>
      <c r="AO52" s="774"/>
      <c r="AP52" s="774"/>
      <c r="AQ52" s="774"/>
      <c r="AR52" s="774"/>
      <c r="AS52" s="774"/>
      <c r="AT52" s="774"/>
      <c r="AU52" s="774"/>
      <c r="AV52" s="774"/>
      <c r="AW52" s="774"/>
      <c r="AX52" s="774"/>
      <c r="AY52" s="774"/>
      <c r="AZ52" s="774"/>
      <c r="BA52" s="774"/>
      <c r="BB52" s="774"/>
      <c r="BC52" s="774"/>
      <c r="BD52" s="774"/>
      <c r="BE52" s="774"/>
      <c r="BF52" s="774"/>
      <c r="BG52" s="774"/>
    </row>
    <row r="53" spans="1:59" ht="14.25" customHeight="1" x14ac:dyDescent="0.25">
      <c r="A53" s="786" t="s">
        <v>119</v>
      </c>
      <c r="B53" s="398" t="s">
        <v>107</v>
      </c>
      <c r="C53" s="405" t="s">
        <v>120</v>
      </c>
      <c r="D53" s="398" t="s">
        <v>121</v>
      </c>
      <c r="E53" s="406" t="s">
        <v>122</v>
      </c>
      <c r="F53" s="298"/>
      <c r="G53" s="298"/>
      <c r="H53" s="730"/>
      <c r="I53" s="730"/>
      <c r="J53" s="730"/>
      <c r="K53" s="730"/>
      <c r="L53" s="730"/>
      <c r="M53" s="730"/>
      <c r="N53" s="730"/>
      <c r="O53" s="730"/>
      <c r="P53" s="730"/>
      <c r="Q53" s="730"/>
      <c r="R53" s="730"/>
      <c r="S53" s="730"/>
      <c r="T53" s="730"/>
      <c r="U53" s="730"/>
      <c r="V53" s="730"/>
      <c r="W53" s="730"/>
      <c r="X53" s="730"/>
      <c r="Y53" s="730"/>
      <c r="Z53" s="730"/>
      <c r="AA53" s="730"/>
      <c r="AB53" s="730"/>
      <c r="AC53" s="730"/>
      <c r="AD53" s="730"/>
      <c r="AE53" s="730"/>
      <c r="AF53" s="730"/>
      <c r="AG53" s="730"/>
      <c r="AH53" s="730"/>
      <c r="AI53" s="730"/>
      <c r="AJ53" s="730"/>
      <c r="AK53" s="730"/>
      <c r="AL53" s="730"/>
      <c r="AM53" s="730"/>
      <c r="AN53" s="730"/>
      <c r="AO53" s="730"/>
      <c r="AP53" s="730"/>
      <c r="AQ53" s="730"/>
      <c r="AR53" s="730"/>
      <c r="AS53" s="730"/>
      <c r="AT53" s="730"/>
      <c r="AU53" s="730"/>
      <c r="AV53" s="730"/>
      <c r="AW53" s="730"/>
      <c r="AX53" s="730"/>
      <c r="AY53" s="730"/>
      <c r="AZ53" s="730"/>
      <c r="BA53" s="730"/>
      <c r="BB53" s="730"/>
      <c r="BC53" s="730"/>
      <c r="BD53" s="730"/>
      <c r="BE53" s="730"/>
      <c r="BF53" s="730"/>
      <c r="BG53" s="730"/>
    </row>
    <row r="54" spans="1:59" ht="31.95" customHeight="1" x14ac:dyDescent="0.25">
      <c r="A54" s="786"/>
      <c r="B54" s="398" t="s">
        <v>108</v>
      </c>
      <c r="C54" s="407" t="s">
        <v>123</v>
      </c>
      <c r="D54" s="398" t="s">
        <v>124</v>
      </c>
      <c r="E54" s="406" t="s">
        <v>125</v>
      </c>
      <c r="F54" s="298"/>
      <c r="G54" s="298"/>
      <c r="H54" s="730"/>
      <c r="I54" s="730"/>
      <c r="J54" s="730"/>
      <c r="K54" s="730"/>
      <c r="L54" s="730"/>
      <c r="M54" s="730"/>
      <c r="N54" s="730"/>
      <c r="O54" s="730"/>
      <c r="P54" s="730"/>
      <c r="Q54" s="730"/>
      <c r="R54" s="730"/>
      <c r="S54" s="730"/>
      <c r="T54" s="730"/>
      <c r="U54" s="730"/>
      <c r="V54" s="730"/>
      <c r="W54" s="730"/>
      <c r="X54" s="730"/>
      <c r="Y54" s="730"/>
      <c r="Z54" s="730"/>
      <c r="AA54" s="730"/>
      <c r="AB54" s="730"/>
      <c r="AC54" s="730"/>
      <c r="AD54" s="730"/>
      <c r="AE54" s="730"/>
      <c r="AF54" s="730"/>
      <c r="AG54" s="730"/>
      <c r="AH54" s="730"/>
      <c r="AI54" s="730"/>
      <c r="AJ54" s="730"/>
      <c r="AK54" s="730"/>
      <c r="AL54" s="730"/>
      <c r="AM54" s="730"/>
      <c r="AN54" s="730"/>
      <c r="AO54" s="730"/>
      <c r="AP54" s="730"/>
      <c r="AQ54" s="730"/>
      <c r="AR54" s="730"/>
      <c r="AS54" s="730"/>
      <c r="AT54" s="730"/>
      <c r="AU54" s="730"/>
      <c r="AV54" s="730"/>
      <c r="AW54" s="730"/>
      <c r="AX54" s="730"/>
      <c r="AY54" s="730"/>
      <c r="AZ54" s="730"/>
      <c r="BA54" s="730"/>
      <c r="BB54" s="730"/>
      <c r="BC54" s="730"/>
      <c r="BD54" s="730"/>
      <c r="BE54" s="730"/>
      <c r="BF54" s="730"/>
      <c r="BG54" s="730"/>
    </row>
    <row r="55" spans="1:59" ht="23.25" customHeight="1" x14ac:dyDescent="0.25">
      <c r="A55" s="787"/>
      <c r="B55" s="398" t="s">
        <v>110</v>
      </c>
      <c r="C55" s="399" t="s">
        <v>111</v>
      </c>
      <c r="D55" s="399" t="s">
        <v>111</v>
      </c>
      <c r="E55" s="398" t="s">
        <v>126</v>
      </c>
      <c r="F55" s="250"/>
      <c r="G55" s="250"/>
      <c r="H55" s="774"/>
      <c r="I55" s="774"/>
      <c r="J55" s="774"/>
      <c r="K55" s="774"/>
      <c r="L55" s="774"/>
      <c r="M55" s="774"/>
      <c r="N55" s="774"/>
      <c r="O55" s="774"/>
      <c r="P55" s="774"/>
      <c r="Q55" s="774"/>
      <c r="R55" s="774"/>
      <c r="S55" s="774"/>
      <c r="T55" s="774"/>
      <c r="U55" s="774"/>
      <c r="V55" s="774"/>
      <c r="W55" s="774"/>
      <c r="X55" s="774"/>
      <c r="Y55" s="774"/>
      <c r="Z55" s="774"/>
      <c r="AA55" s="774"/>
      <c r="AB55" s="774"/>
      <c r="AC55" s="774"/>
      <c r="AD55" s="774"/>
      <c r="AE55" s="774"/>
      <c r="AF55" s="774"/>
      <c r="AG55" s="774"/>
      <c r="AH55" s="774"/>
      <c r="AI55" s="774"/>
      <c r="AJ55" s="774"/>
      <c r="AK55" s="774"/>
      <c r="AL55" s="774"/>
      <c r="AM55" s="774"/>
      <c r="AN55" s="774"/>
      <c r="AO55" s="774"/>
      <c r="AP55" s="774"/>
      <c r="AQ55" s="774"/>
      <c r="AR55" s="774"/>
      <c r="AS55" s="774"/>
      <c r="AT55" s="774"/>
      <c r="AU55" s="774"/>
      <c r="AV55" s="774"/>
      <c r="AW55" s="774"/>
      <c r="AX55" s="774"/>
      <c r="AY55" s="774"/>
      <c r="AZ55" s="774"/>
      <c r="BA55" s="774"/>
      <c r="BB55" s="774"/>
      <c r="BC55" s="774"/>
      <c r="BD55" s="774"/>
      <c r="BE55" s="774"/>
      <c r="BF55" s="774"/>
      <c r="BG55" s="774"/>
    </row>
    <row r="56" spans="1:59" ht="83.4" customHeight="1" x14ac:dyDescent="0.25">
      <c r="A56" s="747" t="s">
        <v>127</v>
      </c>
      <c r="B56" s="400" t="s">
        <v>108</v>
      </c>
      <c r="C56" s="408" t="s">
        <v>128</v>
      </c>
      <c r="D56" s="408" t="s">
        <v>129</v>
      </c>
      <c r="E56" s="408" t="s">
        <v>130</v>
      </c>
      <c r="F56" s="250"/>
      <c r="G56" s="250"/>
      <c r="H56" s="774"/>
      <c r="I56" s="774"/>
      <c r="J56" s="774"/>
      <c r="K56" s="774"/>
      <c r="L56" s="774"/>
      <c r="M56" s="774"/>
      <c r="N56" s="774"/>
      <c r="O56" s="774"/>
      <c r="P56" s="774"/>
      <c r="Q56" s="774"/>
      <c r="R56" s="774"/>
      <c r="S56" s="774"/>
      <c r="T56" s="774"/>
      <c r="U56" s="774"/>
      <c r="V56" s="774"/>
      <c r="W56" s="774"/>
      <c r="X56" s="774"/>
      <c r="Y56" s="774"/>
      <c r="Z56" s="774"/>
      <c r="AA56" s="774"/>
      <c r="AB56" s="774"/>
      <c r="AC56" s="774"/>
      <c r="AD56" s="774"/>
      <c r="AE56" s="774"/>
      <c r="AF56" s="774"/>
      <c r="AG56" s="774"/>
      <c r="AH56" s="774"/>
      <c r="AI56" s="774"/>
      <c r="AJ56" s="774"/>
      <c r="AK56" s="774"/>
      <c r="AL56" s="774"/>
      <c r="AM56" s="774"/>
      <c r="AN56" s="774"/>
      <c r="AO56" s="774"/>
      <c r="AP56" s="774"/>
      <c r="AQ56" s="774"/>
      <c r="AR56" s="774"/>
      <c r="AS56" s="774"/>
      <c r="AT56" s="774"/>
      <c r="AU56" s="774"/>
      <c r="AV56" s="774"/>
      <c r="AW56" s="774"/>
      <c r="AX56" s="774"/>
      <c r="AY56" s="774"/>
      <c r="AZ56" s="774"/>
      <c r="BA56" s="774"/>
      <c r="BB56" s="774"/>
      <c r="BC56" s="774"/>
      <c r="BD56" s="774"/>
      <c r="BE56" s="774"/>
      <c r="BF56" s="774"/>
      <c r="BG56" s="774"/>
    </row>
    <row r="57" spans="1:59" ht="19.2" customHeight="1" x14ac:dyDescent="0.25">
      <c r="A57" s="777" t="s">
        <v>131</v>
      </c>
      <c r="B57" s="777"/>
      <c r="C57" s="777"/>
      <c r="D57" s="777"/>
      <c r="E57" s="777"/>
      <c r="F57" s="250"/>
      <c r="G57" s="250"/>
      <c r="H57" s="774"/>
      <c r="I57" s="774"/>
      <c r="J57" s="774"/>
      <c r="K57" s="774"/>
      <c r="L57" s="774"/>
      <c r="M57" s="774"/>
      <c r="N57" s="774"/>
      <c r="O57" s="774"/>
      <c r="P57" s="774"/>
      <c r="Q57" s="774"/>
      <c r="R57" s="774"/>
      <c r="S57" s="774"/>
      <c r="T57" s="774"/>
      <c r="U57" s="774"/>
      <c r="V57" s="774"/>
      <c r="W57" s="774"/>
      <c r="X57" s="774"/>
      <c r="Y57" s="774"/>
      <c r="Z57" s="774"/>
      <c r="AA57" s="774"/>
      <c r="AB57" s="774"/>
      <c r="AC57" s="774"/>
      <c r="AD57" s="774"/>
      <c r="AE57" s="774"/>
      <c r="AF57" s="774"/>
      <c r="AG57" s="774"/>
      <c r="AH57" s="774"/>
      <c r="AI57" s="774"/>
      <c r="AJ57" s="774"/>
      <c r="AK57" s="774"/>
      <c r="AL57" s="774"/>
      <c r="AM57" s="774"/>
      <c r="AN57" s="774"/>
      <c r="AO57" s="774"/>
      <c r="AP57" s="774"/>
      <c r="AQ57" s="774"/>
      <c r="AR57" s="774"/>
      <c r="AS57" s="774"/>
      <c r="AT57" s="774"/>
      <c r="AU57" s="774"/>
      <c r="AV57" s="774"/>
      <c r="AW57" s="774"/>
      <c r="AX57" s="774"/>
      <c r="AY57" s="774"/>
      <c r="AZ57" s="774"/>
      <c r="BA57" s="774"/>
      <c r="BB57" s="774"/>
      <c r="BC57" s="774"/>
      <c r="BD57" s="774"/>
      <c r="BE57" s="774"/>
      <c r="BF57" s="774"/>
      <c r="BG57" s="774"/>
    </row>
    <row r="58" spans="1:59" ht="18.600000000000001" customHeight="1" x14ac:dyDescent="0.25">
      <c r="A58" s="748" t="s">
        <v>132</v>
      </c>
      <c r="B58" s="409" t="s">
        <v>133</v>
      </c>
      <c r="C58" s="410" t="s">
        <v>134</v>
      </c>
      <c r="D58" s="410" t="s">
        <v>135</v>
      </c>
      <c r="E58" s="410" t="s">
        <v>136</v>
      </c>
      <c r="F58" s="250"/>
      <c r="G58" s="250"/>
      <c r="H58" s="730"/>
      <c r="I58" s="730"/>
      <c r="J58" s="730"/>
      <c r="K58" s="730"/>
      <c r="L58" s="730"/>
      <c r="M58" s="730"/>
      <c r="N58" s="730"/>
      <c r="O58" s="730"/>
      <c r="P58" s="730"/>
      <c r="Q58" s="730"/>
      <c r="R58" s="730"/>
      <c r="S58" s="730"/>
      <c r="T58" s="730"/>
      <c r="U58" s="730"/>
      <c r="V58" s="730"/>
      <c r="W58" s="730"/>
      <c r="X58" s="730"/>
      <c r="Y58" s="730"/>
      <c r="Z58" s="730"/>
      <c r="AA58" s="730"/>
      <c r="AB58" s="730"/>
      <c r="AC58" s="730"/>
      <c r="AD58" s="730"/>
      <c r="AE58" s="730"/>
      <c r="AF58" s="730"/>
      <c r="AG58" s="730"/>
      <c r="AH58" s="730"/>
      <c r="AI58" s="730"/>
      <c r="AJ58" s="730"/>
      <c r="AK58" s="730"/>
      <c r="AL58" s="730"/>
      <c r="AM58" s="730"/>
      <c r="AN58" s="730"/>
      <c r="AO58" s="730"/>
      <c r="AP58" s="730"/>
      <c r="AQ58" s="730"/>
      <c r="AR58" s="730"/>
      <c r="AS58" s="730"/>
      <c r="AT58" s="730"/>
      <c r="AU58" s="730"/>
      <c r="AV58" s="730"/>
      <c r="AW58" s="730"/>
      <c r="AX58" s="730"/>
      <c r="AY58" s="730"/>
      <c r="AZ58" s="730"/>
      <c r="BA58" s="730"/>
      <c r="BB58" s="730"/>
      <c r="BC58" s="730"/>
      <c r="BD58" s="730"/>
      <c r="BE58" s="730"/>
      <c r="BF58" s="730"/>
      <c r="BG58" s="730"/>
    </row>
    <row r="59" spans="1:59" ht="29.25" customHeight="1" x14ac:dyDescent="0.25">
      <c r="A59" s="775" t="s">
        <v>137</v>
      </c>
      <c r="B59" s="412" t="s">
        <v>107</v>
      </c>
      <c r="C59" s="411" t="s">
        <v>138</v>
      </c>
      <c r="D59" s="411" t="s">
        <v>139</v>
      </c>
      <c r="E59" s="411" t="s">
        <v>140</v>
      </c>
      <c r="F59" s="250"/>
      <c r="G59" s="250"/>
      <c r="H59" s="730"/>
      <c r="I59" s="730"/>
      <c r="J59" s="730"/>
      <c r="K59" s="730"/>
      <c r="L59" s="730"/>
      <c r="M59" s="730"/>
      <c r="N59" s="730"/>
      <c r="O59" s="730"/>
      <c r="P59" s="730"/>
      <c r="Q59" s="730"/>
      <c r="R59" s="730"/>
      <c r="S59" s="730"/>
      <c r="T59" s="730"/>
      <c r="U59" s="730"/>
      <c r="V59" s="730"/>
      <c r="W59" s="730"/>
      <c r="X59" s="730"/>
      <c r="Y59" s="730"/>
      <c r="Z59" s="730"/>
      <c r="AA59" s="730"/>
      <c r="AB59" s="730"/>
      <c r="AC59" s="730"/>
      <c r="AD59" s="730"/>
      <c r="AE59" s="730"/>
      <c r="AF59" s="730"/>
      <c r="AG59" s="730"/>
      <c r="AH59" s="730"/>
      <c r="AI59" s="730"/>
      <c r="AJ59" s="730"/>
      <c r="AK59" s="730"/>
      <c r="AL59" s="730"/>
      <c r="AM59" s="730"/>
      <c r="AN59" s="730"/>
      <c r="AO59" s="730"/>
      <c r="AP59" s="730"/>
      <c r="AQ59" s="730"/>
      <c r="AR59" s="730"/>
      <c r="AS59" s="730"/>
      <c r="AT59" s="730"/>
      <c r="AU59" s="730"/>
      <c r="AV59" s="730"/>
      <c r="AW59" s="730"/>
      <c r="AX59" s="730"/>
      <c r="AY59" s="730"/>
      <c r="AZ59" s="730"/>
      <c r="BA59" s="730"/>
      <c r="BB59" s="730"/>
      <c r="BC59" s="730"/>
      <c r="BD59" s="730"/>
      <c r="BE59" s="730"/>
      <c r="BF59" s="730"/>
      <c r="BG59" s="730"/>
    </row>
    <row r="60" spans="1:59" ht="27" customHeight="1" x14ac:dyDescent="0.25">
      <c r="A60" s="775"/>
      <c r="B60" s="412" t="s">
        <v>108</v>
      </c>
      <c r="C60" s="411" t="s">
        <v>141</v>
      </c>
      <c r="D60" s="411" t="s">
        <v>142</v>
      </c>
      <c r="E60" s="411" t="s">
        <v>143</v>
      </c>
      <c r="F60" s="250"/>
      <c r="G60" s="250"/>
      <c r="H60" s="730"/>
      <c r="I60" s="730"/>
      <c r="J60" s="730"/>
      <c r="K60" s="730"/>
      <c r="L60" s="730"/>
      <c r="M60" s="730"/>
      <c r="N60" s="730"/>
      <c r="O60" s="730"/>
      <c r="P60" s="730"/>
      <c r="Q60" s="730"/>
      <c r="R60" s="730"/>
      <c r="S60" s="730"/>
      <c r="T60" s="730"/>
      <c r="U60" s="730"/>
      <c r="V60" s="730"/>
      <c r="W60" s="730"/>
      <c r="X60" s="730"/>
      <c r="Y60" s="730"/>
      <c r="Z60" s="730"/>
      <c r="AA60" s="730"/>
      <c r="AB60" s="730"/>
      <c r="AC60" s="730"/>
      <c r="AD60" s="730"/>
      <c r="AE60" s="730"/>
      <c r="AF60" s="730"/>
      <c r="AG60" s="730"/>
      <c r="AH60" s="730"/>
      <c r="AI60" s="730"/>
      <c r="AJ60" s="730"/>
      <c r="AK60" s="730"/>
      <c r="AL60" s="730"/>
      <c r="AM60" s="730"/>
      <c r="AN60" s="730"/>
      <c r="AO60" s="730"/>
      <c r="AP60" s="730"/>
      <c r="AQ60" s="730"/>
      <c r="AR60" s="730"/>
      <c r="AS60" s="730"/>
      <c r="AT60" s="730"/>
      <c r="AU60" s="730"/>
      <c r="AV60" s="730"/>
      <c r="AW60" s="730"/>
      <c r="AX60" s="730"/>
      <c r="AY60" s="730"/>
      <c r="AZ60" s="730"/>
      <c r="BA60" s="730"/>
      <c r="BB60" s="730"/>
      <c r="BC60" s="730"/>
      <c r="BD60" s="730"/>
      <c r="BE60" s="730"/>
      <c r="BF60" s="730"/>
      <c r="BG60" s="730"/>
    </row>
    <row r="61" spans="1:59" ht="36" customHeight="1" x14ac:dyDescent="0.25">
      <c r="A61" s="776"/>
      <c r="B61" s="412" t="s">
        <v>110</v>
      </c>
      <c r="C61" s="413" t="s">
        <v>111</v>
      </c>
      <c r="D61" s="413" t="s">
        <v>111</v>
      </c>
      <c r="E61" s="411" t="s">
        <v>144</v>
      </c>
      <c r="F61" s="250"/>
      <c r="G61" s="250"/>
      <c r="H61" s="730"/>
      <c r="I61" s="730"/>
      <c r="J61" s="730"/>
      <c r="K61" s="730"/>
      <c r="L61" s="730"/>
      <c r="M61" s="730"/>
      <c r="N61" s="730"/>
      <c r="O61" s="730"/>
      <c r="P61" s="730"/>
      <c r="Q61" s="730"/>
      <c r="R61" s="730"/>
      <c r="S61" s="730"/>
      <c r="T61" s="730"/>
      <c r="U61" s="730"/>
      <c r="V61" s="730"/>
      <c r="W61" s="730"/>
      <c r="X61" s="730"/>
      <c r="Y61" s="730"/>
      <c r="Z61" s="730"/>
      <c r="AA61" s="730"/>
      <c r="AB61" s="730"/>
      <c r="AC61" s="730"/>
      <c r="AD61" s="730"/>
      <c r="AE61" s="730"/>
      <c r="AF61" s="730"/>
      <c r="AG61" s="730"/>
      <c r="AH61" s="730"/>
      <c r="AI61" s="730"/>
      <c r="AJ61" s="730"/>
      <c r="AK61" s="730"/>
      <c r="AL61" s="730"/>
      <c r="AM61" s="730"/>
      <c r="AN61" s="730"/>
      <c r="AO61" s="730"/>
      <c r="AP61" s="730"/>
      <c r="AQ61" s="730"/>
      <c r="AR61" s="730"/>
      <c r="AS61" s="730"/>
      <c r="AT61" s="730"/>
      <c r="AU61" s="730"/>
      <c r="AV61" s="730"/>
      <c r="AW61" s="730"/>
      <c r="AX61" s="730"/>
      <c r="AY61" s="730"/>
      <c r="AZ61" s="730"/>
      <c r="BA61" s="730"/>
      <c r="BB61" s="730"/>
      <c r="BC61" s="730"/>
      <c r="BD61" s="730"/>
      <c r="BE61" s="730"/>
      <c r="BF61" s="730"/>
      <c r="BG61" s="730"/>
    </row>
    <row r="62" spans="1:59" x14ac:dyDescent="0.25">
      <c r="A62" s="790" t="s">
        <v>145</v>
      </c>
      <c r="B62" s="414" t="s">
        <v>107</v>
      </c>
      <c r="C62" s="410" t="s">
        <v>146</v>
      </c>
      <c r="D62" s="410" t="s">
        <v>91</v>
      </c>
      <c r="E62" s="415" t="s">
        <v>91</v>
      </c>
      <c r="F62" s="250"/>
      <c r="G62" s="239"/>
      <c r="H62" s="730"/>
      <c r="I62" s="730"/>
      <c r="J62" s="730"/>
      <c r="K62" s="730"/>
      <c r="L62" s="730"/>
      <c r="M62" s="730"/>
      <c r="N62" s="730"/>
      <c r="O62" s="730"/>
      <c r="P62" s="730"/>
      <c r="Q62" s="730"/>
      <c r="R62" s="730"/>
      <c r="S62" s="730"/>
      <c r="T62" s="730"/>
      <c r="U62" s="730"/>
      <c r="V62" s="730"/>
      <c r="W62" s="730"/>
      <c r="X62" s="730"/>
      <c r="Y62" s="730"/>
      <c r="Z62" s="730"/>
      <c r="AA62" s="730"/>
      <c r="AB62" s="730"/>
      <c r="AC62" s="730"/>
      <c r="AD62" s="730"/>
      <c r="AE62" s="730"/>
      <c r="AF62" s="730"/>
      <c r="AG62" s="730"/>
      <c r="AH62" s="730"/>
      <c r="AI62" s="730"/>
      <c r="AJ62" s="730"/>
      <c r="AK62" s="730"/>
      <c r="AL62" s="730"/>
      <c r="AM62" s="730"/>
      <c r="AN62" s="730"/>
      <c r="AO62" s="730"/>
      <c r="AP62" s="730"/>
      <c r="AQ62" s="730"/>
      <c r="AR62" s="730"/>
      <c r="AS62" s="730"/>
      <c r="AT62" s="730"/>
      <c r="AU62" s="730"/>
      <c r="AV62" s="730"/>
      <c r="AW62" s="730"/>
      <c r="AX62" s="730"/>
      <c r="AY62" s="730"/>
      <c r="AZ62" s="730"/>
      <c r="BA62" s="730"/>
      <c r="BB62" s="730"/>
      <c r="BC62" s="730"/>
      <c r="BD62" s="730"/>
      <c r="BE62" s="730"/>
      <c r="BF62" s="730"/>
      <c r="BG62" s="730"/>
    </row>
    <row r="63" spans="1:59" ht="14.25" customHeight="1" x14ac:dyDescent="0.25">
      <c r="A63" s="791"/>
      <c r="B63" s="414" t="s">
        <v>108</v>
      </c>
      <c r="C63" s="410" t="s">
        <v>147</v>
      </c>
      <c r="D63" s="410" t="s">
        <v>148</v>
      </c>
      <c r="E63" s="415" t="s">
        <v>91</v>
      </c>
      <c r="F63" s="130"/>
      <c r="G63" s="130"/>
      <c r="H63" s="730"/>
      <c r="I63" s="730"/>
      <c r="J63" s="730"/>
      <c r="K63" s="730"/>
      <c r="L63" s="730"/>
      <c r="M63" s="730"/>
      <c r="N63" s="730"/>
      <c r="O63" s="730"/>
      <c r="P63" s="730"/>
      <c r="Q63" s="730"/>
      <c r="R63" s="730"/>
      <c r="S63" s="730"/>
      <c r="T63" s="730"/>
      <c r="U63" s="730"/>
      <c r="V63" s="730"/>
      <c r="W63" s="730"/>
      <c r="X63" s="730"/>
      <c r="Y63" s="730"/>
      <c r="Z63" s="730"/>
      <c r="AA63" s="730"/>
      <c r="AB63" s="730"/>
      <c r="AC63" s="730"/>
      <c r="AD63" s="730"/>
      <c r="AE63" s="730"/>
      <c r="AF63" s="730"/>
      <c r="AG63" s="730"/>
      <c r="AH63" s="730"/>
      <c r="AI63" s="730"/>
      <c r="AJ63" s="730"/>
      <c r="AK63" s="730"/>
      <c r="AL63" s="730"/>
      <c r="AM63" s="730"/>
      <c r="AN63" s="730"/>
      <c r="AO63" s="730"/>
      <c r="AP63" s="730"/>
      <c r="AQ63" s="730"/>
      <c r="AR63" s="730"/>
      <c r="AS63" s="730"/>
      <c r="AT63" s="730"/>
      <c r="AU63" s="730"/>
      <c r="AV63" s="730"/>
      <c r="AW63" s="730"/>
      <c r="AX63" s="730"/>
      <c r="AY63" s="730"/>
      <c r="AZ63" s="730"/>
      <c r="BA63" s="730"/>
      <c r="BB63" s="730"/>
      <c r="BC63" s="730"/>
      <c r="BD63" s="730"/>
      <c r="BE63" s="730"/>
      <c r="BF63" s="730"/>
      <c r="BG63" s="730"/>
    </row>
    <row r="64" spans="1:59" ht="23.25" customHeight="1" x14ac:dyDescent="0.25">
      <c r="A64" s="792" t="s">
        <v>149</v>
      </c>
      <c r="B64" s="412" t="s">
        <v>150</v>
      </c>
      <c r="C64" s="412" t="s">
        <v>151</v>
      </c>
      <c r="D64" s="412" t="s">
        <v>151</v>
      </c>
      <c r="E64" s="412" t="s">
        <v>151</v>
      </c>
      <c r="F64" s="298"/>
      <c r="G64" s="298"/>
      <c r="H64" s="774"/>
      <c r="I64" s="774"/>
      <c r="J64" s="774"/>
      <c r="K64" s="774"/>
      <c r="L64" s="774"/>
      <c r="M64" s="774"/>
      <c r="N64" s="774"/>
      <c r="O64" s="774"/>
      <c r="P64" s="774"/>
      <c r="Q64" s="774"/>
      <c r="R64" s="774"/>
      <c r="S64" s="774"/>
      <c r="T64" s="774"/>
      <c r="U64" s="774"/>
      <c r="V64" s="774"/>
      <c r="W64" s="774"/>
      <c r="X64" s="774"/>
      <c r="Y64" s="774"/>
      <c r="Z64" s="774"/>
      <c r="AA64" s="774"/>
      <c r="AB64" s="774"/>
      <c r="AC64" s="774"/>
      <c r="AD64" s="774"/>
      <c r="AE64" s="774"/>
      <c r="AF64" s="774"/>
      <c r="AG64" s="774"/>
      <c r="AH64" s="774"/>
      <c r="AI64" s="774"/>
      <c r="AJ64" s="774"/>
      <c r="AK64" s="774"/>
      <c r="AL64" s="774"/>
      <c r="AM64" s="774"/>
      <c r="AN64" s="774"/>
      <c r="AO64" s="774"/>
      <c r="AP64" s="774"/>
      <c r="AQ64" s="774"/>
      <c r="AR64" s="774"/>
      <c r="AS64" s="774"/>
      <c r="AT64" s="774"/>
      <c r="AU64" s="774"/>
      <c r="AV64" s="774"/>
      <c r="AW64" s="774"/>
      <c r="AX64" s="774"/>
      <c r="AY64" s="774"/>
      <c r="AZ64" s="774"/>
      <c r="BA64" s="774"/>
      <c r="BB64" s="774"/>
      <c r="BC64" s="774"/>
      <c r="BD64" s="774"/>
      <c r="BE64" s="774"/>
      <c r="BF64" s="774"/>
      <c r="BG64" s="774"/>
    </row>
    <row r="65" spans="1:59" ht="14.25" customHeight="1" x14ac:dyDescent="0.25">
      <c r="A65" s="792"/>
      <c r="B65" s="412" t="s">
        <v>152</v>
      </c>
      <c r="C65" s="412" t="s">
        <v>153</v>
      </c>
      <c r="D65" s="412" t="s">
        <v>154</v>
      </c>
      <c r="E65" s="412" t="s">
        <v>154</v>
      </c>
      <c r="F65" s="298"/>
      <c r="G65" s="298"/>
      <c r="H65" s="774"/>
      <c r="I65" s="774"/>
      <c r="J65" s="774"/>
      <c r="K65" s="774"/>
      <c r="L65" s="774"/>
      <c r="M65" s="774"/>
      <c r="N65" s="774"/>
      <c r="O65" s="774"/>
      <c r="P65" s="774"/>
      <c r="Q65" s="774"/>
      <c r="R65" s="774"/>
      <c r="S65" s="774"/>
      <c r="T65" s="774"/>
      <c r="U65" s="774"/>
      <c r="V65" s="774"/>
      <c r="W65" s="774"/>
      <c r="X65" s="774"/>
      <c r="Y65" s="774"/>
      <c r="Z65" s="774"/>
      <c r="AA65" s="774"/>
      <c r="AB65" s="774"/>
      <c r="AC65" s="774"/>
      <c r="AD65" s="774"/>
      <c r="AE65" s="774"/>
      <c r="AF65" s="774"/>
      <c r="AG65" s="774"/>
      <c r="AH65" s="774"/>
      <c r="AI65" s="774"/>
      <c r="AJ65" s="774"/>
      <c r="AK65" s="774"/>
      <c r="AL65" s="774"/>
      <c r="AM65" s="774"/>
      <c r="AN65" s="774"/>
      <c r="AO65" s="774"/>
      <c r="AP65" s="774"/>
      <c r="AQ65" s="774"/>
      <c r="AR65" s="774"/>
      <c r="AS65" s="774"/>
      <c r="AT65" s="774"/>
      <c r="AU65" s="774"/>
      <c r="AV65" s="774"/>
      <c r="AW65" s="774"/>
      <c r="AX65" s="774"/>
      <c r="AY65" s="774"/>
      <c r="AZ65" s="774"/>
      <c r="BA65" s="774"/>
      <c r="BB65" s="774"/>
      <c r="BC65" s="774"/>
      <c r="BD65" s="774"/>
      <c r="BE65" s="774"/>
      <c r="BF65" s="774"/>
      <c r="BG65" s="774"/>
    </row>
    <row r="66" spans="1:59" ht="23.25" customHeight="1" x14ac:dyDescent="0.25">
      <c r="A66" s="792"/>
      <c r="B66" s="412" t="s">
        <v>155</v>
      </c>
      <c r="C66" s="416" t="s">
        <v>156</v>
      </c>
      <c r="D66" s="412" t="s">
        <v>151</v>
      </c>
      <c r="E66" s="412" t="s">
        <v>151</v>
      </c>
      <c r="F66" s="299"/>
      <c r="G66" s="299"/>
      <c r="H66" s="774"/>
      <c r="I66" s="774"/>
      <c r="J66" s="774"/>
      <c r="K66" s="774"/>
      <c r="L66" s="774"/>
      <c r="M66" s="774"/>
      <c r="N66" s="774"/>
      <c r="O66" s="774"/>
      <c r="P66" s="774"/>
      <c r="Q66" s="774"/>
      <c r="R66" s="774"/>
      <c r="S66" s="774"/>
      <c r="T66" s="774"/>
      <c r="U66" s="774"/>
      <c r="V66" s="774"/>
      <c r="W66" s="774"/>
      <c r="X66" s="774"/>
      <c r="Y66" s="774"/>
      <c r="Z66" s="774"/>
      <c r="AA66" s="774"/>
      <c r="AB66" s="774"/>
      <c r="AC66" s="774"/>
      <c r="AD66" s="774"/>
      <c r="AE66" s="774"/>
      <c r="AF66" s="774"/>
      <c r="AG66" s="774"/>
      <c r="AH66" s="774"/>
      <c r="AI66" s="774"/>
      <c r="AJ66" s="774"/>
      <c r="AK66" s="774"/>
      <c r="AL66" s="774"/>
      <c r="AM66" s="774"/>
      <c r="AN66" s="774"/>
      <c r="AO66" s="774"/>
      <c r="AP66" s="774"/>
      <c r="AQ66" s="774"/>
      <c r="AR66" s="774"/>
      <c r="AS66" s="774"/>
      <c r="AT66" s="774"/>
      <c r="AU66" s="774"/>
      <c r="AV66" s="774"/>
      <c r="AW66" s="774"/>
      <c r="AX66" s="774"/>
      <c r="AY66" s="774"/>
      <c r="AZ66" s="774"/>
      <c r="BA66" s="774"/>
      <c r="BB66" s="774"/>
      <c r="BC66" s="774"/>
      <c r="BD66" s="774"/>
      <c r="BE66" s="774"/>
      <c r="BF66" s="774"/>
      <c r="BG66" s="774"/>
    </row>
    <row r="67" spans="1:59" ht="14.4" customHeight="1" x14ac:dyDescent="0.25">
      <c r="A67" s="793"/>
      <c r="B67" s="412" t="s">
        <v>157</v>
      </c>
      <c r="C67" s="416" t="s">
        <v>158</v>
      </c>
      <c r="D67" s="412" t="s">
        <v>154</v>
      </c>
      <c r="E67" s="412" t="s">
        <v>154</v>
      </c>
      <c r="F67" s="250"/>
      <c r="G67" s="250"/>
      <c r="H67" s="730"/>
      <c r="I67" s="730"/>
      <c r="J67" s="730"/>
      <c r="K67" s="730"/>
      <c r="L67" s="730"/>
      <c r="M67" s="730"/>
      <c r="N67" s="730"/>
      <c r="O67" s="730"/>
      <c r="P67" s="730"/>
      <c r="Q67" s="730"/>
      <c r="R67" s="730"/>
      <c r="S67" s="730"/>
      <c r="T67" s="730"/>
      <c r="U67" s="730"/>
      <c r="V67" s="730"/>
      <c r="W67" s="730"/>
      <c r="X67" s="730"/>
      <c r="Y67" s="730"/>
      <c r="Z67" s="730"/>
      <c r="AA67" s="730"/>
      <c r="AB67" s="730"/>
      <c r="AC67" s="730"/>
      <c r="AD67" s="730"/>
      <c r="AE67" s="730"/>
      <c r="AF67" s="730"/>
      <c r="AG67" s="730"/>
      <c r="AH67" s="730"/>
      <c r="AI67" s="730"/>
      <c r="AJ67" s="730"/>
      <c r="AK67" s="730"/>
      <c r="AL67" s="730"/>
      <c r="AM67" s="730"/>
      <c r="AN67" s="730"/>
      <c r="AO67" s="730"/>
      <c r="AP67" s="730"/>
      <c r="AQ67" s="730"/>
      <c r="AR67" s="730"/>
      <c r="AS67" s="730"/>
      <c r="AT67" s="730"/>
      <c r="AU67" s="730"/>
      <c r="AV67" s="730"/>
      <c r="AW67" s="730"/>
      <c r="AX67" s="730"/>
      <c r="AY67" s="730"/>
      <c r="AZ67" s="730"/>
      <c r="BA67" s="730"/>
      <c r="BB67" s="730"/>
      <c r="BC67" s="730"/>
      <c r="BD67" s="730"/>
      <c r="BE67" s="730"/>
      <c r="BF67" s="730"/>
      <c r="BG67" s="730"/>
    </row>
    <row r="68" spans="1:59" ht="18.600000000000001" customHeight="1" x14ac:dyDescent="0.25">
      <c r="A68" s="777" t="s">
        <v>159</v>
      </c>
      <c r="B68" s="777"/>
      <c r="C68" s="777"/>
      <c r="D68" s="777"/>
      <c r="E68" s="777"/>
      <c r="F68" s="130"/>
      <c r="G68" s="239"/>
      <c r="H68" s="730"/>
      <c r="I68" s="730"/>
      <c r="J68" s="730"/>
      <c r="K68" s="730"/>
      <c r="L68" s="730"/>
      <c r="M68" s="730"/>
      <c r="N68" s="730"/>
      <c r="O68" s="730"/>
      <c r="P68" s="730"/>
      <c r="Q68" s="730"/>
      <c r="R68" s="730"/>
      <c r="S68" s="730"/>
      <c r="T68" s="730"/>
      <c r="U68" s="730"/>
      <c r="V68" s="730"/>
      <c r="W68" s="730"/>
      <c r="X68" s="730"/>
      <c r="Y68" s="730"/>
      <c r="Z68" s="730"/>
      <c r="AA68" s="730"/>
      <c r="AB68" s="730"/>
      <c r="AC68" s="730"/>
      <c r="AD68" s="730"/>
      <c r="AE68" s="730"/>
      <c r="AF68" s="730"/>
      <c r="AG68" s="730"/>
      <c r="AH68" s="730"/>
      <c r="AI68" s="730"/>
      <c r="AJ68" s="730"/>
      <c r="AK68" s="730"/>
      <c r="AL68" s="730"/>
      <c r="AM68" s="730"/>
      <c r="AN68" s="730"/>
      <c r="AO68" s="730"/>
      <c r="AP68" s="730"/>
      <c r="AQ68" s="730"/>
      <c r="AR68" s="730"/>
      <c r="AS68" s="730"/>
      <c r="AT68" s="730"/>
      <c r="AU68" s="730"/>
      <c r="AV68" s="730"/>
      <c r="AW68" s="730"/>
      <c r="AX68" s="730"/>
      <c r="AY68" s="730"/>
      <c r="AZ68" s="730"/>
      <c r="BA68" s="730"/>
      <c r="BB68" s="730"/>
      <c r="BC68" s="730"/>
      <c r="BD68" s="730"/>
      <c r="BE68" s="730"/>
      <c r="BF68" s="730"/>
      <c r="BG68" s="730"/>
    </row>
    <row r="69" spans="1:59" ht="34.950000000000003" customHeight="1" x14ac:dyDescent="0.25">
      <c r="A69" s="437" t="s">
        <v>160</v>
      </c>
      <c r="B69" s="437"/>
      <c r="C69" s="438">
        <v>100</v>
      </c>
      <c r="D69" s="439">
        <v>30</v>
      </c>
      <c r="E69" s="436" t="s">
        <v>161</v>
      </c>
      <c r="F69" s="131"/>
    </row>
    <row r="70" spans="1:59" x14ac:dyDescent="0.25">
      <c r="A70" s="778" t="s">
        <v>162</v>
      </c>
      <c r="B70" s="446" t="s">
        <v>107</v>
      </c>
      <c r="C70" s="440" t="s">
        <v>111</v>
      </c>
      <c r="D70" s="441">
        <v>0.4</v>
      </c>
      <c r="E70" s="430">
        <v>0.51</v>
      </c>
    </row>
    <row r="71" spans="1:59" x14ac:dyDescent="0.25">
      <c r="A71" s="779"/>
      <c r="B71" s="442" t="s">
        <v>108</v>
      </c>
      <c r="C71" s="443">
        <v>1.52</v>
      </c>
      <c r="D71" s="444">
        <v>0.03</v>
      </c>
      <c r="E71" s="433">
        <v>0.04</v>
      </c>
    </row>
    <row r="72" spans="1:59" x14ac:dyDescent="0.25">
      <c r="A72" s="780"/>
      <c r="B72" s="442" t="s">
        <v>110</v>
      </c>
      <c r="C72" s="442"/>
      <c r="D72" s="442"/>
      <c r="E72" s="431" t="s">
        <v>163</v>
      </c>
    </row>
    <row r="73" spans="1:59" x14ac:dyDescent="0.25">
      <c r="A73" s="429" t="s">
        <v>164</v>
      </c>
      <c r="B73" s="429"/>
      <c r="C73" s="434" t="s">
        <v>165</v>
      </c>
      <c r="D73" s="429" t="s">
        <v>166</v>
      </c>
      <c r="E73" s="429" t="s">
        <v>167</v>
      </c>
    </row>
    <row r="74" spans="1:59" x14ac:dyDescent="0.25">
      <c r="A74" s="433" t="s">
        <v>168</v>
      </c>
      <c r="B74" s="433"/>
      <c r="C74" s="433">
        <v>180</v>
      </c>
      <c r="D74" s="433">
        <v>180</v>
      </c>
      <c r="E74" s="432">
        <v>212</v>
      </c>
    </row>
    <row r="75" spans="1:59" x14ac:dyDescent="0.25">
      <c r="A75" s="185"/>
      <c r="B75" s="185"/>
      <c r="C75" s="185"/>
      <c r="D75" s="185"/>
      <c r="E75" s="241"/>
    </row>
    <row r="76" spans="1:59" ht="26.4" x14ac:dyDescent="0.25">
      <c r="A76" s="232" t="s">
        <v>169</v>
      </c>
      <c r="B76" s="374"/>
      <c r="C76" s="447">
        <f>775*264.17</f>
        <v>204731.75</v>
      </c>
      <c r="D76" s="448">
        <v>71224</v>
      </c>
      <c r="E76" s="449">
        <f>363.28*264.17</f>
        <v>95967.677599999995</v>
      </c>
    </row>
    <row r="77" spans="1:59" x14ac:dyDescent="0.25">
      <c r="A77" s="185"/>
      <c r="B77" s="185"/>
      <c r="E77" s="241"/>
    </row>
    <row r="78" spans="1:59" x14ac:dyDescent="0.25">
      <c r="A78" s="185"/>
      <c r="B78" s="185"/>
      <c r="D78" s="445"/>
      <c r="E78" s="241"/>
    </row>
    <row r="79" spans="1:59" x14ac:dyDescent="0.25">
      <c r="A79" s="185"/>
      <c r="B79" s="185"/>
      <c r="D79" s="445"/>
      <c r="E79" s="241"/>
    </row>
    <row r="80" spans="1:59" x14ac:dyDescent="0.25">
      <c r="A80" s="794" t="s">
        <v>170</v>
      </c>
      <c r="B80" s="795"/>
      <c r="C80" s="795"/>
      <c r="E80" s="435"/>
    </row>
    <row r="81" spans="1:21" ht="14.4" x14ac:dyDescent="0.3">
      <c r="A81" t="s">
        <v>171</v>
      </c>
      <c r="B81"/>
      <c r="C81"/>
      <c r="D81"/>
      <c r="E81"/>
      <c r="F81"/>
      <c r="G81"/>
      <c r="H81"/>
      <c r="I81"/>
      <c r="J81"/>
      <c r="K81"/>
      <c r="M81"/>
      <c r="N81"/>
      <c r="O81"/>
      <c r="P81"/>
      <c r="Q81"/>
      <c r="R81"/>
      <c r="S81"/>
    </row>
    <row r="82" spans="1:21" ht="14.4" x14ac:dyDescent="0.3">
      <c r="A82"/>
      <c r="B82"/>
      <c r="C82"/>
      <c r="D82"/>
      <c r="E82"/>
      <c r="F82"/>
      <c r="G82"/>
      <c r="H82"/>
      <c r="I82"/>
      <c r="J82"/>
      <c r="K82"/>
      <c r="L82"/>
      <c r="M82"/>
      <c r="O82"/>
      <c r="P82"/>
      <c r="Q82"/>
      <c r="R82"/>
      <c r="S82"/>
      <c r="T82"/>
      <c r="U82"/>
    </row>
    <row r="83" spans="1:21" ht="14.4" x14ac:dyDescent="0.3">
      <c r="A83"/>
      <c r="B83"/>
      <c r="C83"/>
      <c r="D83"/>
      <c r="E83"/>
      <c r="F83"/>
      <c r="G83"/>
      <c r="H83"/>
      <c r="I83"/>
      <c r="J83"/>
      <c r="K83"/>
      <c r="L83"/>
      <c r="M83"/>
      <c r="N83"/>
      <c r="O83"/>
      <c r="P83"/>
      <c r="Q83"/>
      <c r="R83"/>
      <c r="S83"/>
      <c r="T83"/>
      <c r="U83"/>
    </row>
    <row r="84" spans="1:21" ht="14.4" x14ac:dyDescent="0.3">
      <c r="A84"/>
      <c r="B84"/>
      <c r="C84"/>
      <c r="D84"/>
      <c r="E84"/>
      <c r="F84"/>
      <c r="G84"/>
      <c r="H84"/>
      <c r="I84"/>
      <c r="J84"/>
      <c r="K84"/>
      <c r="L84"/>
      <c r="M84"/>
      <c r="N84"/>
      <c r="O84"/>
      <c r="P84"/>
      <c r="Q84"/>
      <c r="R84"/>
      <c r="S84"/>
      <c r="T84"/>
      <c r="U84"/>
    </row>
    <row r="85" spans="1:21" ht="14.4" x14ac:dyDescent="0.3">
      <c r="A85"/>
      <c r="B85"/>
      <c r="C85"/>
      <c r="D85"/>
      <c r="E85"/>
      <c r="F85"/>
      <c r="G85"/>
      <c r="H85"/>
      <c r="I85"/>
      <c r="J85"/>
      <c r="K85"/>
      <c r="L85"/>
      <c r="M85"/>
      <c r="N85"/>
      <c r="O85"/>
      <c r="P85"/>
      <c r="Q85"/>
      <c r="R85"/>
      <c r="S85"/>
      <c r="T85"/>
      <c r="U85"/>
    </row>
    <row r="86" spans="1:21" ht="14.4" x14ac:dyDescent="0.3">
      <c r="A86"/>
      <c r="B86"/>
      <c r="C86"/>
      <c r="D86"/>
      <c r="E86"/>
      <c r="F86"/>
      <c r="G86"/>
      <c r="H86"/>
      <c r="I86"/>
      <c r="J86"/>
      <c r="K86"/>
      <c r="L86"/>
      <c r="M86"/>
      <c r="N86"/>
      <c r="O86"/>
      <c r="P86"/>
      <c r="Q86"/>
      <c r="R86"/>
      <c r="S86"/>
      <c r="T86"/>
      <c r="U86"/>
    </row>
    <row r="87" spans="1:21" ht="14.4" x14ac:dyDescent="0.3">
      <c r="A87"/>
      <c r="B87"/>
      <c r="C87"/>
      <c r="D87"/>
      <c r="E87"/>
      <c r="F87"/>
      <c r="G87"/>
      <c r="H87"/>
      <c r="I87"/>
      <c r="J87"/>
      <c r="K87"/>
      <c r="L87"/>
      <c r="M87"/>
      <c r="N87"/>
      <c r="O87"/>
      <c r="P87"/>
      <c r="Q87"/>
      <c r="R87"/>
      <c r="S87"/>
      <c r="T87"/>
      <c r="U87"/>
    </row>
    <row r="88" spans="1:21" ht="14.4" x14ac:dyDescent="0.3">
      <c r="A88"/>
      <c r="B88"/>
      <c r="C88"/>
      <c r="D88"/>
      <c r="E88"/>
      <c r="F88"/>
      <c r="G88"/>
      <c r="H88"/>
      <c r="I88"/>
      <c r="J88"/>
      <c r="K88"/>
      <c r="L88"/>
      <c r="M88"/>
      <c r="N88"/>
      <c r="O88"/>
      <c r="P88"/>
      <c r="Q88"/>
      <c r="R88"/>
      <c r="S88"/>
      <c r="T88"/>
      <c r="U88"/>
    </row>
    <row r="89" spans="1:21" ht="14.4" x14ac:dyDescent="0.3">
      <c r="A89"/>
      <c r="B89"/>
      <c r="C89"/>
      <c r="D89"/>
      <c r="E89"/>
      <c r="F89"/>
      <c r="G89"/>
      <c r="H89"/>
      <c r="I89"/>
      <c r="J89"/>
      <c r="K89"/>
      <c r="L89"/>
      <c r="M89"/>
      <c r="N89"/>
      <c r="O89"/>
      <c r="P89"/>
      <c r="Q89"/>
      <c r="R89"/>
      <c r="S89"/>
      <c r="T89"/>
      <c r="U89"/>
    </row>
    <row r="90" spans="1:21" ht="14.4" x14ac:dyDescent="0.3">
      <c r="A90"/>
      <c r="B90"/>
      <c r="C90"/>
      <c r="D90"/>
      <c r="E90"/>
      <c r="F90"/>
      <c r="G90"/>
      <c r="H90"/>
      <c r="I90"/>
      <c r="J90"/>
      <c r="K90"/>
      <c r="L90"/>
      <c r="M90"/>
      <c r="N90"/>
      <c r="O90"/>
      <c r="P90"/>
      <c r="Q90"/>
      <c r="R90"/>
      <c r="S90"/>
      <c r="T90"/>
      <c r="U90"/>
    </row>
    <row r="91" spans="1:21" ht="14.4" x14ac:dyDescent="0.3">
      <c r="A91"/>
      <c r="B91"/>
      <c r="C91"/>
      <c r="D91"/>
      <c r="E91"/>
      <c r="F91"/>
      <c r="G91"/>
      <c r="H91"/>
      <c r="I91"/>
      <c r="J91"/>
      <c r="K91"/>
      <c r="L91"/>
      <c r="M91"/>
      <c r="N91"/>
      <c r="O91"/>
      <c r="P91"/>
      <c r="Q91"/>
      <c r="R91"/>
      <c r="S91"/>
      <c r="T91"/>
      <c r="U91"/>
    </row>
    <row r="92" spans="1:21" ht="14.4" x14ac:dyDescent="0.3">
      <c r="A92"/>
      <c r="B92"/>
      <c r="C92"/>
      <c r="D92"/>
      <c r="E92"/>
      <c r="F92"/>
      <c r="G92"/>
      <c r="H92"/>
      <c r="I92"/>
      <c r="J92"/>
      <c r="K92"/>
      <c r="L92"/>
      <c r="M92"/>
      <c r="N92"/>
      <c r="O92"/>
      <c r="P92"/>
      <c r="Q92"/>
      <c r="R92"/>
      <c r="S92"/>
      <c r="T92"/>
      <c r="U92"/>
    </row>
    <row r="93" spans="1:21" ht="14.4" x14ac:dyDescent="0.3">
      <c r="A93"/>
      <c r="B93"/>
      <c r="C93"/>
      <c r="D93"/>
      <c r="E93"/>
      <c r="F93"/>
      <c r="G93"/>
      <c r="H93"/>
      <c r="I93"/>
      <c r="J93"/>
      <c r="K93"/>
      <c r="L93"/>
      <c r="M93"/>
      <c r="N93"/>
      <c r="O93"/>
      <c r="P93"/>
      <c r="Q93"/>
      <c r="R93"/>
      <c r="S93"/>
      <c r="T93"/>
      <c r="U93"/>
    </row>
    <row r="94" spans="1:21" ht="14.4" x14ac:dyDescent="0.3">
      <c r="A94"/>
      <c r="B94"/>
      <c r="C94"/>
      <c r="D94"/>
      <c r="E94"/>
      <c r="F94"/>
      <c r="G94"/>
      <c r="H94"/>
      <c r="I94"/>
      <c r="J94"/>
      <c r="K94"/>
      <c r="L94"/>
      <c r="M94"/>
      <c r="N94"/>
      <c r="O94"/>
      <c r="P94"/>
      <c r="Q94"/>
      <c r="R94"/>
      <c r="S94"/>
      <c r="T94"/>
      <c r="U94"/>
    </row>
    <row r="95" spans="1:21" ht="14.4" x14ac:dyDescent="0.3">
      <c r="A95"/>
      <c r="B95"/>
      <c r="C95"/>
      <c r="D95"/>
      <c r="E95"/>
      <c r="F95"/>
      <c r="G95"/>
      <c r="H95"/>
      <c r="I95"/>
      <c r="J95"/>
      <c r="K95"/>
      <c r="L95"/>
      <c r="M95"/>
      <c r="N95"/>
      <c r="O95"/>
      <c r="P95"/>
      <c r="Q95"/>
      <c r="R95"/>
      <c r="S95"/>
      <c r="T95"/>
      <c r="U95"/>
    </row>
    <row r="96" spans="1:21" ht="14.4" x14ac:dyDescent="0.3">
      <c r="A96"/>
      <c r="B96"/>
      <c r="C96"/>
      <c r="D96"/>
      <c r="E96"/>
      <c r="F96"/>
      <c r="G96"/>
      <c r="H96"/>
      <c r="I96"/>
      <c r="J96"/>
      <c r="K96"/>
      <c r="L96"/>
      <c r="M96"/>
      <c r="N96"/>
      <c r="O96"/>
      <c r="P96"/>
      <c r="Q96"/>
      <c r="R96"/>
      <c r="S96"/>
      <c r="T96"/>
      <c r="U96"/>
    </row>
    <row r="97" spans="1:21" ht="14.4" x14ac:dyDescent="0.3">
      <c r="A97"/>
      <c r="B97"/>
      <c r="C97"/>
      <c r="D97"/>
      <c r="E97"/>
      <c r="F97"/>
      <c r="G97"/>
      <c r="H97"/>
      <c r="I97"/>
      <c r="J97"/>
      <c r="K97"/>
      <c r="L97"/>
      <c r="M97"/>
      <c r="N97"/>
      <c r="O97"/>
      <c r="P97"/>
      <c r="Q97"/>
      <c r="R97"/>
      <c r="S97"/>
      <c r="T97"/>
      <c r="U97"/>
    </row>
    <row r="98" spans="1:21" ht="14.4" x14ac:dyDescent="0.3">
      <c r="A98"/>
      <c r="B98"/>
      <c r="C98"/>
      <c r="D98"/>
      <c r="E98"/>
      <c r="F98"/>
      <c r="G98"/>
      <c r="H98"/>
      <c r="I98"/>
      <c r="J98"/>
      <c r="K98"/>
      <c r="L98"/>
      <c r="M98"/>
      <c r="N98"/>
      <c r="O98"/>
      <c r="P98"/>
      <c r="Q98"/>
      <c r="R98"/>
      <c r="S98"/>
      <c r="T98"/>
      <c r="U98"/>
    </row>
    <row r="99" spans="1:21" ht="14.4" x14ac:dyDescent="0.3">
      <c r="A99"/>
      <c r="B99"/>
      <c r="C99"/>
      <c r="D99"/>
      <c r="E99"/>
      <c r="F99"/>
      <c r="G99"/>
      <c r="H99"/>
      <c r="I99"/>
      <c r="J99"/>
      <c r="K99"/>
      <c r="L99"/>
      <c r="M99"/>
      <c r="N99"/>
      <c r="O99"/>
      <c r="P99"/>
      <c r="Q99"/>
      <c r="R99"/>
      <c r="S99"/>
      <c r="T99"/>
      <c r="U99"/>
    </row>
    <row r="100" spans="1:21" ht="14.4" x14ac:dyDescent="0.3">
      <c r="A100"/>
      <c r="B100"/>
      <c r="C100"/>
      <c r="D100"/>
      <c r="E100"/>
      <c r="F100"/>
      <c r="G100"/>
      <c r="H100"/>
      <c r="I100"/>
      <c r="J100"/>
      <c r="K100"/>
      <c r="L100"/>
      <c r="M100"/>
      <c r="N100"/>
      <c r="O100"/>
      <c r="P100"/>
      <c r="Q100"/>
      <c r="R100"/>
      <c r="S100"/>
      <c r="T100"/>
      <c r="U100"/>
    </row>
    <row r="101" spans="1:21" ht="14.4" x14ac:dyDescent="0.3">
      <c r="A101"/>
      <c r="B101"/>
      <c r="C101"/>
      <c r="D101"/>
      <c r="E101"/>
      <c r="F101"/>
      <c r="G101"/>
      <c r="H101"/>
      <c r="I101"/>
      <c r="J101"/>
      <c r="K101"/>
      <c r="L101"/>
      <c r="M101"/>
      <c r="N101"/>
      <c r="O101"/>
      <c r="P101"/>
      <c r="Q101"/>
      <c r="R101"/>
      <c r="S101"/>
      <c r="T101"/>
      <c r="U101"/>
    </row>
    <row r="102" spans="1:21" ht="14.4" x14ac:dyDescent="0.3">
      <c r="A102"/>
      <c r="B102"/>
      <c r="C102"/>
      <c r="D102"/>
      <c r="E102"/>
      <c r="F102"/>
      <c r="G102"/>
      <c r="H102"/>
      <c r="I102"/>
      <c r="J102"/>
      <c r="K102"/>
      <c r="L102"/>
      <c r="M102"/>
      <c r="N102"/>
      <c r="O102"/>
      <c r="P102"/>
      <c r="Q102"/>
      <c r="R102"/>
      <c r="S102"/>
      <c r="T102"/>
      <c r="U102"/>
    </row>
    <row r="103" spans="1:21" ht="14.4" x14ac:dyDescent="0.3">
      <c r="A103"/>
      <c r="B103"/>
      <c r="C103"/>
      <c r="D103"/>
      <c r="E103"/>
      <c r="F103"/>
      <c r="G103"/>
      <c r="H103"/>
      <c r="I103"/>
      <c r="J103"/>
      <c r="K103"/>
      <c r="L103"/>
      <c r="M103"/>
      <c r="N103"/>
      <c r="O103"/>
      <c r="P103"/>
      <c r="Q103"/>
      <c r="R103"/>
      <c r="S103"/>
      <c r="T103"/>
      <c r="U103"/>
    </row>
    <row r="104" spans="1:21" ht="14.4" x14ac:dyDescent="0.3">
      <c r="A104"/>
      <c r="B104"/>
      <c r="C104"/>
      <c r="D104"/>
      <c r="E104"/>
      <c r="F104"/>
      <c r="G104"/>
      <c r="H104"/>
      <c r="I104"/>
      <c r="J104"/>
      <c r="K104"/>
      <c r="L104"/>
      <c r="M104"/>
      <c r="N104"/>
      <c r="O104"/>
      <c r="P104"/>
      <c r="Q104"/>
      <c r="R104"/>
      <c r="S104"/>
      <c r="T104"/>
      <c r="U104"/>
    </row>
    <row r="105" spans="1:21" ht="14.4" x14ac:dyDescent="0.3">
      <c r="A105"/>
      <c r="B105"/>
      <c r="C105"/>
      <c r="D105"/>
      <c r="E105"/>
      <c r="F105"/>
      <c r="G105"/>
      <c r="H105"/>
      <c r="I105"/>
      <c r="J105"/>
      <c r="K105"/>
      <c r="L105"/>
      <c r="M105"/>
      <c r="N105"/>
      <c r="O105"/>
      <c r="P105"/>
      <c r="Q105"/>
      <c r="R105"/>
      <c r="S105"/>
      <c r="T105"/>
      <c r="U105"/>
    </row>
    <row r="106" spans="1:21" ht="14.4" x14ac:dyDescent="0.3">
      <c r="A106"/>
      <c r="B106"/>
      <c r="C106"/>
      <c r="D106"/>
      <c r="E106"/>
      <c r="F106"/>
      <c r="G106"/>
      <c r="H106"/>
      <c r="I106"/>
      <c r="J106"/>
      <c r="K106"/>
      <c r="L106"/>
      <c r="M106"/>
      <c r="N106"/>
      <c r="O106"/>
      <c r="P106"/>
      <c r="Q106"/>
      <c r="R106"/>
      <c r="S106"/>
      <c r="T106"/>
      <c r="U106"/>
    </row>
    <row r="107" spans="1:21" ht="14.4" x14ac:dyDescent="0.3">
      <c r="A107"/>
      <c r="B107"/>
      <c r="C107"/>
      <c r="D107"/>
      <c r="E107"/>
      <c r="F107"/>
      <c r="G107"/>
      <c r="H107"/>
      <c r="I107"/>
      <c r="J107"/>
      <c r="K107"/>
      <c r="L107"/>
      <c r="M107"/>
      <c r="N107"/>
      <c r="O107"/>
      <c r="P107"/>
      <c r="Q107"/>
      <c r="R107"/>
      <c r="S107"/>
      <c r="T107"/>
      <c r="U107"/>
    </row>
    <row r="108" spans="1:21" ht="14.4" x14ac:dyDescent="0.3">
      <c r="A108"/>
      <c r="B108"/>
      <c r="C108"/>
      <c r="D108"/>
      <c r="E108"/>
      <c r="F108"/>
      <c r="G108"/>
      <c r="H108"/>
      <c r="I108"/>
      <c r="J108"/>
      <c r="K108"/>
      <c r="L108"/>
      <c r="M108"/>
      <c r="N108"/>
      <c r="O108"/>
      <c r="P108"/>
      <c r="Q108"/>
      <c r="R108"/>
      <c r="S108"/>
      <c r="T108"/>
      <c r="U108"/>
    </row>
    <row r="109" spans="1:21" ht="14.4" x14ac:dyDescent="0.3">
      <c r="A109"/>
      <c r="B109"/>
      <c r="C109"/>
      <c r="D109"/>
      <c r="E109"/>
      <c r="F109"/>
      <c r="G109"/>
      <c r="H109"/>
      <c r="I109"/>
      <c r="J109"/>
      <c r="K109"/>
      <c r="L109"/>
      <c r="M109"/>
      <c r="N109"/>
      <c r="O109"/>
      <c r="P109"/>
      <c r="Q109"/>
      <c r="R109"/>
      <c r="S109"/>
      <c r="T109"/>
      <c r="U109"/>
    </row>
    <row r="119" spans="1:37" ht="14.4" hidden="1" thickBot="1" x14ac:dyDescent="0.3"/>
    <row r="120" spans="1:37" s="57" customFormat="1" ht="18.75" hidden="1" customHeight="1" x14ac:dyDescent="0.25">
      <c r="A120" s="783" t="s">
        <v>172</v>
      </c>
      <c r="B120" s="784"/>
      <c r="C120" s="784"/>
      <c r="D120" s="784"/>
      <c r="E120" s="785"/>
      <c r="T120" s="78"/>
      <c r="U120" s="98"/>
      <c r="V120" s="99"/>
      <c r="W120" s="99"/>
      <c r="X120" s="99"/>
      <c r="Y120" s="99"/>
      <c r="Z120" s="99"/>
      <c r="AA120" s="99"/>
      <c r="AB120" s="99"/>
      <c r="AC120" s="99"/>
      <c r="AD120" s="99"/>
      <c r="AE120" s="99"/>
      <c r="AF120" s="99"/>
      <c r="AG120" s="99"/>
      <c r="AH120" s="99"/>
      <c r="AI120" s="99"/>
      <c r="AJ120" s="99"/>
      <c r="AK120" s="99"/>
    </row>
    <row r="121" spans="1:37" s="57" customFormat="1" ht="12.6" hidden="1" customHeight="1" x14ac:dyDescent="0.25">
      <c r="A121" s="569" t="s">
        <v>173</v>
      </c>
      <c r="B121" s="568" t="s">
        <v>174</v>
      </c>
      <c r="C121" s="568" t="s">
        <v>175</v>
      </c>
      <c r="D121" s="568" t="s">
        <v>176</v>
      </c>
      <c r="E121" s="570" t="s">
        <v>177</v>
      </c>
      <c r="T121" s="78"/>
      <c r="U121" s="98"/>
      <c r="V121" s="99"/>
      <c r="W121" s="99"/>
      <c r="X121" s="99"/>
      <c r="Y121" s="99"/>
      <c r="Z121" s="99"/>
      <c r="AA121" s="99"/>
      <c r="AB121" s="99"/>
      <c r="AC121" s="99"/>
      <c r="AD121" s="99"/>
      <c r="AE121" s="99"/>
      <c r="AF121" s="99"/>
      <c r="AG121" s="99"/>
      <c r="AH121" s="99"/>
      <c r="AI121" s="99"/>
      <c r="AJ121" s="99"/>
      <c r="AK121" s="99"/>
    </row>
    <row r="122" spans="1:37" s="57" customFormat="1" ht="121.5" hidden="1" customHeight="1" x14ac:dyDescent="0.25">
      <c r="A122" s="571" t="s">
        <v>95</v>
      </c>
      <c r="B122" s="563"/>
      <c r="C122" s="563"/>
      <c r="D122" s="563"/>
      <c r="E122" s="572"/>
      <c r="T122" s="78"/>
      <c r="U122" s="98"/>
      <c r="V122" s="99"/>
      <c r="W122" s="99"/>
      <c r="X122" s="99"/>
      <c r="Y122" s="99"/>
      <c r="Z122" s="99"/>
      <c r="AA122" s="99"/>
      <c r="AB122" s="99"/>
      <c r="AC122" s="99"/>
      <c r="AD122" s="99"/>
      <c r="AE122" s="99"/>
      <c r="AF122" s="99"/>
      <c r="AG122" s="99"/>
      <c r="AH122" s="99"/>
      <c r="AI122" s="99"/>
      <c r="AJ122" s="99"/>
      <c r="AK122" s="99"/>
    </row>
    <row r="123" spans="1:37" s="57" customFormat="1" ht="12.6" hidden="1" customHeight="1" x14ac:dyDescent="0.25">
      <c r="A123" s="571" t="s">
        <v>76</v>
      </c>
      <c r="B123" s="563">
        <v>1</v>
      </c>
      <c r="C123" s="563">
        <v>1</v>
      </c>
      <c r="D123" s="563">
        <v>1</v>
      </c>
      <c r="E123" s="572">
        <v>1</v>
      </c>
      <c r="T123" s="78"/>
      <c r="U123" s="98"/>
      <c r="V123" s="99"/>
      <c r="W123" s="99"/>
      <c r="X123" s="99"/>
      <c r="Y123" s="99"/>
      <c r="Z123" s="99"/>
      <c r="AA123" s="99"/>
      <c r="AB123" s="99"/>
      <c r="AC123" s="99"/>
      <c r="AD123" s="99"/>
      <c r="AE123" s="99"/>
      <c r="AF123" s="99"/>
      <c r="AG123" s="99"/>
      <c r="AH123" s="99"/>
      <c r="AI123" s="99"/>
      <c r="AJ123" s="99"/>
      <c r="AK123" s="99"/>
    </row>
    <row r="124" spans="1:37" s="57" customFormat="1" ht="12.6" hidden="1" customHeight="1" x14ac:dyDescent="0.25">
      <c r="A124" s="573" t="s">
        <v>178</v>
      </c>
      <c r="B124" s="574"/>
      <c r="C124" s="574"/>
      <c r="D124" s="574"/>
      <c r="E124" s="575"/>
      <c r="T124" s="78"/>
      <c r="U124" s="98"/>
      <c r="V124" s="99"/>
      <c r="W124" s="99"/>
      <c r="X124" s="99"/>
      <c r="Y124" s="99"/>
      <c r="Z124" s="99"/>
      <c r="AA124" s="99"/>
      <c r="AB124" s="99"/>
      <c r="AC124" s="99"/>
      <c r="AD124" s="99"/>
      <c r="AE124" s="99"/>
      <c r="AF124" s="99"/>
      <c r="AG124" s="99"/>
      <c r="AH124" s="99"/>
      <c r="AI124" s="99"/>
      <c r="AJ124" s="99"/>
      <c r="AK124" s="99"/>
    </row>
    <row r="125" spans="1:37" s="57" customFormat="1" ht="12.6" hidden="1" customHeight="1" x14ac:dyDescent="0.25">
      <c r="A125" s="576" t="s">
        <v>179</v>
      </c>
      <c r="B125" s="577">
        <v>2500.2399999999998</v>
      </c>
      <c r="C125" s="577">
        <v>5002.33</v>
      </c>
      <c r="D125" s="577">
        <v>3996.2094000000002</v>
      </c>
      <c r="E125" s="578">
        <v>2500.8869</v>
      </c>
      <c r="T125" s="78"/>
      <c r="U125" s="98"/>
      <c r="V125" s="99"/>
      <c r="W125" s="99"/>
      <c r="X125" s="99"/>
      <c r="Y125" s="99"/>
      <c r="Z125" s="99"/>
      <c r="AA125" s="99"/>
      <c r="AB125" s="99"/>
      <c r="AC125" s="99"/>
      <c r="AD125" s="99"/>
      <c r="AE125" s="99"/>
      <c r="AF125" s="99"/>
      <c r="AG125" s="99"/>
      <c r="AH125" s="99"/>
      <c r="AI125" s="99"/>
      <c r="AJ125" s="99"/>
      <c r="AK125" s="99"/>
    </row>
    <row r="126" spans="1:37" s="57" customFormat="1" ht="12.6" hidden="1" customHeight="1" x14ac:dyDescent="0.25">
      <c r="A126" s="576" t="s">
        <v>180</v>
      </c>
      <c r="B126" s="577">
        <v>2786.59</v>
      </c>
      <c r="C126" s="577">
        <v>2786.59</v>
      </c>
      <c r="D126" s="577">
        <v>1998.1047000000001</v>
      </c>
      <c r="E126" s="578">
        <v>2786.3458999999998</v>
      </c>
      <c r="T126" s="78"/>
      <c r="U126" s="98"/>
      <c r="V126" s="99"/>
      <c r="W126" s="99"/>
      <c r="X126" s="99"/>
      <c r="Y126" s="99"/>
      <c r="Z126" s="99"/>
      <c r="AA126" s="99"/>
      <c r="AB126" s="99"/>
      <c r="AC126" s="99"/>
      <c r="AD126" s="99"/>
      <c r="AE126" s="99"/>
      <c r="AF126" s="99"/>
      <c r="AG126" s="99"/>
      <c r="AH126" s="99"/>
      <c r="AI126" s="99"/>
      <c r="AJ126" s="99"/>
      <c r="AK126" s="99"/>
    </row>
    <row r="127" spans="1:37" s="57" customFormat="1" ht="12.6" hidden="1" customHeight="1" x14ac:dyDescent="0.25">
      <c r="A127" s="576" t="s">
        <v>181</v>
      </c>
      <c r="B127" s="577">
        <v>2001.08</v>
      </c>
      <c r="C127" s="577">
        <v>2001.08</v>
      </c>
      <c r="D127" s="577">
        <v>2324.3588</v>
      </c>
      <c r="E127" s="578">
        <v>2000.9032999999999</v>
      </c>
      <c r="T127" s="78"/>
      <c r="U127" s="98"/>
      <c r="V127" s="99"/>
      <c r="W127" s="99"/>
      <c r="X127" s="99"/>
      <c r="Y127" s="99"/>
      <c r="Z127" s="99"/>
      <c r="AA127" s="99"/>
      <c r="AB127" s="99"/>
      <c r="AC127" s="99"/>
      <c r="AD127" s="99"/>
      <c r="AE127" s="99"/>
      <c r="AF127" s="99"/>
      <c r="AG127" s="99"/>
      <c r="AH127" s="99"/>
      <c r="AI127" s="99"/>
      <c r="AJ127" s="99"/>
      <c r="AK127" s="99"/>
    </row>
    <row r="128" spans="1:37" s="57" customFormat="1" ht="12.6" hidden="1" customHeight="1" x14ac:dyDescent="0.25">
      <c r="A128" s="576" t="s">
        <v>182</v>
      </c>
      <c r="B128" s="577">
        <v>280.14</v>
      </c>
      <c r="C128" s="577">
        <v>280.14</v>
      </c>
      <c r="D128" s="577">
        <v>580.82060000000001</v>
      </c>
      <c r="E128" s="578">
        <v>280.07690000000002</v>
      </c>
      <c r="T128" s="78"/>
      <c r="U128" s="98"/>
      <c r="V128" s="99"/>
      <c r="W128" s="99"/>
      <c r="X128" s="99"/>
      <c r="Y128" s="99"/>
      <c r="Z128" s="99"/>
      <c r="AA128" s="99"/>
      <c r="AB128" s="99"/>
      <c r="AC128" s="99"/>
      <c r="AD128" s="99"/>
      <c r="AE128" s="99"/>
      <c r="AF128" s="99"/>
      <c r="AG128" s="99"/>
      <c r="AH128" s="99"/>
      <c r="AI128" s="99"/>
      <c r="AJ128" s="99"/>
      <c r="AK128" s="99"/>
    </row>
    <row r="129" spans="1:37" s="57" customFormat="1" ht="12.6" hidden="1" customHeight="1" x14ac:dyDescent="0.25">
      <c r="A129" s="576" t="s">
        <v>183</v>
      </c>
      <c r="B129" s="577">
        <v>0</v>
      </c>
      <c r="C129" s="577">
        <v>0</v>
      </c>
      <c r="D129" s="577">
        <v>0</v>
      </c>
      <c r="E129" s="578">
        <v>0</v>
      </c>
      <c r="T129" s="78"/>
      <c r="U129" s="98"/>
      <c r="V129" s="99"/>
      <c r="W129" s="99"/>
      <c r="X129" s="99"/>
      <c r="Y129" s="99"/>
      <c r="Z129" s="99"/>
      <c r="AA129" s="99"/>
      <c r="AB129" s="99"/>
      <c r="AC129" s="99"/>
      <c r="AD129" s="99"/>
      <c r="AE129" s="99"/>
      <c r="AF129" s="99"/>
      <c r="AG129" s="99"/>
      <c r="AH129" s="99"/>
      <c r="AI129" s="99"/>
      <c r="AJ129" s="99"/>
      <c r="AK129" s="99"/>
    </row>
    <row r="130" spans="1:37" s="57" customFormat="1" ht="12.6" hidden="1" customHeight="1" x14ac:dyDescent="0.25">
      <c r="A130" s="576" t="s">
        <v>184</v>
      </c>
      <c r="B130" s="577">
        <v>14</v>
      </c>
      <c r="C130" s="577">
        <v>14</v>
      </c>
      <c r="D130" s="577">
        <v>24.99</v>
      </c>
      <c r="E130" s="578">
        <v>14</v>
      </c>
      <c r="T130" s="78"/>
      <c r="U130" s="98"/>
      <c r="V130" s="99"/>
      <c r="W130" s="99"/>
      <c r="X130" s="99"/>
      <c r="Y130" s="99"/>
      <c r="Z130" s="99"/>
      <c r="AA130" s="99"/>
      <c r="AB130" s="99"/>
      <c r="AC130" s="99"/>
      <c r="AD130" s="99"/>
      <c r="AE130" s="99"/>
      <c r="AF130" s="99"/>
      <c r="AG130" s="99"/>
      <c r="AH130" s="99"/>
      <c r="AI130" s="99"/>
      <c r="AJ130" s="99"/>
      <c r="AK130" s="99"/>
    </row>
    <row r="131" spans="1:37" s="57" customFormat="1" ht="12.6" hidden="1" customHeight="1" x14ac:dyDescent="0.25">
      <c r="A131" s="569" t="s">
        <v>185</v>
      </c>
      <c r="B131" s="568"/>
      <c r="C131" s="568"/>
      <c r="D131" s="568"/>
      <c r="E131" s="570"/>
      <c r="T131" s="78"/>
      <c r="U131" s="98"/>
      <c r="V131" s="99"/>
      <c r="W131" s="99"/>
      <c r="X131" s="99"/>
      <c r="Y131" s="99"/>
      <c r="Z131" s="99"/>
      <c r="AA131" s="99"/>
      <c r="AB131" s="99"/>
      <c r="AC131" s="99"/>
      <c r="AD131" s="99"/>
      <c r="AE131" s="99"/>
      <c r="AF131" s="99"/>
      <c r="AG131" s="99"/>
      <c r="AH131" s="99"/>
      <c r="AI131" s="99"/>
      <c r="AJ131" s="99"/>
      <c r="AK131" s="99"/>
    </row>
    <row r="132" spans="1:37" s="57" customFormat="1" ht="12.6" hidden="1" customHeight="1" x14ac:dyDescent="0.25">
      <c r="A132" s="576" t="s">
        <v>186</v>
      </c>
      <c r="B132" s="577">
        <v>45</v>
      </c>
      <c r="C132" s="577">
        <v>45.02</v>
      </c>
      <c r="D132" s="577">
        <v>39.083399999999997</v>
      </c>
      <c r="E132" s="578">
        <v>93.82</v>
      </c>
      <c r="T132" s="78"/>
      <c r="U132" s="98"/>
      <c r="V132" s="99"/>
      <c r="W132" s="99"/>
      <c r="X132" s="99"/>
      <c r="Y132" s="99"/>
      <c r="Z132" s="99"/>
      <c r="AA132" s="99"/>
      <c r="AB132" s="99"/>
      <c r="AC132" s="99"/>
      <c r="AD132" s="99"/>
      <c r="AE132" s="99"/>
      <c r="AF132" s="99"/>
      <c r="AG132" s="99"/>
      <c r="AH132" s="99"/>
      <c r="AI132" s="99"/>
      <c r="AJ132" s="99"/>
      <c r="AK132" s="99"/>
    </row>
    <row r="133" spans="1:37" s="57" customFormat="1" ht="29.25" hidden="1" customHeight="1" x14ac:dyDescent="0.25">
      <c r="A133" s="576" t="s">
        <v>187</v>
      </c>
      <c r="B133" s="577">
        <f>IFERROR(B132/B125*1000,0)</f>
        <v>17.998272165872081</v>
      </c>
      <c r="C133" s="577">
        <f>IFERROR(C132/C125*1000,0)</f>
        <v>8.9998060903618917</v>
      </c>
      <c r="D133" s="577">
        <f>IFERROR(D132/D125*1000,0)</f>
        <v>9.7801181289448937</v>
      </c>
      <c r="E133" s="578">
        <f>IFERROR(E132/E125*1000,0)</f>
        <v>37.51469128811862</v>
      </c>
      <c r="T133" s="78"/>
      <c r="U133" s="98"/>
      <c r="V133" s="99"/>
      <c r="W133" s="99"/>
      <c r="X133" s="99"/>
      <c r="Y133" s="99"/>
      <c r="Z133" s="99"/>
      <c r="AA133" s="99"/>
      <c r="AB133" s="99"/>
      <c r="AC133" s="99"/>
      <c r="AD133" s="99"/>
      <c r="AE133" s="99"/>
      <c r="AF133" s="99"/>
      <c r="AG133" s="99"/>
      <c r="AH133" s="99"/>
      <c r="AI133" s="99"/>
      <c r="AJ133" s="99"/>
      <c r="AK133" s="99"/>
    </row>
    <row r="134" spans="1:37" s="57" customFormat="1" ht="12.6" hidden="1" customHeight="1" x14ac:dyDescent="0.25">
      <c r="A134" s="576" t="s">
        <v>188</v>
      </c>
      <c r="B134" s="577">
        <v>1749.9487999999999</v>
      </c>
      <c r="C134" s="577">
        <v>1750.5926999999999</v>
      </c>
      <c r="D134" s="577">
        <v>2786.5021000000002</v>
      </c>
      <c r="E134" s="578">
        <v>1591.4940999999999</v>
      </c>
      <c r="T134" s="78"/>
      <c r="U134" s="98"/>
      <c r="V134" s="99"/>
      <c r="W134" s="99"/>
      <c r="X134" s="99"/>
      <c r="Y134" s="99"/>
      <c r="Z134" s="99"/>
      <c r="AA134" s="99"/>
      <c r="AB134" s="99"/>
      <c r="AC134" s="99"/>
      <c r="AD134" s="99"/>
      <c r="AE134" s="99"/>
      <c r="AF134" s="99"/>
      <c r="AG134" s="99"/>
      <c r="AH134" s="99"/>
      <c r="AI134" s="99"/>
      <c r="AJ134" s="99"/>
      <c r="AK134" s="99"/>
    </row>
    <row r="135" spans="1:37" s="57" customFormat="1" ht="12.6" hidden="1" customHeight="1" x14ac:dyDescent="0.25">
      <c r="A135" s="576" t="s">
        <v>189</v>
      </c>
      <c r="B135" s="577">
        <f>IFERROR(B134/B125,0)</f>
        <v>0.699912328416472</v>
      </c>
      <c r="C135" s="577">
        <f>IFERROR(C134/C125,0)</f>
        <v>0.34995546075528805</v>
      </c>
      <c r="D135" s="577">
        <f>IFERROR(D134/D125,0)</f>
        <v>0.69728630837012695</v>
      </c>
      <c r="E135" s="578">
        <f>IFERROR(E134/E125,0)</f>
        <v>0.63637188071159867</v>
      </c>
      <c r="T135" s="78"/>
      <c r="U135" s="98"/>
      <c r="V135" s="99"/>
      <c r="W135" s="99"/>
      <c r="X135" s="99"/>
      <c r="Y135" s="99"/>
      <c r="Z135" s="99"/>
      <c r="AA135" s="99"/>
      <c r="AB135" s="99"/>
      <c r="AC135" s="99"/>
      <c r="AD135" s="99"/>
      <c r="AE135" s="99"/>
      <c r="AF135" s="99"/>
      <c r="AG135" s="99"/>
      <c r="AH135" s="99"/>
      <c r="AI135" s="99"/>
      <c r="AJ135" s="99"/>
      <c r="AK135" s="99"/>
    </row>
    <row r="136" spans="1:37" s="57" customFormat="1" ht="12.6" hidden="1" customHeight="1" x14ac:dyDescent="0.25">
      <c r="A136" s="576" t="s">
        <v>190</v>
      </c>
      <c r="B136" s="577">
        <v>17067.240000000002</v>
      </c>
      <c r="C136" s="577">
        <v>16083.7997</v>
      </c>
      <c r="D136" s="577">
        <v>6950.2541000000001</v>
      </c>
      <c r="E136" s="578">
        <v>130161.46829999999</v>
      </c>
      <c r="T136" s="78"/>
      <c r="U136" s="98"/>
      <c r="V136" s="99"/>
      <c r="W136" s="99"/>
      <c r="X136" s="99"/>
      <c r="Y136" s="99"/>
      <c r="Z136" s="99"/>
      <c r="AA136" s="99"/>
      <c r="AB136" s="99"/>
      <c r="AC136" s="99"/>
      <c r="AD136" s="99"/>
      <c r="AE136" s="99"/>
      <c r="AF136" s="99"/>
      <c r="AG136" s="99"/>
      <c r="AH136" s="99"/>
      <c r="AI136" s="99"/>
      <c r="AJ136" s="99"/>
      <c r="AK136" s="99"/>
    </row>
    <row r="137" spans="1:37" s="57" customFormat="1" ht="30" hidden="1" customHeight="1" x14ac:dyDescent="0.25">
      <c r="A137" s="576" t="s">
        <v>191</v>
      </c>
      <c r="B137" s="577">
        <f>IFERROR(B136/B125,0)</f>
        <v>6.8262406808946352</v>
      </c>
      <c r="C137" s="577">
        <f>IFERROR(C136/C125,0)</f>
        <v>3.215261628081314</v>
      </c>
      <c r="D137" s="577">
        <f>IFERROR(D136/D125,0)</f>
        <v>1.7392116889570401</v>
      </c>
      <c r="E137" s="578">
        <f>IFERROR(E136/E125,0)</f>
        <v>52.046123437249399</v>
      </c>
      <c r="T137" s="78"/>
      <c r="U137" s="98"/>
      <c r="V137" s="99"/>
      <c r="W137" s="99"/>
      <c r="X137" s="99"/>
      <c r="Y137" s="99"/>
      <c r="Z137" s="99"/>
      <c r="AA137" s="99"/>
      <c r="AB137" s="99"/>
      <c r="AC137" s="99"/>
      <c r="AD137" s="99"/>
      <c r="AE137" s="99"/>
      <c r="AF137" s="99"/>
      <c r="AG137" s="99"/>
      <c r="AH137" s="99"/>
      <c r="AI137" s="99"/>
      <c r="AJ137" s="99"/>
      <c r="AK137" s="99"/>
    </row>
    <row r="138" spans="1:37" s="57" customFormat="1" ht="12.6" hidden="1" customHeight="1" x14ac:dyDescent="0.25">
      <c r="A138" s="579" t="s">
        <v>192</v>
      </c>
      <c r="B138" s="580"/>
      <c r="C138" s="580"/>
      <c r="D138" s="580"/>
      <c r="E138" s="581"/>
      <c r="T138" s="78"/>
      <c r="U138" s="98"/>
      <c r="V138" s="99"/>
      <c r="W138" s="99"/>
      <c r="X138" s="99"/>
      <c r="Y138" s="99"/>
      <c r="Z138" s="99"/>
      <c r="AA138" s="99"/>
      <c r="AB138" s="99"/>
      <c r="AC138" s="99"/>
      <c r="AD138" s="99"/>
      <c r="AE138" s="99"/>
      <c r="AF138" s="99"/>
      <c r="AG138" s="99"/>
      <c r="AH138" s="99"/>
      <c r="AI138" s="99"/>
      <c r="AJ138" s="99"/>
      <c r="AK138" s="99"/>
    </row>
    <row r="139" spans="1:37" s="57" customFormat="1" ht="12.6" hidden="1" customHeight="1" x14ac:dyDescent="0.25">
      <c r="A139" s="576" t="s">
        <v>193</v>
      </c>
      <c r="B139" s="577">
        <v>381.70740000000001</v>
      </c>
      <c r="C139" s="577">
        <v>2806.2321999999999</v>
      </c>
      <c r="D139" s="582">
        <v>669.23779999999999</v>
      </c>
      <c r="E139" s="578">
        <v>1202.0406</v>
      </c>
      <c r="T139" s="78"/>
      <c r="U139" s="98"/>
      <c r="V139" s="99"/>
      <c r="W139" s="99"/>
      <c r="X139" s="99"/>
      <c r="Y139" s="99"/>
      <c r="Z139" s="99"/>
      <c r="AA139" s="99"/>
      <c r="AB139" s="99"/>
      <c r="AC139" s="99"/>
      <c r="AD139" s="99"/>
      <c r="AE139" s="99"/>
      <c r="AF139" s="99"/>
      <c r="AG139" s="99"/>
      <c r="AH139" s="99"/>
      <c r="AI139" s="99"/>
      <c r="AJ139" s="99"/>
      <c r="AK139" s="99"/>
    </row>
    <row r="140" spans="1:37" s="57" customFormat="1" ht="12.6" hidden="1" customHeight="1" x14ac:dyDescent="0.25">
      <c r="A140" s="576" t="s">
        <v>194</v>
      </c>
      <c r="B140" s="577">
        <f>IFERROR(B139/B125,0)</f>
        <v>0.15266830384283112</v>
      </c>
      <c r="C140" s="577">
        <f>IFERROR(C139/C125,0)</f>
        <v>0.56098502098022318</v>
      </c>
      <c r="D140" s="582">
        <f>IFERROR(D139/D125,0)</f>
        <v>0.16746815119347849</v>
      </c>
      <c r="E140" s="578">
        <f>IFERROR(E139/E125,0)</f>
        <v>0.48064572612220091</v>
      </c>
      <c r="T140" s="78"/>
      <c r="U140" s="98"/>
      <c r="V140" s="99"/>
      <c r="W140" s="99"/>
      <c r="X140" s="99"/>
      <c r="Y140" s="99"/>
      <c r="Z140" s="99"/>
      <c r="AA140" s="99"/>
      <c r="AB140" s="99"/>
      <c r="AC140" s="99"/>
      <c r="AD140" s="99"/>
      <c r="AE140" s="99"/>
      <c r="AF140" s="99"/>
      <c r="AG140" s="99"/>
      <c r="AH140" s="99"/>
      <c r="AI140" s="99"/>
      <c r="AJ140" s="99"/>
      <c r="AK140" s="99"/>
    </row>
    <row r="141" spans="1:37" s="57" customFormat="1" ht="12.6" hidden="1" customHeight="1" x14ac:dyDescent="0.25">
      <c r="A141" s="576" t="s">
        <v>195</v>
      </c>
      <c r="B141" s="577">
        <f>IFERROR(B139/B132,0)</f>
        <v>8.4823866666666667</v>
      </c>
      <c r="C141" s="577">
        <f>IFERROR(C139/C132,0)</f>
        <v>62.333011994669029</v>
      </c>
      <c r="D141" s="582">
        <f>IFERROR(D139/D132,0)</f>
        <v>17.123326015648587</v>
      </c>
      <c r="E141" s="578">
        <f>IFERROR(E139/E132,0)</f>
        <v>12.812199957365168</v>
      </c>
      <c r="T141" s="78"/>
      <c r="U141" s="98"/>
      <c r="V141" s="99"/>
      <c r="W141" s="99"/>
      <c r="X141" s="99"/>
      <c r="Y141" s="99"/>
      <c r="Z141" s="99"/>
      <c r="AA141" s="99"/>
      <c r="AB141" s="99"/>
      <c r="AC141" s="99"/>
      <c r="AD141" s="99"/>
      <c r="AE141" s="99"/>
      <c r="AF141" s="99"/>
      <c r="AG141" s="99"/>
      <c r="AH141" s="99"/>
      <c r="AI141" s="99"/>
      <c r="AJ141" s="99"/>
      <c r="AK141" s="99"/>
    </row>
    <row r="142" spans="1:37" s="57" customFormat="1" ht="12.6" hidden="1" customHeight="1" x14ac:dyDescent="0.25">
      <c r="A142" s="583" t="s">
        <v>196</v>
      </c>
      <c r="B142" s="584"/>
      <c r="C142" s="584"/>
      <c r="D142" s="584"/>
      <c r="E142" s="585"/>
      <c r="T142" s="78"/>
      <c r="U142" s="98"/>
      <c r="V142" s="99"/>
      <c r="W142" s="99"/>
      <c r="X142" s="99"/>
      <c r="Y142" s="99"/>
      <c r="Z142" s="99"/>
      <c r="AA142" s="99"/>
      <c r="AB142" s="99"/>
      <c r="AC142" s="99"/>
      <c r="AD142" s="99"/>
      <c r="AE142" s="99"/>
      <c r="AF142" s="99"/>
      <c r="AG142" s="99"/>
      <c r="AH142" s="99"/>
      <c r="AI142" s="99"/>
      <c r="AJ142" s="99"/>
      <c r="AK142" s="99"/>
    </row>
    <row r="143" spans="1:37" s="57" customFormat="1" ht="75" hidden="1" customHeight="1" x14ac:dyDescent="0.25">
      <c r="A143" s="576" t="s">
        <v>197</v>
      </c>
      <c r="B143" s="586" t="s">
        <v>198</v>
      </c>
      <c r="C143" s="586" t="s">
        <v>199</v>
      </c>
      <c r="D143" s="586" t="s">
        <v>200</v>
      </c>
      <c r="E143" s="587" t="s">
        <v>201</v>
      </c>
      <c r="T143" s="78"/>
      <c r="U143" s="98"/>
      <c r="V143" s="99"/>
      <c r="W143" s="99"/>
      <c r="X143" s="99"/>
      <c r="Y143" s="99"/>
      <c r="Z143" s="99"/>
      <c r="AA143" s="99"/>
      <c r="AB143" s="99"/>
      <c r="AC143" s="99"/>
      <c r="AD143" s="99"/>
      <c r="AE143" s="99"/>
      <c r="AF143" s="99"/>
      <c r="AG143" s="99"/>
      <c r="AH143" s="99"/>
      <c r="AI143" s="99"/>
      <c r="AJ143" s="99"/>
      <c r="AK143" s="99"/>
    </row>
    <row r="144" spans="1:37" s="57" customFormat="1" ht="75" hidden="1" customHeight="1" thickBot="1" x14ac:dyDescent="0.3">
      <c r="A144" s="588" t="s">
        <v>159</v>
      </c>
      <c r="B144" s="589" t="s">
        <v>202</v>
      </c>
      <c r="C144" s="589" t="s">
        <v>202</v>
      </c>
      <c r="D144" s="589" t="s">
        <v>202</v>
      </c>
      <c r="E144" s="590" t="s">
        <v>202</v>
      </c>
      <c r="T144" s="78"/>
      <c r="U144" s="98"/>
      <c r="V144" s="99"/>
      <c r="W144" s="99"/>
      <c r="X144" s="99"/>
      <c r="Y144" s="99"/>
      <c r="Z144" s="99"/>
      <c r="AA144" s="99"/>
      <c r="AB144" s="99"/>
      <c r="AC144" s="99"/>
      <c r="AD144" s="99"/>
      <c r="AE144" s="99"/>
      <c r="AF144" s="99"/>
      <c r="AG144" s="99"/>
      <c r="AH144" s="99"/>
      <c r="AI144" s="99"/>
      <c r="AJ144" s="99"/>
      <c r="AK144" s="99"/>
    </row>
    <row r="145" spans="1:37" s="57" customFormat="1" ht="12.6" hidden="1" customHeight="1" x14ac:dyDescent="0.25">
      <c r="A145" s="563"/>
      <c r="B145" s="563"/>
      <c r="C145" s="563"/>
      <c r="D145" s="563"/>
      <c r="E145" s="563"/>
      <c r="T145" s="78"/>
      <c r="U145" s="98"/>
      <c r="V145" s="99"/>
      <c r="W145" s="99"/>
      <c r="X145" s="99"/>
      <c r="Y145" s="99"/>
      <c r="Z145" s="99"/>
      <c r="AA145" s="99"/>
      <c r="AB145" s="99"/>
      <c r="AC145" s="99"/>
      <c r="AD145" s="99"/>
      <c r="AE145" s="99"/>
      <c r="AF145" s="99"/>
      <c r="AG145" s="99"/>
      <c r="AH145" s="99"/>
      <c r="AI145" s="99"/>
      <c r="AJ145" s="99"/>
      <c r="AK145" s="99"/>
    </row>
    <row r="146" spans="1:37" s="57" customFormat="1" ht="12.6" hidden="1" customHeight="1" x14ac:dyDescent="0.25">
      <c r="A146" s="568"/>
      <c r="B146" s="568"/>
      <c r="C146" s="568"/>
      <c r="D146" s="568"/>
      <c r="E146" s="568"/>
      <c r="T146" s="78"/>
      <c r="U146" s="98"/>
      <c r="V146" s="99"/>
      <c r="W146" s="99"/>
      <c r="X146" s="99"/>
      <c r="Y146" s="99"/>
      <c r="Z146" s="99"/>
      <c r="AA146" s="99"/>
      <c r="AB146" s="99"/>
      <c r="AC146" s="99"/>
      <c r="AD146" s="99"/>
      <c r="AE146" s="99"/>
      <c r="AF146" s="99"/>
      <c r="AG146" s="99"/>
      <c r="AH146" s="99"/>
      <c r="AI146" s="99"/>
      <c r="AJ146" s="99"/>
      <c r="AK146" s="99"/>
    </row>
    <row r="147" spans="1:37" s="57" customFormat="1" ht="14.4" hidden="1" x14ac:dyDescent="0.25">
      <c r="A147" s="563"/>
      <c r="B147" s="563"/>
      <c r="C147" s="563"/>
      <c r="D147" s="563"/>
      <c r="E147" s="563"/>
      <c r="T147" s="78"/>
      <c r="U147" s="98"/>
      <c r="V147" s="99"/>
      <c r="W147" s="99"/>
      <c r="X147" s="99"/>
      <c r="Y147" s="99"/>
      <c r="Z147" s="99"/>
      <c r="AA147" s="99"/>
      <c r="AB147" s="99"/>
      <c r="AC147" s="99"/>
      <c r="AD147" s="99"/>
      <c r="AE147" s="99"/>
      <c r="AF147" s="99"/>
      <c r="AG147" s="99"/>
      <c r="AH147" s="99"/>
      <c r="AI147" s="99"/>
      <c r="AJ147" s="99"/>
      <c r="AK147" s="99"/>
    </row>
    <row r="148" spans="1:37" s="57" customFormat="1" ht="60" hidden="1" customHeight="1" x14ac:dyDescent="0.25">
      <c r="A148" s="563"/>
      <c r="B148" s="563"/>
      <c r="C148" s="563"/>
      <c r="D148" s="563"/>
      <c r="E148" s="563"/>
      <c r="T148" s="78"/>
      <c r="U148" s="98"/>
      <c r="V148" s="99"/>
      <c r="W148" s="99"/>
      <c r="X148" s="99"/>
      <c r="Y148" s="99"/>
      <c r="Z148" s="99"/>
      <c r="AA148" s="99"/>
      <c r="AB148" s="99"/>
      <c r="AC148" s="99"/>
      <c r="AD148" s="99"/>
      <c r="AE148" s="99"/>
      <c r="AF148" s="99"/>
      <c r="AG148" s="99"/>
      <c r="AH148" s="99"/>
      <c r="AI148" s="99"/>
      <c r="AJ148" s="99"/>
      <c r="AK148" s="99"/>
    </row>
    <row r="149" spans="1:37" s="57" customFormat="1" ht="24" hidden="1" customHeight="1" x14ac:dyDescent="0.25">
      <c r="A149" s="563"/>
      <c r="B149" s="563"/>
      <c r="C149" s="563"/>
      <c r="D149" s="563"/>
      <c r="E149" s="563"/>
      <c r="T149" s="78"/>
      <c r="U149" s="98"/>
      <c r="V149" s="99"/>
      <c r="W149" s="99"/>
      <c r="X149" s="99"/>
      <c r="Y149" s="99"/>
      <c r="Z149" s="99"/>
      <c r="AA149" s="99"/>
      <c r="AB149" s="99"/>
      <c r="AC149" s="99"/>
      <c r="AD149" s="99"/>
      <c r="AE149" s="99"/>
      <c r="AF149" s="99"/>
      <c r="AG149" s="99"/>
      <c r="AH149" s="99"/>
      <c r="AI149" s="99"/>
      <c r="AJ149" s="99"/>
      <c r="AK149" s="99"/>
    </row>
    <row r="150" spans="1:37" s="559" customFormat="1" ht="22.5" hidden="1" customHeight="1" x14ac:dyDescent="0.25">
      <c r="A150" s="564"/>
      <c r="B150" s="564"/>
      <c r="C150" s="564"/>
      <c r="D150" s="564"/>
      <c r="E150" s="564"/>
      <c r="T150" s="565"/>
      <c r="U150" s="566"/>
      <c r="V150" s="567"/>
      <c r="W150" s="567"/>
      <c r="X150" s="567"/>
      <c r="Y150" s="567"/>
      <c r="Z150" s="567"/>
      <c r="AA150" s="567"/>
      <c r="AB150" s="567"/>
      <c r="AC150" s="567"/>
      <c r="AD150" s="567"/>
      <c r="AE150" s="567"/>
      <c r="AF150" s="567"/>
      <c r="AG150" s="567"/>
      <c r="AH150" s="567"/>
      <c r="AI150" s="567"/>
      <c r="AJ150" s="567"/>
      <c r="AK150" s="567"/>
    </row>
  </sheetData>
  <mergeCells count="222">
    <mergeCell ref="A120:E120"/>
    <mergeCell ref="A44:E44"/>
    <mergeCell ref="A45:A47"/>
    <mergeCell ref="A48:A50"/>
    <mergeCell ref="A53:A55"/>
    <mergeCell ref="A57:E57"/>
    <mergeCell ref="A62:A63"/>
    <mergeCell ref="A64:A67"/>
    <mergeCell ref="A80:C80"/>
    <mergeCell ref="AQ64:AQ66"/>
    <mergeCell ref="AR64:AR66"/>
    <mergeCell ref="AS64:AS66"/>
    <mergeCell ref="AT64:AT66"/>
    <mergeCell ref="AU64:AU66"/>
    <mergeCell ref="AL64:AL66"/>
    <mergeCell ref="AM64:AM66"/>
    <mergeCell ref="AN64:AN66"/>
    <mergeCell ref="AO64:AO66"/>
    <mergeCell ref="AP64:AP66"/>
    <mergeCell ref="AG64:AG66"/>
    <mergeCell ref="AH64:AH66"/>
    <mergeCell ref="AI64:AI66"/>
    <mergeCell ref="AJ64:AJ66"/>
    <mergeCell ref="AK64:AK66"/>
    <mergeCell ref="AF64:AF66"/>
    <mergeCell ref="W64:W66"/>
    <mergeCell ref="X64:X66"/>
    <mergeCell ref="Y64:Y66"/>
    <mergeCell ref="Z64:Z66"/>
    <mergeCell ref="AA64:AA66"/>
    <mergeCell ref="BG64:BG66"/>
    <mergeCell ref="BA64:BA66"/>
    <mergeCell ref="BB64:BB66"/>
    <mergeCell ref="BC64:BC66"/>
    <mergeCell ref="BD64:BD66"/>
    <mergeCell ref="BE64:BE66"/>
    <mergeCell ref="AV64:AV66"/>
    <mergeCell ref="AW64:AW66"/>
    <mergeCell ref="AX64:AX66"/>
    <mergeCell ref="AY64:AY66"/>
    <mergeCell ref="AZ64:AZ66"/>
    <mergeCell ref="BF64:BF66"/>
    <mergeCell ref="M64:M66"/>
    <mergeCell ref="N64:N66"/>
    <mergeCell ref="O64:O66"/>
    <mergeCell ref="P64:P66"/>
    <mergeCell ref="Q64:Q66"/>
    <mergeCell ref="AB64:AB66"/>
    <mergeCell ref="AC64:AC66"/>
    <mergeCell ref="AD64:AD66"/>
    <mergeCell ref="AE64:AE66"/>
    <mergeCell ref="L64:L66"/>
    <mergeCell ref="BC55:BC57"/>
    <mergeCell ref="BD55:BD57"/>
    <mergeCell ref="AN55:AN57"/>
    <mergeCell ref="AO55:AO57"/>
    <mergeCell ref="AP55:AP57"/>
    <mergeCell ref="AQ55:AQ57"/>
    <mergeCell ref="AR55:AR57"/>
    <mergeCell ref="AI55:AI57"/>
    <mergeCell ref="AJ55:AJ57"/>
    <mergeCell ref="AK55:AK57"/>
    <mergeCell ref="AL55:AL57"/>
    <mergeCell ref="AM55:AM57"/>
    <mergeCell ref="AD55:AD57"/>
    <mergeCell ref="AE55:AE57"/>
    <mergeCell ref="AF55:AF57"/>
    <mergeCell ref="AG55:AG57"/>
    <mergeCell ref="AH55:AH57"/>
    <mergeCell ref="R64:R66"/>
    <mergeCell ref="Y55:Y57"/>
    <mergeCell ref="S64:S66"/>
    <mergeCell ref="T64:T66"/>
    <mergeCell ref="U64:U66"/>
    <mergeCell ref="V64:V66"/>
    <mergeCell ref="Z55:Z57"/>
    <mergeCell ref="AA55:AA57"/>
    <mergeCell ref="AB55:AB57"/>
    <mergeCell ref="AC55:AC57"/>
    <mergeCell ref="BE55:BE57"/>
    <mergeCell ref="BF55:BF57"/>
    <mergeCell ref="BG55:BG57"/>
    <mergeCell ref="AX55:AX57"/>
    <mergeCell ref="AY55:AY57"/>
    <mergeCell ref="AZ55:AZ57"/>
    <mergeCell ref="BA55:BA57"/>
    <mergeCell ref="BB55:BB57"/>
    <mergeCell ref="AS55:AS57"/>
    <mergeCell ref="AT55:AT57"/>
    <mergeCell ref="AU55:AU57"/>
    <mergeCell ref="AV55:AV57"/>
    <mergeCell ref="AW55:AW57"/>
    <mergeCell ref="BG49:BG52"/>
    <mergeCell ref="AX49:AX52"/>
    <mergeCell ref="AY49:AY52"/>
    <mergeCell ref="AZ49:AZ52"/>
    <mergeCell ref="BA49:BA52"/>
    <mergeCell ref="BB49:BB52"/>
    <mergeCell ref="H55:H57"/>
    <mergeCell ref="I55:I57"/>
    <mergeCell ref="J55:J57"/>
    <mergeCell ref="K55:K57"/>
    <mergeCell ref="L55:L57"/>
    <mergeCell ref="M55:M57"/>
    <mergeCell ref="N55:N57"/>
    <mergeCell ref="BC49:BC52"/>
    <mergeCell ref="AS49:AS52"/>
    <mergeCell ref="AT49:AT52"/>
    <mergeCell ref="AU49:AU52"/>
    <mergeCell ref="AV49:AV52"/>
    <mergeCell ref="AW49:AW52"/>
    <mergeCell ref="AN49:AN52"/>
    <mergeCell ref="AO49:AO52"/>
    <mergeCell ref="AP49:AP52"/>
    <mergeCell ref="AQ49:AQ52"/>
    <mergeCell ref="O49:O52"/>
    <mergeCell ref="BG45:BG48"/>
    <mergeCell ref="AF45:AF48"/>
    <mergeCell ref="AG45:AG48"/>
    <mergeCell ref="AH45:AH48"/>
    <mergeCell ref="AI45:AI48"/>
    <mergeCell ref="Z45:Z48"/>
    <mergeCell ref="AA45:AA48"/>
    <mergeCell ref="AB45:AB48"/>
    <mergeCell ref="AC45:AC48"/>
    <mergeCell ref="AD45:AD48"/>
    <mergeCell ref="AY45:AY48"/>
    <mergeCell ref="AZ45:AZ48"/>
    <mergeCell ref="BA45:BA48"/>
    <mergeCell ref="BB45:BB48"/>
    <mergeCell ref="BC45:BC48"/>
    <mergeCell ref="AT45:AT48"/>
    <mergeCell ref="BD45:BD48"/>
    <mergeCell ref="AJ45:AJ48"/>
    <mergeCell ref="AK45:AK48"/>
    <mergeCell ref="AL45:AL48"/>
    <mergeCell ref="AM45:AM48"/>
    <mergeCell ref="AN45:AN48"/>
    <mergeCell ref="AP45:AP48"/>
    <mergeCell ref="AQ45:AQ48"/>
    <mergeCell ref="BE45:BE48"/>
    <mergeCell ref="BF45:BF48"/>
    <mergeCell ref="X49:X52"/>
    <mergeCell ref="AI49:AI52"/>
    <mergeCell ref="AJ49:AJ52"/>
    <mergeCell ref="AK49:AK52"/>
    <mergeCell ref="W45:W48"/>
    <mergeCell ref="X45:X48"/>
    <mergeCell ref="Y45:Y48"/>
    <mergeCell ref="AG49:AG52"/>
    <mergeCell ref="AH49:AH52"/>
    <mergeCell ref="Z49:Z52"/>
    <mergeCell ref="AA49:AA52"/>
    <mergeCell ref="AB49:AB52"/>
    <mergeCell ref="AC49:AC52"/>
    <mergeCell ref="W49:W52"/>
    <mergeCell ref="BD49:BD52"/>
    <mergeCell ref="BE49:BE52"/>
    <mergeCell ref="AU45:AU48"/>
    <mergeCell ref="AV45:AV48"/>
    <mergeCell ref="AW45:AW48"/>
    <mergeCell ref="AX45:AX48"/>
    <mergeCell ref="AO45:AO48"/>
    <mergeCell ref="BF49:BF52"/>
    <mergeCell ref="AR45:AR48"/>
    <mergeCell ref="AS45:AS48"/>
    <mergeCell ref="H45:H48"/>
    <mergeCell ref="I45:I48"/>
    <mergeCell ref="J45:J48"/>
    <mergeCell ref="H49:H52"/>
    <mergeCell ref="I49:I52"/>
    <mergeCell ref="J49:J52"/>
    <mergeCell ref="K49:K52"/>
    <mergeCell ref="V45:V48"/>
    <mergeCell ref="T49:T52"/>
    <mergeCell ref="U49:U52"/>
    <mergeCell ref="V49:V52"/>
    <mergeCell ref="P45:P48"/>
    <mergeCell ref="U45:U48"/>
    <mergeCell ref="AR49:AR52"/>
    <mergeCell ref="AL49:AL52"/>
    <mergeCell ref="AM49:AM52"/>
    <mergeCell ref="AD49:AD52"/>
    <mergeCell ref="AE49:AE52"/>
    <mergeCell ref="AF49:AF52"/>
    <mergeCell ref="L49:L52"/>
    <mergeCell ref="M49:M52"/>
    <mergeCell ref="N49:N52"/>
    <mergeCell ref="AE45:AE48"/>
    <mergeCell ref="Q45:Q48"/>
    <mergeCell ref="R45:R48"/>
    <mergeCell ref="S45:S48"/>
    <mergeCell ref="T45:T48"/>
    <mergeCell ref="K45:K48"/>
    <mergeCell ref="L45:L48"/>
    <mergeCell ref="M45:M48"/>
    <mergeCell ref="N45:N48"/>
    <mergeCell ref="O45:O48"/>
    <mergeCell ref="P49:P52"/>
    <mergeCell ref="Q49:Q52"/>
    <mergeCell ref="R49:R52"/>
    <mergeCell ref="S49:S52"/>
    <mergeCell ref="Y49:Y52"/>
    <mergeCell ref="A59:A61"/>
    <mergeCell ref="A68:E68"/>
    <mergeCell ref="A70:A72"/>
    <mergeCell ref="A1:C1"/>
    <mergeCell ref="A2:C2"/>
    <mergeCell ref="T55:T57"/>
    <mergeCell ref="U55:U57"/>
    <mergeCell ref="V55:V57"/>
    <mergeCell ref="W55:W57"/>
    <mergeCell ref="X55:X57"/>
    <mergeCell ref="O55:O57"/>
    <mergeCell ref="P55:P57"/>
    <mergeCell ref="Q55:Q57"/>
    <mergeCell ref="R55:R57"/>
    <mergeCell ref="S55:S57"/>
    <mergeCell ref="H64:H66"/>
    <mergeCell ref="I64:I66"/>
    <mergeCell ref="J64:J66"/>
    <mergeCell ref="K64:K66"/>
  </mergeCells>
  <phoneticPr fontId="6" type="noConversion"/>
  <hyperlinks>
    <hyperlink ref="E7" r:id="rId1" display="https://2050partners.sharepoint.com/:w:/r/sites/CalBEMCollaborativeEfforts/Shared Documents/Working Group 1 - Streamlined Process/D - Complexity of Compliance/Prototype Unification/Project Development/Phase 2 (Collect Inputs) Development/NonRes-Vintage bins-Draft Report-30Nov2023-Final.docx?d=w8560be34ea9744e086bccf7767b0a3cf&amp;csf=1&amp;web=1&amp;e=tpxacv" xr:uid="{9B264631-F0F0-4192-B5C5-F574CB46B1DA}"/>
    <hyperlink ref="D7" r:id="rId2" xr:uid="{7C5E8E47-EF26-474C-9744-68840570FD1C}"/>
  </hyperlinks>
  <pageMargins left="0.7" right="0.7" top="0.75" bottom="0.75" header="0.3" footer="0.3"/>
  <pageSetup orientation="portrait"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DC9C1-ABE9-4C74-8C0A-F769CBEC5074}">
  <sheetPr codeName="Sheet5"/>
  <dimension ref="A1:R15"/>
  <sheetViews>
    <sheetView zoomScaleNormal="100" workbookViewId="0">
      <selection sqref="A1:M1"/>
    </sheetView>
  </sheetViews>
  <sheetFormatPr defaultColWidth="8.6640625" defaultRowHeight="13.2" x14ac:dyDescent="0.25"/>
  <cols>
    <col min="1" max="1" width="28.109375" style="57" customWidth="1"/>
    <col min="2" max="2" width="35" style="57" customWidth="1"/>
    <col min="3" max="3" width="51.6640625" style="57" customWidth="1"/>
    <col min="4" max="5" width="17.33203125" style="57" customWidth="1"/>
    <col min="6" max="6" width="22" style="57" customWidth="1"/>
    <col min="7" max="7" width="12.6640625" style="57" customWidth="1"/>
    <col min="8" max="8" width="12" style="57" bestFit="1" customWidth="1"/>
    <col min="9" max="10" width="11.33203125" style="57" customWidth="1"/>
    <col min="11" max="11" width="20.33203125" style="57" customWidth="1"/>
    <col min="12" max="12" width="29.44140625" style="57" customWidth="1"/>
    <col min="13" max="13" width="28.88671875" style="57" customWidth="1"/>
    <col min="14" max="14" width="12.6640625" style="57" customWidth="1"/>
    <col min="15" max="15" width="14.88671875" style="57" customWidth="1"/>
    <col min="16" max="16" width="22.33203125" style="57" bestFit="1" customWidth="1"/>
    <col min="17" max="17" width="18.33203125" style="57" customWidth="1"/>
    <col min="18" max="18" width="25.6640625" style="57" customWidth="1"/>
    <col min="19" max="19" width="22.6640625" style="57" customWidth="1"/>
    <col min="20" max="20" width="16.33203125" style="57" customWidth="1"/>
    <col min="21" max="21" width="6.6640625" style="57" bestFit="1" customWidth="1"/>
    <col min="22" max="26" width="17.33203125" style="57" customWidth="1"/>
    <col min="27" max="16384" width="8.6640625" style="57"/>
  </cols>
  <sheetData>
    <row r="1" spans="1:18" ht="25.95" customHeight="1" x14ac:dyDescent="0.25">
      <c r="A1" s="798" t="str">
        <f>"Proposed Layout - "&amp;Prototype!A2</f>
        <v>Proposed Layout - RestaurantFastFood</v>
      </c>
      <c r="B1" s="798"/>
      <c r="C1" s="798"/>
      <c r="D1" s="798"/>
      <c r="E1" s="798"/>
      <c r="F1" s="798"/>
      <c r="G1" s="798"/>
      <c r="H1" s="798"/>
      <c r="I1" s="798"/>
      <c r="J1" s="798"/>
      <c r="K1" s="798"/>
      <c r="L1" s="798"/>
      <c r="M1" s="798"/>
    </row>
    <row r="2" spans="1:18" ht="39.6" customHeight="1" x14ac:dyDescent="0.25">
      <c r="A2" s="684" t="s">
        <v>203</v>
      </c>
      <c r="B2" s="76" t="s">
        <v>204</v>
      </c>
      <c r="C2" s="114" t="s">
        <v>205</v>
      </c>
      <c r="D2" s="75" t="s">
        <v>206</v>
      </c>
      <c r="E2" s="75" t="s">
        <v>207</v>
      </c>
      <c r="F2" s="75" t="s">
        <v>208</v>
      </c>
      <c r="G2" s="76" t="s">
        <v>209</v>
      </c>
      <c r="H2" s="770" t="s">
        <v>210</v>
      </c>
      <c r="I2" s="75" t="s">
        <v>211</v>
      </c>
      <c r="J2" s="75" t="s">
        <v>212</v>
      </c>
      <c r="K2" s="227" t="s">
        <v>213</v>
      </c>
      <c r="L2" s="75" t="s">
        <v>214</v>
      </c>
      <c r="M2" s="75" t="s">
        <v>49</v>
      </c>
      <c r="O2" s="678"/>
      <c r="P2" s="679"/>
      <c r="Q2" s="84"/>
      <c r="R2" s="84"/>
    </row>
    <row r="3" spans="1:18" ht="17.7" customHeight="1" x14ac:dyDescent="0.25">
      <c r="A3" s="687" t="s">
        <v>50</v>
      </c>
      <c r="B3" s="685" t="s">
        <v>107</v>
      </c>
      <c r="C3" s="669" t="s">
        <v>215</v>
      </c>
      <c r="D3" s="125" t="s">
        <v>216</v>
      </c>
      <c r="E3" s="125" t="s">
        <v>217</v>
      </c>
      <c r="F3" s="125" t="s">
        <v>218</v>
      </c>
      <c r="G3" s="235">
        <f>H3/$H$6</f>
        <v>0.5</v>
      </c>
      <c r="H3" s="126">
        <v>1250.46</v>
      </c>
      <c r="I3" s="126">
        <f>H3*Prototype!$B$16</f>
        <v>12504.6</v>
      </c>
      <c r="J3" s="125">
        <v>1</v>
      </c>
      <c r="K3" s="67">
        <f>L3*H3/1000</f>
        <v>41.265180000000001</v>
      </c>
      <c r="L3" s="68">
        <v>33</v>
      </c>
      <c r="M3" s="68"/>
      <c r="O3" s="680"/>
      <c r="P3" s="681"/>
      <c r="Q3" s="84"/>
      <c r="R3" s="84"/>
    </row>
    <row r="4" spans="1:18" ht="17.7" customHeight="1" x14ac:dyDescent="0.25">
      <c r="A4" s="687" t="s">
        <v>50</v>
      </c>
      <c r="B4" s="685" t="s">
        <v>108</v>
      </c>
      <c r="C4" s="669" t="s">
        <v>219</v>
      </c>
      <c r="D4" s="125" t="s">
        <v>220</v>
      </c>
      <c r="E4" s="125" t="s">
        <v>108</v>
      </c>
      <c r="F4" s="125" t="s">
        <v>218</v>
      </c>
      <c r="G4" s="235">
        <f t="shared" ref="G4" si="0">H4/$H$6</f>
        <v>0.5</v>
      </c>
      <c r="H4" s="126">
        <v>1250.46</v>
      </c>
      <c r="I4" s="126">
        <f>H4*Prototype!$B$16</f>
        <v>12504.6</v>
      </c>
      <c r="J4" s="67">
        <v>1</v>
      </c>
      <c r="K4" s="67">
        <f t="shared" ref="K4:K5" si="1">L4*H4/1000</f>
        <v>3.7513800000000002</v>
      </c>
      <c r="L4" s="68">
        <v>3</v>
      </c>
      <c r="M4" s="68"/>
      <c r="O4" s="680"/>
      <c r="P4" s="681"/>
      <c r="Q4" s="84"/>
      <c r="R4" s="84"/>
    </row>
    <row r="5" spans="1:18" ht="17.7" customHeight="1" x14ac:dyDescent="0.25">
      <c r="A5" s="687" t="s">
        <v>50</v>
      </c>
      <c r="B5" s="685" t="s">
        <v>221</v>
      </c>
      <c r="C5" s="669" t="s">
        <v>221</v>
      </c>
      <c r="D5" s="125" t="s">
        <v>222</v>
      </c>
      <c r="E5" s="125"/>
      <c r="F5" s="125" t="s">
        <v>223</v>
      </c>
      <c r="G5" s="235"/>
      <c r="H5" s="126">
        <v>2500</v>
      </c>
      <c r="I5" s="126">
        <f>H5*Prototype!$B$16</f>
        <v>25000</v>
      </c>
      <c r="J5" s="67">
        <v>1</v>
      </c>
      <c r="K5" s="67">
        <f t="shared" si="1"/>
        <v>0</v>
      </c>
      <c r="L5" s="68"/>
      <c r="M5" s="68"/>
      <c r="O5" s="680"/>
      <c r="P5" s="681"/>
      <c r="Q5" s="84"/>
      <c r="R5" s="84"/>
    </row>
    <row r="6" spans="1:18" ht="31.95" customHeight="1" x14ac:dyDescent="0.25">
      <c r="A6" s="687" t="s">
        <v>224</v>
      </c>
      <c r="B6" s="686" t="s">
        <v>225</v>
      </c>
      <c r="C6" s="616" t="s">
        <v>226</v>
      </c>
      <c r="D6" s="369" t="s">
        <v>227</v>
      </c>
      <c r="E6" s="267" t="s">
        <v>228</v>
      </c>
      <c r="F6" s="267" t="s">
        <v>229</v>
      </c>
      <c r="G6" s="281">
        <f>SUM(G3:G4)</f>
        <v>1</v>
      </c>
      <c r="H6" s="281">
        <f>SUM(H3:H4)</f>
        <v>2500.92</v>
      </c>
      <c r="I6" s="67">
        <f>SUM(I3:I4)</f>
        <v>25009.200000000001</v>
      </c>
      <c r="J6" s="67"/>
      <c r="K6" s="67"/>
      <c r="L6" s="68"/>
      <c r="M6" s="68"/>
      <c r="O6" s="680"/>
      <c r="P6" s="681"/>
      <c r="Q6" s="84"/>
      <c r="R6" s="84"/>
    </row>
    <row r="7" spans="1:18" ht="15" customHeight="1" x14ac:dyDescent="0.25">
      <c r="A7" s="269"/>
      <c r="B7" s="269"/>
      <c r="C7" s="269"/>
      <c r="D7" s="270"/>
      <c r="E7" s="270"/>
      <c r="F7" s="271"/>
      <c r="G7" s="271"/>
      <c r="H7" s="102"/>
      <c r="I7" s="102"/>
      <c r="J7" s="102"/>
      <c r="K7" s="272"/>
      <c r="L7" s="272"/>
      <c r="O7" s="680"/>
      <c r="P7" s="681"/>
      <c r="Q7" s="84"/>
      <c r="R7" s="84"/>
    </row>
    <row r="8" spans="1:18" ht="14.4" customHeight="1" x14ac:dyDescent="0.25">
      <c r="A8" s="269"/>
      <c r="B8" s="269"/>
      <c r="C8" s="269"/>
      <c r="D8" s="270"/>
      <c r="E8" s="270"/>
      <c r="F8" s="271"/>
      <c r="G8" s="271"/>
      <c r="H8" s="102"/>
      <c r="I8" s="102"/>
      <c r="J8" s="102"/>
      <c r="K8" s="272"/>
      <c r="L8" s="272"/>
      <c r="O8" s="680"/>
      <c r="P8" s="681"/>
    </row>
    <row r="9" spans="1:18" ht="15" customHeight="1" x14ac:dyDescent="0.25">
      <c r="G9" s="70"/>
      <c r="H9" s="70"/>
      <c r="I9" s="70"/>
      <c r="J9" s="70"/>
      <c r="K9" s="755"/>
      <c r="L9" s="755"/>
      <c r="O9" s="680"/>
      <c r="P9" s="681"/>
    </row>
    <row r="10" spans="1:18" ht="14.4" customHeight="1" x14ac:dyDescent="0.25">
      <c r="A10" s="300"/>
      <c r="B10" s="300"/>
      <c r="C10" s="300"/>
      <c r="D10" s="301"/>
      <c r="E10" s="301"/>
      <c r="F10" s="302"/>
      <c r="G10" s="301"/>
      <c r="H10" s="301"/>
      <c r="I10" s="301"/>
      <c r="J10" s="301"/>
      <c r="K10" s="303"/>
      <c r="L10" s="303"/>
      <c r="O10" s="680"/>
      <c r="P10" s="681"/>
    </row>
    <row r="11" spans="1:18" ht="14.4" customHeight="1" x14ac:dyDescent="0.25">
      <c r="A11" s="300"/>
      <c r="B11" s="300"/>
      <c r="C11" s="300"/>
      <c r="D11" s="301"/>
      <c r="E11" s="301"/>
      <c r="F11" s="302"/>
      <c r="G11" s="301"/>
      <c r="H11" s="301"/>
      <c r="I11" s="301"/>
      <c r="J11" s="301"/>
      <c r="K11" s="303"/>
      <c r="L11" s="303"/>
      <c r="O11" s="682"/>
      <c r="P11" s="683"/>
    </row>
    <row r="12" spans="1:18" x14ac:dyDescent="0.25">
      <c r="A12" s="304"/>
      <c r="B12" s="304"/>
      <c r="C12" s="304"/>
      <c r="D12" s="305"/>
      <c r="E12" s="305"/>
      <c r="F12" s="305"/>
      <c r="G12" s="305"/>
      <c r="H12" s="305"/>
      <c r="I12" s="301"/>
      <c r="J12" s="301"/>
      <c r="K12" s="303"/>
      <c r="L12" s="303"/>
    </row>
    <row r="13" spans="1:18" x14ac:dyDescent="0.25">
      <c r="G13" s="70"/>
      <c r="H13" s="70"/>
      <c r="I13" s="70"/>
      <c r="J13" s="70"/>
      <c r="K13" s="70"/>
      <c r="L13" s="70"/>
    </row>
    <row r="14" spans="1:18" x14ac:dyDescent="0.25">
      <c r="G14" s="70"/>
      <c r="H14" s="70"/>
      <c r="I14" s="70"/>
      <c r="J14" s="70"/>
      <c r="K14" s="70"/>
      <c r="L14" s="70"/>
    </row>
    <row r="15" spans="1:18" ht="26.25" customHeight="1" x14ac:dyDescent="0.25">
      <c r="G15" s="70"/>
      <c r="H15" s="70"/>
      <c r="I15" s="70"/>
      <c r="J15" s="70"/>
      <c r="K15" s="70"/>
      <c r="L15" s="70"/>
    </row>
  </sheetData>
  <mergeCells count="1">
    <mergeCell ref="A1:M1"/>
  </mergeCells>
  <phoneticPr fontId="6" type="noConversion"/>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A8B1D8B2-274E-40DA-B15B-4C00BD6091D9}">
          <x14:formula1>
            <xm:f>Data!$A$2:$A$200</xm:f>
          </x14:formula1>
          <xm:sqref>C3:C5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093AA-CE58-48DD-B4C9-82527CB4498E}">
  <sheetPr codeName="Sheet2"/>
  <dimension ref="A1:BN118"/>
  <sheetViews>
    <sheetView zoomScale="85" zoomScaleNormal="85" workbookViewId="0">
      <selection sqref="A1:X1"/>
    </sheetView>
  </sheetViews>
  <sheetFormatPr defaultColWidth="9.33203125" defaultRowHeight="13.8" x14ac:dyDescent="0.25"/>
  <cols>
    <col min="1" max="1" width="17.33203125" style="103" customWidth="1"/>
    <col min="2" max="2" width="18.33203125" style="106" customWidth="1"/>
    <col min="3" max="3" width="20.88671875" style="103" customWidth="1"/>
    <col min="4" max="4" width="40.33203125" style="103" customWidth="1"/>
    <col min="5" max="5" width="13.33203125" style="103" customWidth="1"/>
    <col min="6" max="6" width="15.6640625" style="103" customWidth="1"/>
    <col min="7" max="7" width="20.5546875" style="107" customWidth="1"/>
    <col min="8" max="8" width="42.6640625" style="103" customWidth="1"/>
    <col min="9" max="9" width="6.88671875" style="103" customWidth="1"/>
    <col min="10" max="12" width="7" style="103" customWidth="1"/>
    <col min="13" max="14" width="7.33203125" style="103" customWidth="1"/>
    <col min="15" max="15" width="7" style="103" customWidth="1"/>
    <col min="16" max="16" width="7.109375" style="103" customWidth="1"/>
    <col min="17" max="17" width="7.5546875" style="103" customWidth="1"/>
    <col min="18" max="21" width="7" style="103" customWidth="1"/>
    <col min="22" max="22" width="7.6640625" style="103" customWidth="1"/>
    <col min="23" max="24" width="7" style="103" customWidth="1"/>
    <col min="25" max="25" width="9.33203125" style="103"/>
    <col min="26" max="26" width="24.109375" style="103" customWidth="1"/>
    <col min="27" max="30" width="7.6640625" style="103" customWidth="1"/>
    <col min="31" max="31" width="9.6640625" style="103" customWidth="1"/>
    <col min="32" max="32" width="7.5546875" style="103" customWidth="1"/>
    <col min="33" max="33" width="11.44140625" style="103" customWidth="1"/>
    <col min="34" max="42" width="7.6640625" style="103" customWidth="1"/>
    <col min="43" max="46" width="10.44140625" style="103" customWidth="1"/>
    <col min="47" max="47" width="9.88671875" style="103" customWidth="1"/>
    <col min="48" max="48" width="10.44140625" style="103" customWidth="1"/>
    <col min="49" max="49" width="21.6640625" style="103" customWidth="1"/>
    <col min="50" max="50" width="10.44140625" style="103" customWidth="1"/>
    <col min="51" max="53" width="7.44140625" style="103" customWidth="1"/>
    <col min="54" max="54" width="7.6640625" style="103" customWidth="1"/>
    <col min="55" max="55" width="7.44140625" style="103" customWidth="1"/>
    <col min="56" max="56" width="13.6640625" style="103" customWidth="1"/>
    <col min="57" max="60" width="7.44140625" style="103" customWidth="1"/>
    <col min="61" max="62" width="9.6640625" style="103" bestFit="1" customWidth="1"/>
    <col min="63" max="16384" width="9.33203125" style="103"/>
  </cols>
  <sheetData>
    <row r="1" spans="1:66" ht="25.2" customHeight="1" x14ac:dyDescent="0.25">
      <c r="A1" s="810" t="str">
        <f>"Envelope - "&amp;Prototype!A2</f>
        <v>Envelope - RestaurantFastFood</v>
      </c>
      <c r="B1" s="810"/>
      <c r="C1" s="810"/>
      <c r="D1" s="810"/>
      <c r="E1" s="810"/>
      <c r="F1" s="810"/>
      <c r="G1" s="810"/>
      <c r="H1" s="810"/>
      <c r="I1" s="810"/>
      <c r="J1" s="810"/>
      <c r="K1" s="810"/>
      <c r="L1" s="810"/>
      <c r="M1" s="810"/>
      <c r="N1" s="810"/>
      <c r="O1" s="810"/>
      <c r="P1" s="810"/>
      <c r="Q1" s="810"/>
      <c r="R1" s="810"/>
      <c r="S1" s="810"/>
      <c r="T1" s="810"/>
      <c r="U1" s="810"/>
      <c r="V1" s="810"/>
      <c r="W1" s="810"/>
      <c r="X1" s="810"/>
      <c r="Y1" s="55"/>
      <c r="Z1" s="55"/>
      <c r="AA1" s="55"/>
      <c r="AB1" s="55"/>
      <c r="AC1" s="55"/>
      <c r="AD1" s="55"/>
      <c r="AE1" s="55"/>
      <c r="AF1" s="55"/>
      <c r="AG1" s="55"/>
      <c r="AH1" s="55"/>
      <c r="AI1" s="55"/>
      <c r="AJ1" s="55"/>
      <c r="AK1" s="55"/>
      <c r="AL1" s="55"/>
      <c r="AM1" s="55"/>
      <c r="AN1" s="55"/>
      <c r="AO1" s="55"/>
      <c r="AP1" s="55"/>
      <c r="AQ1" s="55"/>
      <c r="AR1" s="55"/>
      <c r="AS1" s="55"/>
      <c r="AT1" s="55"/>
      <c r="AU1" s="55"/>
      <c r="AV1" s="55"/>
      <c r="AW1" s="55"/>
      <c r="AX1" s="55"/>
      <c r="AY1" s="55"/>
      <c r="AZ1" s="55"/>
      <c r="BA1" s="55"/>
      <c r="BB1" s="55"/>
      <c r="BC1" s="55"/>
      <c r="BD1" s="55"/>
      <c r="BE1" s="55"/>
      <c r="BF1" s="55"/>
      <c r="BG1" s="55"/>
      <c r="BH1" s="55"/>
      <c r="BI1" s="55"/>
      <c r="BJ1" s="55"/>
      <c r="BK1" s="55"/>
      <c r="BL1" s="55"/>
      <c r="BM1" s="55"/>
      <c r="BN1" s="55"/>
    </row>
    <row r="2" spans="1:66" ht="27" customHeight="1" x14ac:dyDescent="0.25">
      <c r="A2" s="115" t="s">
        <v>230</v>
      </c>
      <c r="B2" s="115" t="s">
        <v>7</v>
      </c>
      <c r="C2" s="115" t="s">
        <v>231</v>
      </c>
      <c r="D2" s="115" t="s">
        <v>232</v>
      </c>
      <c r="E2" s="698" t="s">
        <v>233</v>
      </c>
      <c r="F2" s="115" t="s">
        <v>234</v>
      </c>
      <c r="G2" s="698" t="s">
        <v>235</v>
      </c>
      <c r="H2" s="115" t="s">
        <v>49</v>
      </c>
      <c r="I2" s="115" t="s">
        <v>236</v>
      </c>
      <c r="J2" s="115" t="s">
        <v>237</v>
      </c>
      <c r="K2" s="115" t="s">
        <v>238</v>
      </c>
      <c r="L2" s="115" t="s">
        <v>239</v>
      </c>
      <c r="M2" s="115" t="s">
        <v>240</v>
      </c>
      <c r="N2" s="115" t="s">
        <v>241</v>
      </c>
      <c r="O2" s="115" t="s">
        <v>242</v>
      </c>
      <c r="P2" s="115" t="s">
        <v>243</v>
      </c>
      <c r="Q2" s="115" t="s">
        <v>244</v>
      </c>
      <c r="R2" s="115" t="s">
        <v>245</v>
      </c>
      <c r="S2" s="115" t="s">
        <v>246</v>
      </c>
      <c r="T2" s="115" t="s">
        <v>247</v>
      </c>
      <c r="U2" s="115" t="s">
        <v>248</v>
      </c>
      <c r="V2" s="115" t="s">
        <v>249</v>
      </c>
      <c r="W2" s="115" t="s">
        <v>250</v>
      </c>
      <c r="X2" s="115" t="s">
        <v>251</v>
      </c>
      <c r="Y2" s="55"/>
      <c r="Z2" s="55"/>
      <c r="AA2" s="55"/>
      <c r="AB2" s="55"/>
      <c r="AC2" s="55"/>
      <c r="AD2" s="55"/>
      <c r="AE2" s="55"/>
      <c r="AF2" s="55"/>
      <c r="AG2" s="55"/>
      <c r="AH2" s="55"/>
      <c r="AI2" s="55"/>
      <c r="AJ2" s="55"/>
      <c r="AK2" s="55"/>
      <c r="AL2" s="55"/>
      <c r="AM2" s="55"/>
      <c r="AN2" s="55"/>
      <c r="AO2" s="55"/>
      <c r="AP2" s="55"/>
      <c r="AQ2" s="55"/>
      <c r="AR2" s="55"/>
      <c r="AS2" s="55"/>
      <c r="AT2" s="55"/>
      <c r="AU2" s="55"/>
      <c r="AV2" s="55"/>
      <c r="AW2" s="55"/>
      <c r="AX2" s="55"/>
      <c r="AY2" s="55"/>
      <c r="AZ2" s="55"/>
      <c r="BA2" s="55"/>
      <c r="BB2" s="55"/>
      <c r="BC2" s="55"/>
      <c r="BD2" s="55"/>
      <c r="BE2" s="55"/>
      <c r="BF2" s="55"/>
      <c r="BG2" s="55"/>
      <c r="BH2" s="55"/>
      <c r="BI2" s="55"/>
      <c r="BJ2" s="55"/>
      <c r="BK2" s="55"/>
      <c r="BL2" s="55"/>
      <c r="BM2" s="55"/>
      <c r="BN2" s="55"/>
    </row>
    <row r="3" spans="1:66" ht="66" customHeight="1" x14ac:dyDescent="0.25">
      <c r="A3" s="812" t="s">
        <v>252</v>
      </c>
      <c r="B3" s="812" t="s">
        <v>50</v>
      </c>
      <c r="C3" s="811" t="s">
        <v>253</v>
      </c>
      <c r="D3" s="811" t="s">
        <v>254</v>
      </c>
      <c r="E3" s="812" t="s">
        <v>255</v>
      </c>
      <c r="F3" s="741" t="s">
        <v>256</v>
      </c>
      <c r="G3" s="741" t="s">
        <v>84</v>
      </c>
      <c r="H3" s="752" t="s">
        <v>257</v>
      </c>
      <c r="I3" s="731">
        <f t="shared" ref="I3:X3" si="0">I41*$I$43+I42*(1-$I$43)</f>
        <v>0.19240000000000002</v>
      </c>
      <c r="J3" s="731">
        <f t="shared" si="0"/>
        <v>0.18827200000000002</v>
      </c>
      <c r="K3" s="731">
        <f t="shared" si="0"/>
        <v>0.19316800000000001</v>
      </c>
      <c r="L3" s="731">
        <f t="shared" si="0"/>
        <v>0.18827200000000002</v>
      </c>
      <c r="M3" s="731">
        <f t="shared" si="0"/>
        <v>0.19240000000000002</v>
      </c>
      <c r="N3" s="731">
        <f t="shared" si="0"/>
        <v>0.19316800000000001</v>
      </c>
      <c r="O3" s="731">
        <f t="shared" si="0"/>
        <v>0.19316800000000001</v>
      </c>
      <c r="P3" s="731">
        <f t="shared" si="0"/>
        <v>0.19240000000000002</v>
      </c>
      <c r="Q3" s="731">
        <f t="shared" si="0"/>
        <v>0.18827200000000002</v>
      </c>
      <c r="R3" s="731">
        <f t="shared" si="0"/>
        <v>0.18827200000000002</v>
      </c>
      <c r="S3" s="731">
        <f t="shared" si="0"/>
        <v>0.18827200000000002</v>
      </c>
      <c r="T3" s="731">
        <f t="shared" si="0"/>
        <v>0.18827200000000002</v>
      </c>
      <c r="U3" s="731">
        <f t="shared" si="0"/>
        <v>0.18827200000000002</v>
      </c>
      <c r="V3" s="731">
        <f t="shared" si="0"/>
        <v>0.18827200000000002</v>
      </c>
      <c r="W3" s="731">
        <f t="shared" si="0"/>
        <v>0.18664000000000003</v>
      </c>
      <c r="X3" s="731">
        <f t="shared" si="0"/>
        <v>0.18827200000000002</v>
      </c>
      <c r="Y3" s="55"/>
      <c r="Z3" s="55"/>
      <c r="AA3" s="55"/>
      <c r="AB3" s="55"/>
      <c r="AC3" s="55"/>
      <c r="AD3" s="55"/>
      <c r="AE3" s="55"/>
      <c r="AF3" s="55"/>
      <c r="AG3" s="55"/>
      <c r="AH3" s="55"/>
      <c r="AI3" s="55"/>
      <c r="AJ3" s="55"/>
      <c r="AK3" s="55"/>
      <c r="AL3" s="55"/>
      <c r="AM3" s="55"/>
      <c r="AN3" s="55"/>
      <c r="AO3" s="55"/>
      <c r="AP3" s="55"/>
      <c r="AQ3" s="55"/>
      <c r="AR3" s="55"/>
      <c r="AS3" s="55"/>
      <c r="AT3" s="55"/>
      <c r="AU3" s="55"/>
      <c r="AV3" s="55"/>
      <c r="AW3" s="55"/>
      <c r="AX3" s="55"/>
      <c r="AY3" s="55"/>
      <c r="AZ3" s="55"/>
      <c r="BA3" s="55"/>
      <c r="BB3" s="55"/>
      <c r="BC3" s="55"/>
      <c r="BD3" s="55"/>
      <c r="BE3" s="55"/>
      <c r="BF3" s="55"/>
      <c r="BG3" s="55"/>
      <c r="BH3" s="55"/>
      <c r="BI3" s="55"/>
      <c r="BJ3" s="55"/>
      <c r="BK3" s="55"/>
      <c r="BL3" s="55"/>
      <c r="BM3" s="55"/>
      <c r="BN3" s="55"/>
    </row>
    <row r="4" spans="1:66" ht="33" customHeight="1" x14ac:dyDescent="0.25">
      <c r="A4" s="812"/>
      <c r="B4" s="812"/>
      <c r="C4" s="811"/>
      <c r="D4" s="811"/>
      <c r="E4" s="812"/>
      <c r="F4" s="699" t="s">
        <v>258</v>
      </c>
      <c r="G4" s="699">
        <v>1986</v>
      </c>
      <c r="H4" s="700" t="s">
        <v>259</v>
      </c>
      <c r="I4" s="701">
        <f>1/7.52</f>
        <v>0.13297872340425532</v>
      </c>
      <c r="J4" s="701">
        <f t="shared" ref="J4:X4" si="1">1/7.52</f>
        <v>0.13297872340425532</v>
      </c>
      <c r="K4" s="701">
        <f t="shared" si="1"/>
        <v>0.13297872340425532</v>
      </c>
      <c r="L4" s="701">
        <f t="shared" si="1"/>
        <v>0.13297872340425532</v>
      </c>
      <c r="M4" s="701">
        <f t="shared" si="1"/>
        <v>0.13297872340425532</v>
      </c>
      <c r="N4" s="701">
        <f t="shared" si="1"/>
        <v>0.13297872340425532</v>
      </c>
      <c r="O4" s="701">
        <f t="shared" si="1"/>
        <v>0.13297872340425532</v>
      </c>
      <c r="P4" s="701">
        <f t="shared" si="1"/>
        <v>0.13297872340425532</v>
      </c>
      <c r="Q4" s="701">
        <f t="shared" si="1"/>
        <v>0.13297872340425532</v>
      </c>
      <c r="R4" s="701">
        <f t="shared" si="1"/>
        <v>0.13297872340425532</v>
      </c>
      <c r="S4" s="701">
        <f t="shared" si="1"/>
        <v>0.13297872340425532</v>
      </c>
      <c r="T4" s="701">
        <f t="shared" si="1"/>
        <v>0.13297872340425532</v>
      </c>
      <c r="U4" s="701">
        <f t="shared" si="1"/>
        <v>0.13297872340425532</v>
      </c>
      <c r="V4" s="701">
        <f t="shared" si="1"/>
        <v>0.13297872340425532</v>
      </c>
      <c r="W4" s="701">
        <f t="shared" si="1"/>
        <v>0.13297872340425532</v>
      </c>
      <c r="X4" s="701">
        <f t="shared" si="1"/>
        <v>0.13297872340425532</v>
      </c>
      <c r="Y4" s="176"/>
      <c r="Z4" s="55"/>
      <c r="AA4" s="55"/>
      <c r="AB4" s="55"/>
      <c r="AC4" s="55"/>
      <c r="AD4" s="55"/>
      <c r="AE4" s="55"/>
      <c r="AF4" s="55"/>
      <c r="AG4" s="55"/>
      <c r="AH4" s="55"/>
      <c r="AI4" s="55"/>
      <c r="AJ4" s="55"/>
      <c r="AK4" s="55"/>
      <c r="AL4" s="55"/>
      <c r="AM4" s="55"/>
      <c r="AN4" s="55"/>
      <c r="AO4" s="55"/>
      <c r="AP4" s="55"/>
      <c r="AQ4" s="55"/>
      <c r="AR4" s="55"/>
      <c r="AS4" s="55"/>
      <c r="AT4" s="55"/>
      <c r="AU4" s="55"/>
      <c r="AV4" s="55"/>
      <c r="AW4" s="55"/>
      <c r="AX4" s="55"/>
      <c r="AY4" s="55"/>
      <c r="AZ4" s="55"/>
      <c r="BA4" s="55"/>
      <c r="BB4" s="55"/>
      <c r="BC4" s="55"/>
      <c r="BD4" s="55"/>
      <c r="BE4" s="55"/>
      <c r="BF4" s="55"/>
      <c r="BG4" s="55"/>
      <c r="BH4" s="55"/>
      <c r="BI4" s="55"/>
      <c r="BJ4" s="55"/>
      <c r="BK4" s="55"/>
      <c r="BL4" s="55"/>
      <c r="BM4" s="55"/>
      <c r="BN4" s="55"/>
    </row>
    <row r="5" spans="1:66" x14ac:dyDescent="0.25">
      <c r="A5" s="812"/>
      <c r="B5" s="812"/>
      <c r="C5" s="811"/>
      <c r="D5" s="811"/>
      <c r="E5" s="812"/>
      <c r="F5" s="702" t="s">
        <v>260</v>
      </c>
      <c r="G5" s="702">
        <v>2001</v>
      </c>
      <c r="H5" s="702" t="s">
        <v>261</v>
      </c>
      <c r="I5" s="703">
        <v>8.4000000000000005E-2</v>
      </c>
      <c r="J5" s="703">
        <v>8.4000000000000005E-2</v>
      </c>
      <c r="K5" s="703">
        <v>9.1999999999999998E-2</v>
      </c>
      <c r="L5" s="703">
        <v>9.1999999999999998E-2</v>
      </c>
      <c r="M5" s="703">
        <v>9.1999999999999998E-2</v>
      </c>
      <c r="N5" s="703">
        <v>9.1999999999999998E-2</v>
      </c>
      <c r="O5" s="703">
        <v>9.1999999999999998E-2</v>
      </c>
      <c r="P5" s="703">
        <v>9.1999999999999998E-2</v>
      </c>
      <c r="Q5" s="703">
        <v>9.1999999999999998E-2</v>
      </c>
      <c r="R5" s="703">
        <v>8.4000000000000005E-2</v>
      </c>
      <c r="S5" s="703">
        <v>8.4000000000000005E-2</v>
      </c>
      <c r="T5" s="703">
        <v>8.4000000000000005E-2</v>
      </c>
      <c r="U5" s="703">
        <v>8.4000000000000005E-2</v>
      </c>
      <c r="V5" s="703">
        <v>8.4000000000000005E-2</v>
      </c>
      <c r="W5" s="703">
        <v>8.4000000000000005E-2</v>
      </c>
      <c r="X5" s="703">
        <v>8.4000000000000005E-2</v>
      </c>
      <c r="Y5" s="131"/>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F5" s="55"/>
      <c r="BG5" s="55"/>
      <c r="BH5" s="55"/>
      <c r="BI5" s="55"/>
      <c r="BJ5" s="55"/>
      <c r="BK5" s="55"/>
      <c r="BL5" s="55"/>
      <c r="BM5" s="55"/>
      <c r="BN5" s="55"/>
    </row>
    <row r="6" spans="1:66" x14ac:dyDescent="0.25">
      <c r="A6" s="812"/>
      <c r="B6" s="812"/>
      <c r="C6" s="811"/>
      <c r="D6" s="811"/>
      <c r="E6" s="812"/>
      <c r="F6" s="704" t="s">
        <v>262</v>
      </c>
      <c r="G6" s="704">
        <v>2013</v>
      </c>
      <c r="H6" s="704" t="s">
        <v>263</v>
      </c>
      <c r="I6" s="705">
        <v>0.10199999999999999</v>
      </c>
      <c r="J6" s="705">
        <v>5.8999999999999997E-2</v>
      </c>
      <c r="K6" s="705">
        <v>0.11</v>
      </c>
      <c r="L6" s="705">
        <v>5.8999999999999997E-2</v>
      </c>
      <c r="M6" s="705">
        <v>0.10199999999999999</v>
      </c>
      <c r="N6" s="705">
        <v>0.11</v>
      </c>
      <c r="O6" s="705">
        <v>0.11</v>
      </c>
      <c r="P6" s="705">
        <v>0.10199999999999999</v>
      </c>
      <c r="Q6" s="705">
        <v>5.8999999999999997E-2</v>
      </c>
      <c r="R6" s="705">
        <v>5.8999999999999997E-2</v>
      </c>
      <c r="S6" s="705">
        <v>5.8999999999999997E-2</v>
      </c>
      <c r="T6" s="705">
        <v>5.8999999999999997E-2</v>
      </c>
      <c r="U6" s="705">
        <v>5.8999999999999997E-2</v>
      </c>
      <c r="V6" s="705">
        <v>5.8999999999999997E-2</v>
      </c>
      <c r="W6" s="705">
        <v>4.2000000000000003E-2</v>
      </c>
      <c r="X6" s="705">
        <v>5.8999999999999997E-2</v>
      </c>
      <c r="Y6" s="131"/>
      <c r="Z6" s="55"/>
      <c r="AA6" s="55"/>
      <c r="AB6" s="55"/>
      <c r="AC6" s="55"/>
      <c r="AD6" s="55"/>
      <c r="AE6" s="55"/>
      <c r="AF6" s="55"/>
      <c r="AG6" s="55"/>
      <c r="AH6" s="55"/>
      <c r="AI6" s="55"/>
      <c r="AJ6" s="55"/>
      <c r="AK6" s="55"/>
      <c r="AL6" s="55"/>
      <c r="AM6" s="55"/>
      <c r="AN6" s="55"/>
      <c r="AO6" s="55"/>
      <c r="AP6" s="55"/>
      <c r="AQ6" s="55"/>
      <c r="AR6" s="55"/>
      <c r="AS6" s="55"/>
      <c r="AT6" s="55"/>
      <c r="AU6" s="55"/>
      <c r="AV6" s="55"/>
      <c r="AW6" s="55"/>
      <c r="AX6" s="55"/>
      <c r="AY6" s="55"/>
      <c r="AZ6" s="55"/>
      <c r="BA6" s="55"/>
      <c r="BB6" s="55"/>
      <c r="BC6" s="55"/>
      <c r="BD6" s="55"/>
      <c r="BE6" s="55"/>
      <c r="BF6" s="55"/>
      <c r="BG6" s="55"/>
      <c r="BH6" s="55"/>
      <c r="BI6" s="55"/>
      <c r="BJ6" s="55"/>
      <c r="BK6" s="55"/>
      <c r="BL6" s="55"/>
      <c r="BM6" s="55"/>
      <c r="BN6" s="55"/>
    </row>
    <row r="7" spans="1:66" x14ac:dyDescent="0.25">
      <c r="A7" s="812"/>
      <c r="B7" s="812"/>
      <c r="C7" s="811"/>
      <c r="D7" s="811"/>
      <c r="E7" s="812"/>
      <c r="F7" s="706" t="s">
        <v>264</v>
      </c>
      <c r="G7" s="706"/>
      <c r="H7" s="712" t="s">
        <v>265</v>
      </c>
      <c r="I7" s="713" cm="1">
        <f t="array" ref="I7:X7">_xlfn.BYCOL(TRANSPOSE(Weights!$C$4:$F$19)*I3:X6,_xlfn.LAMBDA(_xlpm.c,SUM(_xlpm.c)))</f>
        <v>0.14431502891234044</v>
      </c>
      <c r="J7" s="713">
        <v>0.15412092795470642</v>
      </c>
      <c r="K7" s="713">
        <v>0.15687034892782981</v>
      </c>
      <c r="L7" s="713">
        <v>0.15248121480571919</v>
      </c>
      <c r="M7" s="713">
        <v>0.14945518521787235</v>
      </c>
      <c r="N7" s="713">
        <v>0.15933119780279151</v>
      </c>
      <c r="O7" s="713">
        <v>0.15142736905038298</v>
      </c>
      <c r="P7" s="713">
        <v>0.16133352579829785</v>
      </c>
      <c r="Q7" s="713">
        <v>0.15750525634616169</v>
      </c>
      <c r="R7" s="713">
        <v>0.13121132349833192</v>
      </c>
      <c r="S7" s="713">
        <v>0.13621444892323403</v>
      </c>
      <c r="T7" s="713">
        <v>0.13375243006777873</v>
      </c>
      <c r="U7" s="713">
        <v>0.1308166668510298</v>
      </c>
      <c r="V7" s="713">
        <v>0.13931853844355743</v>
      </c>
      <c r="W7" s="713">
        <v>0.12487553761089362</v>
      </c>
      <c r="X7" s="713">
        <v>0.12917174529222128</v>
      </c>
      <c r="Y7" s="131"/>
      <c r="Z7" s="55"/>
      <c r="AA7" s="55"/>
      <c r="AB7" s="55"/>
      <c r="AC7" s="55"/>
      <c r="AD7" s="55"/>
      <c r="AE7" s="55"/>
      <c r="AF7" s="55"/>
      <c r="AG7" s="55"/>
      <c r="AH7" s="55"/>
      <c r="AI7" s="55"/>
      <c r="AJ7" s="55"/>
      <c r="AK7" s="55"/>
      <c r="AL7" s="55"/>
      <c r="AM7" s="55"/>
      <c r="AN7" s="55"/>
      <c r="AO7" s="55"/>
      <c r="AP7" s="55"/>
      <c r="AQ7" s="55"/>
      <c r="AR7" s="55"/>
      <c r="AS7" s="55"/>
      <c r="AT7" s="55"/>
      <c r="AU7" s="55"/>
      <c r="AV7" s="55"/>
      <c r="AW7" s="55"/>
      <c r="AX7" s="55"/>
      <c r="AY7" s="55"/>
      <c r="AZ7" s="55"/>
      <c r="BA7" s="55"/>
      <c r="BB7" s="55"/>
      <c r="BC7" s="55"/>
      <c r="BD7" s="55"/>
      <c r="BE7" s="55"/>
      <c r="BF7" s="55"/>
      <c r="BG7" s="55"/>
      <c r="BH7" s="55"/>
      <c r="BI7" s="55"/>
      <c r="BJ7" s="55"/>
      <c r="BK7" s="55"/>
      <c r="BL7" s="55"/>
      <c r="BM7" s="55"/>
      <c r="BN7" s="55"/>
    </row>
    <row r="8" spans="1:66" x14ac:dyDescent="0.25">
      <c r="A8" s="812"/>
      <c r="B8" s="812"/>
      <c r="C8" s="811"/>
      <c r="D8" s="811"/>
      <c r="E8" s="812"/>
      <c r="F8" s="715" t="s">
        <v>266</v>
      </c>
      <c r="G8" s="714">
        <v>2025</v>
      </c>
      <c r="H8" s="714" t="s">
        <v>267</v>
      </c>
      <c r="I8" s="714">
        <v>7.8E-2</v>
      </c>
      <c r="J8" s="714">
        <v>5.2999999999999999E-2</v>
      </c>
      <c r="K8" s="714">
        <v>0.10199999999999999</v>
      </c>
      <c r="L8" s="714">
        <v>5.2999999999999999E-2</v>
      </c>
      <c r="M8" s="714">
        <v>9.5000000000000001E-2</v>
      </c>
      <c r="N8" s="714">
        <v>0.10199999999999999</v>
      </c>
      <c r="O8" s="714">
        <v>0.10199999999999999</v>
      </c>
      <c r="P8" s="714">
        <v>9.5000000000000001E-2</v>
      </c>
      <c r="Q8" s="714">
        <v>5.2999999999999999E-2</v>
      </c>
      <c r="R8" s="714">
        <v>5.2999999999999999E-2</v>
      </c>
      <c r="S8" s="714">
        <v>4.2000000000000003E-2</v>
      </c>
      <c r="T8" s="714">
        <v>5.2999999999999999E-2</v>
      </c>
      <c r="U8" s="714">
        <v>5.2999999999999999E-2</v>
      </c>
      <c r="V8" s="714">
        <v>5.2999999999999999E-2</v>
      </c>
      <c r="W8" s="714">
        <v>3.7999999999999999E-2</v>
      </c>
      <c r="X8" s="714">
        <v>5.2999999999999999E-2</v>
      </c>
      <c r="Y8" s="131"/>
      <c r="Z8" s="55"/>
      <c r="AA8" s="55"/>
      <c r="AB8" s="55"/>
      <c r="AC8" s="55"/>
      <c r="AD8" s="55"/>
      <c r="AE8" s="55"/>
      <c r="AF8" s="55"/>
      <c r="AG8" s="55"/>
      <c r="AH8" s="55"/>
      <c r="AI8" s="55"/>
      <c r="AJ8" s="55"/>
      <c r="AK8" s="55"/>
      <c r="AL8" s="55"/>
      <c r="AM8" s="55"/>
      <c r="AN8" s="55"/>
      <c r="AO8" s="55"/>
      <c r="AP8" s="55"/>
      <c r="AQ8" s="55"/>
      <c r="AR8" s="55"/>
      <c r="AS8" s="55"/>
      <c r="AT8" s="55"/>
      <c r="AU8" s="55"/>
      <c r="AV8" s="55"/>
      <c r="AW8" s="55"/>
      <c r="AX8" s="55"/>
      <c r="AY8" s="55"/>
      <c r="AZ8" s="55"/>
      <c r="BA8" s="55"/>
      <c r="BB8" s="55"/>
      <c r="BC8" s="55"/>
      <c r="BD8" s="55"/>
      <c r="BE8" s="55"/>
      <c r="BF8" s="55"/>
      <c r="BG8" s="55"/>
      <c r="BH8" s="55"/>
      <c r="BI8" s="55"/>
      <c r="BJ8" s="55"/>
      <c r="BK8" s="55"/>
      <c r="BL8" s="55"/>
      <c r="BM8" s="55"/>
      <c r="BN8" s="55"/>
    </row>
    <row r="9" spans="1:66" ht="13.95" customHeight="1" x14ac:dyDescent="0.25">
      <c r="A9" s="812" t="s">
        <v>268</v>
      </c>
      <c r="B9" s="812" t="s">
        <v>50</v>
      </c>
      <c r="C9" s="811" t="s">
        <v>269</v>
      </c>
      <c r="D9" s="811" t="s">
        <v>270</v>
      </c>
      <c r="E9" s="812" t="s">
        <v>255</v>
      </c>
      <c r="F9" s="741" t="s">
        <v>256</v>
      </c>
      <c r="G9" s="741" t="s">
        <v>84</v>
      </c>
      <c r="H9" s="813" t="s">
        <v>271</v>
      </c>
      <c r="I9" s="742">
        <f>I10</f>
        <v>5.7000000000000002E-2</v>
      </c>
      <c r="J9" s="742">
        <f t="shared" ref="J9:X9" si="2">J10</f>
        <v>5.7000000000000002E-2</v>
      </c>
      <c r="K9" s="742">
        <f t="shared" si="2"/>
        <v>5.7000000000000002E-2</v>
      </c>
      <c r="L9" s="742">
        <f t="shared" si="2"/>
        <v>5.7000000000000002E-2</v>
      </c>
      <c r="M9" s="742">
        <f t="shared" si="2"/>
        <v>5.7000000000000002E-2</v>
      </c>
      <c r="N9" s="742">
        <f t="shared" si="2"/>
        <v>7.8E-2</v>
      </c>
      <c r="O9" s="742">
        <f t="shared" si="2"/>
        <v>7.8E-2</v>
      </c>
      <c r="P9" s="742">
        <f t="shared" si="2"/>
        <v>7.8E-2</v>
      </c>
      <c r="Q9" s="742">
        <f t="shared" si="2"/>
        <v>7.8E-2</v>
      </c>
      <c r="R9" s="742">
        <f t="shared" si="2"/>
        <v>7.8E-2</v>
      </c>
      <c r="S9" s="742">
        <f t="shared" si="2"/>
        <v>5.7000000000000002E-2</v>
      </c>
      <c r="T9" s="742">
        <f t="shared" si="2"/>
        <v>5.7000000000000002E-2</v>
      </c>
      <c r="U9" s="742">
        <f t="shared" si="2"/>
        <v>5.7000000000000002E-2</v>
      </c>
      <c r="V9" s="742">
        <f t="shared" si="2"/>
        <v>5.7000000000000002E-2</v>
      </c>
      <c r="W9" s="742">
        <f t="shared" si="2"/>
        <v>5.7000000000000002E-2</v>
      </c>
      <c r="X9" s="742">
        <f t="shared" si="2"/>
        <v>5.7000000000000002E-2</v>
      </c>
      <c r="Y9" s="131"/>
      <c r="Z9" s="521"/>
      <c r="AA9" s="521"/>
      <c r="AB9" s="521"/>
      <c r="AC9" s="521"/>
      <c r="AD9" s="521"/>
      <c r="AE9" s="521"/>
      <c r="AF9" s="521"/>
      <c r="AG9" s="521"/>
      <c r="AH9" s="521"/>
      <c r="AI9" s="521"/>
      <c r="AJ9" s="521"/>
      <c r="AK9" s="521"/>
      <c r="AL9" s="521"/>
      <c r="AM9" s="521"/>
      <c r="AN9" s="521"/>
      <c r="AO9" s="521"/>
      <c r="AP9" s="521"/>
      <c r="AQ9" s="521"/>
      <c r="AR9" s="55"/>
      <c r="AS9" s="55"/>
      <c r="AT9" s="55"/>
      <c r="AU9" s="55"/>
      <c r="AV9" s="55"/>
      <c r="AW9" s="55"/>
      <c r="AX9" s="55"/>
      <c r="AY9" s="55"/>
      <c r="AZ9" s="55"/>
      <c r="BA9" s="55"/>
      <c r="BB9" s="55"/>
      <c r="BC9" s="55"/>
      <c r="BD9" s="55"/>
      <c r="BE9" s="55"/>
      <c r="BF9" s="55"/>
      <c r="BG9" s="55"/>
      <c r="BH9" s="55"/>
      <c r="BI9" s="55"/>
      <c r="BJ9" s="55"/>
      <c r="BK9" s="55"/>
      <c r="BL9" s="55"/>
      <c r="BM9" s="55"/>
      <c r="BN9" s="55"/>
    </row>
    <row r="10" spans="1:66" ht="13.95" customHeight="1" x14ac:dyDescent="0.25">
      <c r="A10" s="812"/>
      <c r="B10" s="812"/>
      <c r="C10" s="811"/>
      <c r="D10" s="811"/>
      <c r="E10" s="812"/>
      <c r="F10" s="699" t="s">
        <v>258</v>
      </c>
      <c r="G10" s="699">
        <v>1992</v>
      </c>
      <c r="H10" s="813"/>
      <c r="I10" s="709">
        <v>5.7000000000000002E-2</v>
      </c>
      <c r="J10" s="709">
        <v>5.7000000000000002E-2</v>
      </c>
      <c r="K10" s="709">
        <v>5.7000000000000002E-2</v>
      </c>
      <c r="L10" s="709">
        <v>5.7000000000000002E-2</v>
      </c>
      <c r="M10" s="709">
        <v>5.7000000000000002E-2</v>
      </c>
      <c r="N10" s="709">
        <v>7.8E-2</v>
      </c>
      <c r="O10" s="709">
        <v>7.8E-2</v>
      </c>
      <c r="P10" s="709">
        <v>7.8E-2</v>
      </c>
      <c r="Q10" s="709">
        <v>7.8E-2</v>
      </c>
      <c r="R10" s="709">
        <v>7.8E-2</v>
      </c>
      <c r="S10" s="709">
        <v>5.7000000000000002E-2</v>
      </c>
      <c r="T10" s="709">
        <v>5.7000000000000002E-2</v>
      </c>
      <c r="U10" s="709">
        <v>5.7000000000000002E-2</v>
      </c>
      <c r="V10" s="709">
        <v>5.7000000000000002E-2</v>
      </c>
      <c r="W10" s="709">
        <v>5.7000000000000002E-2</v>
      </c>
      <c r="X10" s="709">
        <v>5.7000000000000002E-2</v>
      </c>
      <c r="Y10" s="131"/>
      <c r="Z10" s="521"/>
      <c r="AA10" s="521"/>
      <c r="AB10" s="521"/>
      <c r="AC10" s="521"/>
      <c r="AD10" s="521"/>
      <c r="AE10" s="521"/>
      <c r="AF10" s="521"/>
      <c r="AG10" s="521"/>
      <c r="AH10" s="521"/>
      <c r="AI10" s="521"/>
      <c r="AJ10" s="521"/>
      <c r="AK10" s="521"/>
      <c r="AL10" s="521"/>
      <c r="AM10" s="521"/>
      <c r="AN10" s="521"/>
      <c r="AO10" s="521"/>
      <c r="AP10" s="521"/>
      <c r="AQ10" s="521"/>
      <c r="AR10" s="55"/>
      <c r="AS10" s="55"/>
      <c r="AT10" s="55"/>
      <c r="AU10" s="55"/>
      <c r="AV10" s="55"/>
      <c r="AW10" s="55"/>
      <c r="AX10" s="55"/>
      <c r="AY10" s="55"/>
      <c r="AZ10" s="55"/>
      <c r="BA10" s="55"/>
      <c r="BB10" s="55"/>
      <c r="BC10" s="55"/>
      <c r="BD10" s="55"/>
      <c r="BE10" s="55"/>
      <c r="BF10" s="55"/>
      <c r="BG10" s="55"/>
      <c r="BH10" s="55"/>
      <c r="BI10" s="55"/>
      <c r="BJ10" s="55"/>
      <c r="BK10" s="55"/>
      <c r="BL10" s="55"/>
      <c r="BM10" s="55"/>
      <c r="BN10" s="55"/>
    </row>
    <row r="11" spans="1:66" ht="13.95" customHeight="1" x14ac:dyDescent="0.25">
      <c r="A11" s="812"/>
      <c r="B11" s="812"/>
      <c r="C11" s="811"/>
      <c r="D11" s="811"/>
      <c r="E11" s="812"/>
      <c r="F11" s="702" t="s">
        <v>260</v>
      </c>
      <c r="G11" s="702">
        <v>2001</v>
      </c>
      <c r="H11" s="702" t="s">
        <v>272</v>
      </c>
      <c r="I11" s="703">
        <v>5.7000000000000002E-2</v>
      </c>
      <c r="J11" s="703">
        <v>5.7000000000000002E-2</v>
      </c>
      <c r="K11" s="703">
        <v>5.7000000000000002E-2</v>
      </c>
      <c r="L11" s="703">
        <v>5.7000000000000002E-2</v>
      </c>
      <c r="M11" s="703">
        <v>5.7000000000000002E-2</v>
      </c>
      <c r="N11" s="703">
        <v>7.8E-2</v>
      </c>
      <c r="O11" s="703">
        <v>7.8E-2</v>
      </c>
      <c r="P11" s="703">
        <v>7.8E-2</v>
      </c>
      <c r="Q11" s="703">
        <v>7.8E-2</v>
      </c>
      <c r="R11" s="703">
        <v>5.7000000000000002E-2</v>
      </c>
      <c r="S11" s="703">
        <v>5.7000000000000002E-2</v>
      </c>
      <c r="T11" s="703">
        <v>5.7000000000000002E-2</v>
      </c>
      <c r="U11" s="703">
        <v>5.7000000000000002E-2</v>
      </c>
      <c r="V11" s="703">
        <v>5.7000000000000002E-2</v>
      </c>
      <c r="W11" s="703">
        <v>5.7000000000000002E-2</v>
      </c>
      <c r="X11" s="703">
        <v>5.7000000000000002E-2</v>
      </c>
      <c r="Y11" s="131"/>
      <c r="Z11" s="521"/>
      <c r="AA11" s="521"/>
      <c r="AB11" s="521"/>
      <c r="AC11" s="521"/>
      <c r="AD11" s="521"/>
      <c r="AE11" s="521"/>
      <c r="AF11" s="521"/>
      <c r="AG11" s="521"/>
      <c r="AH11" s="521"/>
      <c r="AI11" s="521"/>
      <c r="AJ11" s="521"/>
      <c r="AK11" s="521"/>
      <c r="AL11" s="521"/>
      <c r="AM11" s="521"/>
      <c r="AN11" s="521"/>
      <c r="AO11" s="521"/>
      <c r="AP11" s="521"/>
      <c r="AQ11" s="521"/>
      <c r="AR11" s="55"/>
      <c r="AS11" s="55"/>
      <c r="AT11" s="55"/>
      <c r="AU11" s="55"/>
      <c r="AV11" s="55"/>
      <c r="AW11" s="55"/>
      <c r="AX11" s="55"/>
      <c r="AY11" s="55"/>
      <c r="AZ11" s="55"/>
      <c r="BA11" s="55"/>
      <c r="BB11" s="55"/>
      <c r="BC11" s="55"/>
      <c r="BD11" s="55"/>
      <c r="BE11" s="55"/>
      <c r="BF11" s="55"/>
      <c r="BG11" s="55"/>
      <c r="BH11" s="55"/>
      <c r="BI11" s="55"/>
      <c r="BJ11" s="55"/>
      <c r="BK11" s="55"/>
      <c r="BL11" s="55"/>
      <c r="BM11" s="55"/>
      <c r="BN11" s="55"/>
    </row>
    <row r="12" spans="1:66" ht="13.95" customHeight="1" x14ac:dyDescent="0.25">
      <c r="A12" s="812"/>
      <c r="B12" s="812"/>
      <c r="C12" s="811"/>
      <c r="D12" s="811"/>
      <c r="E12" s="812"/>
      <c r="F12" s="704" t="s">
        <v>262</v>
      </c>
      <c r="G12" s="704">
        <v>2013</v>
      </c>
      <c r="H12" s="704" t="s">
        <v>273</v>
      </c>
      <c r="I12" s="705">
        <v>4.9000000000000002E-2</v>
      </c>
      <c r="J12" s="705">
        <v>3.9E-2</v>
      </c>
      <c r="K12" s="705">
        <v>3.9E-2</v>
      </c>
      <c r="L12" s="705">
        <v>3.9E-2</v>
      </c>
      <c r="M12" s="705">
        <v>4.9000000000000002E-2</v>
      </c>
      <c r="N12" s="705">
        <v>7.4999999999999997E-2</v>
      </c>
      <c r="O12" s="705">
        <v>6.7000000000000004E-2</v>
      </c>
      <c r="P12" s="705">
        <v>6.7000000000000004E-2</v>
      </c>
      <c r="Q12" s="705">
        <v>3.9E-2</v>
      </c>
      <c r="R12" s="705">
        <v>3.9E-2</v>
      </c>
      <c r="S12" s="705">
        <v>3.9E-2</v>
      </c>
      <c r="T12" s="705">
        <v>3.9E-2</v>
      </c>
      <c r="U12" s="705">
        <v>3.9E-2</v>
      </c>
      <c r="V12" s="705">
        <v>3.9E-2</v>
      </c>
      <c r="W12" s="705">
        <v>3.9E-2</v>
      </c>
      <c r="X12" s="705">
        <v>3.9E-2</v>
      </c>
      <c r="Y12" s="131"/>
      <c r="Z12" s="521"/>
      <c r="AA12" s="521"/>
      <c r="AB12" s="521"/>
      <c r="AC12" s="521"/>
      <c r="AD12" s="521"/>
      <c r="AE12" s="521"/>
      <c r="AF12" s="521"/>
      <c r="AG12" s="521"/>
      <c r="AH12" s="521"/>
      <c r="AI12" s="521"/>
      <c r="AJ12" s="521"/>
      <c r="AK12" s="521"/>
      <c r="AL12" s="521"/>
      <c r="AM12" s="521"/>
      <c r="AN12" s="521"/>
      <c r="AO12" s="521"/>
      <c r="AP12" s="521"/>
      <c r="AQ12" s="521"/>
      <c r="AR12" s="55"/>
      <c r="AS12" s="55"/>
      <c r="AT12" s="55"/>
      <c r="AU12" s="55"/>
      <c r="AV12" s="55"/>
      <c r="AW12" s="55"/>
      <c r="AX12" s="55"/>
      <c r="AY12" s="55"/>
      <c r="AZ12" s="55"/>
      <c r="BA12" s="55"/>
      <c r="BB12" s="55"/>
      <c r="BC12" s="55"/>
      <c r="BD12" s="55"/>
      <c r="BE12" s="55"/>
      <c r="BF12" s="55"/>
      <c r="BG12" s="55"/>
      <c r="BH12" s="55"/>
      <c r="BI12" s="55"/>
      <c r="BJ12" s="55"/>
      <c r="BK12" s="55"/>
      <c r="BL12" s="55"/>
      <c r="BM12" s="55"/>
      <c r="BN12" s="55"/>
    </row>
    <row r="13" spans="1:66" ht="13.95" customHeight="1" x14ac:dyDescent="0.25">
      <c r="A13" s="812"/>
      <c r="B13" s="812"/>
      <c r="C13" s="811"/>
      <c r="D13" s="811"/>
      <c r="E13" s="812"/>
      <c r="F13" s="706" t="s">
        <v>264</v>
      </c>
      <c r="G13" s="706"/>
      <c r="H13" s="706" t="s">
        <v>265</v>
      </c>
      <c r="I13" s="713" cm="1">
        <f t="array" ref="I13:X13">_xlfn.BYCOL(TRANSPOSE(Weights!$C$4:$F$19)*I9:X12,_xlfn.LAMBDA(_xlpm.c,SUM(_xlpm.c)))</f>
        <v>5.6060016000000004E-2</v>
      </c>
      <c r="J13" s="723">
        <v>5.5949257500000002E-2</v>
      </c>
      <c r="K13" s="723">
        <v>5.6015101500000004E-2</v>
      </c>
      <c r="L13" s="723">
        <v>5.6040491999999997E-2</v>
      </c>
      <c r="M13" s="723">
        <v>5.6520508900000002E-2</v>
      </c>
      <c r="N13" s="723">
        <v>7.7877528900000006E-2</v>
      </c>
      <c r="O13" s="723">
        <v>7.7327821899999996E-2</v>
      </c>
      <c r="P13" s="723">
        <v>7.7469897800000007E-2</v>
      </c>
      <c r="Q13" s="723">
        <v>7.6695149699999993E-2</v>
      </c>
      <c r="R13" s="723">
        <v>7.0944626400000002E-2</v>
      </c>
      <c r="S13" s="723">
        <v>5.50872372E-2</v>
      </c>
      <c r="T13" s="723">
        <v>5.4985007999999995E-2</v>
      </c>
      <c r="U13" s="723">
        <v>5.4399403200000002E-2</v>
      </c>
      <c r="V13" s="723">
        <v>5.5618579500000001E-2</v>
      </c>
      <c r="W13" s="723">
        <v>5.5108356600000005E-2</v>
      </c>
      <c r="X13" s="723">
        <v>5.5066422000000004E-2</v>
      </c>
      <c r="Y13" s="131"/>
      <c r="Z13" s="521"/>
      <c r="AA13" s="521"/>
      <c r="AB13" s="521"/>
      <c r="AC13" s="521"/>
      <c r="AD13" s="521"/>
      <c r="AE13" s="521"/>
      <c r="AF13" s="521"/>
      <c r="AG13" s="521"/>
      <c r="AH13" s="521"/>
      <c r="AI13" s="521"/>
      <c r="AJ13" s="521"/>
      <c r="AK13" s="521"/>
      <c r="AL13" s="521"/>
      <c r="AM13" s="521"/>
      <c r="AN13" s="521"/>
      <c r="AO13" s="521"/>
      <c r="AP13" s="521"/>
      <c r="AQ13" s="521"/>
      <c r="AR13" s="55"/>
      <c r="AS13" s="55"/>
      <c r="AT13" s="55"/>
      <c r="AU13" s="55"/>
      <c r="AV13" s="55"/>
      <c r="AW13" s="55"/>
      <c r="AX13" s="55"/>
      <c r="AY13" s="55"/>
      <c r="AZ13" s="55"/>
      <c r="BA13" s="55"/>
      <c r="BB13" s="55"/>
      <c r="BC13" s="55"/>
      <c r="BD13" s="55"/>
      <c r="BE13" s="55"/>
      <c r="BF13" s="55"/>
      <c r="BG13" s="55"/>
      <c r="BH13" s="55"/>
      <c r="BI13" s="55"/>
      <c r="BJ13" s="55"/>
      <c r="BK13" s="55"/>
      <c r="BL13" s="55"/>
      <c r="BM13" s="55"/>
      <c r="BN13" s="55"/>
    </row>
    <row r="14" spans="1:66" ht="13.95" customHeight="1" x14ac:dyDescent="0.25">
      <c r="A14" s="812"/>
      <c r="B14" s="812"/>
      <c r="C14" s="811"/>
      <c r="D14" s="811"/>
      <c r="E14" s="812"/>
      <c r="F14" s="715" t="s">
        <v>266</v>
      </c>
      <c r="G14" s="714">
        <v>2025</v>
      </c>
      <c r="H14" s="714" t="s">
        <v>274</v>
      </c>
      <c r="I14" s="714">
        <v>2.8000000000000001E-2</v>
      </c>
      <c r="J14" s="714">
        <v>2.8000000000000001E-2</v>
      </c>
      <c r="K14" s="714">
        <v>2.8000000000000001E-2</v>
      </c>
      <c r="L14" s="714">
        <v>2.8000000000000001E-2</v>
      </c>
      <c r="M14" s="714">
        <v>2.8000000000000001E-2</v>
      </c>
      <c r="N14" s="714">
        <v>4.7E-2</v>
      </c>
      <c r="O14" s="714">
        <v>4.7E-2</v>
      </c>
      <c r="P14" s="714">
        <v>4.7E-2</v>
      </c>
      <c r="Q14" s="714">
        <v>2.8000000000000001E-2</v>
      </c>
      <c r="R14" s="714">
        <v>2.8000000000000001E-2</v>
      </c>
      <c r="S14" s="714">
        <v>2.8000000000000001E-2</v>
      </c>
      <c r="T14" s="714">
        <v>2.8000000000000001E-2</v>
      </c>
      <c r="U14" s="714">
        <v>2.8000000000000001E-2</v>
      </c>
      <c r="V14" s="714">
        <v>2.8000000000000001E-2</v>
      </c>
      <c r="W14" s="714">
        <v>2.8000000000000001E-2</v>
      </c>
      <c r="X14" s="714">
        <v>2.8000000000000001E-2</v>
      </c>
      <c r="Y14" s="131"/>
      <c r="Z14" s="522"/>
      <c r="AA14" s="521"/>
      <c r="AB14" s="521"/>
      <c r="AC14" s="521"/>
      <c r="AD14" s="521"/>
      <c r="AE14" s="521"/>
      <c r="AF14" s="521"/>
      <c r="AG14" s="521"/>
      <c r="AH14" s="521"/>
      <c r="AI14" s="521"/>
      <c r="AJ14" s="521"/>
      <c r="AK14" s="521"/>
      <c r="AL14" s="521"/>
      <c r="AM14" s="521"/>
      <c r="AN14" s="521"/>
      <c r="AO14" s="521"/>
      <c r="AP14" s="521"/>
      <c r="AQ14" s="521"/>
      <c r="AR14" s="55"/>
      <c r="AS14" s="55"/>
      <c r="AT14" s="55"/>
      <c r="AU14" s="55"/>
      <c r="AV14" s="55"/>
      <c r="AW14" s="55"/>
      <c r="AX14" s="55"/>
      <c r="AY14" s="55"/>
      <c r="AZ14" s="55"/>
      <c r="BA14" s="55"/>
      <c r="BB14" s="55"/>
      <c r="BC14" s="55"/>
      <c r="BD14" s="55"/>
      <c r="BE14" s="55"/>
      <c r="BF14" s="55"/>
      <c r="BG14" s="55"/>
      <c r="BH14" s="55"/>
      <c r="BI14" s="55"/>
      <c r="BJ14" s="55"/>
      <c r="BK14" s="55"/>
      <c r="BL14" s="55"/>
      <c r="BM14" s="55"/>
      <c r="BN14" s="55"/>
    </row>
    <row r="15" spans="1:66" ht="19.95" customHeight="1" x14ac:dyDescent="0.25">
      <c r="A15" s="812" t="s">
        <v>275</v>
      </c>
      <c r="B15" s="812" t="s">
        <v>50</v>
      </c>
      <c r="C15" s="814" t="s">
        <v>276</v>
      </c>
      <c r="D15" s="811" t="s">
        <v>277</v>
      </c>
      <c r="E15" s="812" t="s">
        <v>255</v>
      </c>
      <c r="F15" s="741" t="s">
        <v>256</v>
      </c>
      <c r="G15" s="741" t="s">
        <v>84</v>
      </c>
      <c r="H15" s="811" t="s">
        <v>278</v>
      </c>
      <c r="I15" s="717">
        <f>0.3*1.12+0.7*I18</f>
        <v>0.58800000000000008</v>
      </c>
      <c r="J15" s="717">
        <f t="shared" ref="J15:X15" si="3">0.3*1.12+0.7*J18</f>
        <v>0.58800000000000008</v>
      </c>
      <c r="K15" s="717">
        <f t="shared" si="3"/>
        <v>0.58800000000000008</v>
      </c>
      <c r="L15" s="717">
        <f t="shared" si="3"/>
        <v>0.58800000000000008</v>
      </c>
      <c r="M15" s="717">
        <f t="shared" si="3"/>
        <v>0.58800000000000008</v>
      </c>
      <c r="N15" s="717">
        <f t="shared" si="3"/>
        <v>0.58800000000000008</v>
      </c>
      <c r="O15" s="717">
        <f t="shared" si="3"/>
        <v>0.58800000000000008</v>
      </c>
      <c r="P15" s="717">
        <f t="shared" si="3"/>
        <v>0.58800000000000008</v>
      </c>
      <c r="Q15" s="717">
        <f t="shared" si="3"/>
        <v>0.58800000000000008</v>
      </c>
      <c r="R15" s="717">
        <f t="shared" si="3"/>
        <v>0.58800000000000008</v>
      </c>
      <c r="S15" s="717">
        <f t="shared" si="3"/>
        <v>0.58800000000000008</v>
      </c>
      <c r="T15" s="717">
        <f t="shared" si="3"/>
        <v>0.58800000000000008</v>
      </c>
      <c r="U15" s="717">
        <f t="shared" si="3"/>
        <v>0.58800000000000008</v>
      </c>
      <c r="V15" s="717">
        <f t="shared" si="3"/>
        <v>0.58800000000000008</v>
      </c>
      <c r="W15" s="717">
        <f t="shared" si="3"/>
        <v>0.58800000000000008</v>
      </c>
      <c r="X15" s="717">
        <f t="shared" si="3"/>
        <v>0.58800000000000008</v>
      </c>
      <c r="Y15" s="55"/>
      <c r="Z15" s="55"/>
      <c r="AA15" s="55"/>
      <c r="AB15" s="55"/>
      <c r="AC15" s="55"/>
      <c r="AD15" s="55"/>
      <c r="AE15" s="55"/>
      <c r="AF15" s="55"/>
      <c r="AG15" s="55"/>
      <c r="AH15" s="55"/>
      <c r="AI15" s="55"/>
      <c r="AJ15" s="55"/>
      <c r="AK15" s="55"/>
      <c r="AL15" s="55"/>
      <c r="AM15" s="55"/>
      <c r="AN15" s="55"/>
      <c r="AO15" s="55"/>
      <c r="AP15" s="55"/>
      <c r="AQ15" s="55"/>
      <c r="AR15" s="55"/>
      <c r="AS15" s="55"/>
      <c r="AT15" s="55"/>
      <c r="AU15" s="55"/>
      <c r="AV15" s="55"/>
      <c r="AW15" s="55"/>
      <c r="AX15" s="55"/>
      <c r="AY15" s="55"/>
      <c r="AZ15" s="55"/>
      <c r="BA15" s="55"/>
      <c r="BB15" s="55"/>
      <c r="BC15" s="55"/>
      <c r="BD15" s="55"/>
      <c r="BE15" s="55"/>
      <c r="BF15" s="55"/>
      <c r="BG15" s="55"/>
      <c r="BH15" s="55"/>
      <c r="BI15" s="55"/>
      <c r="BJ15" s="55"/>
      <c r="BK15" s="55"/>
      <c r="BL15" s="55"/>
      <c r="BM15" s="55"/>
      <c r="BN15" s="55"/>
    </row>
    <row r="16" spans="1:66" ht="18" customHeight="1" x14ac:dyDescent="0.25">
      <c r="A16" s="812"/>
      <c r="B16" s="812"/>
      <c r="C16" s="814"/>
      <c r="D16" s="811"/>
      <c r="E16" s="812"/>
      <c r="F16" s="699" t="s">
        <v>258</v>
      </c>
      <c r="G16" s="699" t="s">
        <v>84</v>
      </c>
      <c r="H16" s="811"/>
      <c r="I16" s="718">
        <f>I15</f>
        <v>0.58800000000000008</v>
      </c>
      <c r="J16" s="718">
        <f t="shared" ref="J16:X16" si="4">J15</f>
        <v>0.58800000000000008</v>
      </c>
      <c r="K16" s="718">
        <f t="shared" si="4"/>
        <v>0.58800000000000008</v>
      </c>
      <c r="L16" s="718">
        <f t="shared" si="4"/>
        <v>0.58800000000000008</v>
      </c>
      <c r="M16" s="718">
        <f t="shared" si="4"/>
        <v>0.58800000000000008</v>
      </c>
      <c r="N16" s="718">
        <f t="shared" si="4"/>
        <v>0.58800000000000008</v>
      </c>
      <c r="O16" s="718">
        <f t="shared" si="4"/>
        <v>0.58800000000000008</v>
      </c>
      <c r="P16" s="718">
        <f t="shared" si="4"/>
        <v>0.58800000000000008</v>
      </c>
      <c r="Q16" s="718">
        <f t="shared" si="4"/>
        <v>0.58800000000000008</v>
      </c>
      <c r="R16" s="718">
        <f t="shared" si="4"/>
        <v>0.58800000000000008</v>
      </c>
      <c r="S16" s="718">
        <f t="shared" si="4"/>
        <v>0.58800000000000008</v>
      </c>
      <c r="T16" s="718">
        <f t="shared" si="4"/>
        <v>0.58800000000000008</v>
      </c>
      <c r="U16" s="718">
        <f t="shared" si="4"/>
        <v>0.58800000000000008</v>
      </c>
      <c r="V16" s="718">
        <f t="shared" si="4"/>
        <v>0.58800000000000008</v>
      </c>
      <c r="W16" s="718">
        <f t="shared" si="4"/>
        <v>0.58800000000000008</v>
      </c>
      <c r="X16" s="718">
        <f t="shared" si="4"/>
        <v>0.58800000000000008</v>
      </c>
      <c r="Y16" s="60" t="s">
        <v>279</v>
      </c>
      <c r="Z16" s="55"/>
      <c r="AA16" s="55"/>
      <c r="AB16" s="55"/>
      <c r="AC16" s="55"/>
      <c r="AD16" s="55"/>
      <c r="AE16" s="55"/>
      <c r="AF16" s="55"/>
      <c r="AG16" s="55"/>
      <c r="AH16" s="55"/>
      <c r="AI16" s="55"/>
      <c r="AJ16" s="55"/>
      <c r="AK16" s="55"/>
      <c r="AL16" s="55"/>
      <c r="AM16" s="55"/>
      <c r="AN16" s="55"/>
      <c r="AO16" s="55"/>
      <c r="AP16" s="55"/>
      <c r="AQ16" s="55"/>
      <c r="AR16" s="55"/>
      <c r="AS16" s="55"/>
      <c r="AT16" s="55"/>
      <c r="AU16" s="55"/>
      <c r="AV16" s="55"/>
      <c r="AW16" s="55"/>
      <c r="AX16" s="55"/>
      <c r="AY16" s="55"/>
      <c r="AZ16" s="55"/>
      <c r="BA16" s="55"/>
      <c r="BB16" s="55"/>
      <c r="BC16" s="55"/>
      <c r="BD16" s="55"/>
      <c r="BE16" s="55"/>
      <c r="BF16" s="55"/>
      <c r="BG16" s="55"/>
      <c r="BH16" s="55"/>
      <c r="BI16" s="55"/>
      <c r="BJ16" s="55"/>
      <c r="BK16" s="55"/>
      <c r="BL16" s="55"/>
      <c r="BM16" s="55"/>
      <c r="BN16" s="55"/>
    </row>
    <row r="17" spans="1:66" x14ac:dyDescent="0.25">
      <c r="A17" s="812"/>
      <c r="B17" s="812"/>
      <c r="C17" s="814"/>
      <c r="D17" s="814" t="s">
        <v>280</v>
      </c>
      <c r="E17" s="812"/>
      <c r="F17" s="702" t="s">
        <v>260</v>
      </c>
      <c r="G17" s="702">
        <v>2001</v>
      </c>
      <c r="H17" s="710" t="s">
        <v>281</v>
      </c>
      <c r="I17" s="719">
        <v>0.49</v>
      </c>
      <c r="J17" s="719">
        <v>0.49</v>
      </c>
      <c r="K17" s="719">
        <v>0.81</v>
      </c>
      <c r="L17" s="719">
        <v>0.81</v>
      </c>
      <c r="M17" s="719">
        <v>0.81</v>
      </c>
      <c r="N17" s="719">
        <v>0.81</v>
      </c>
      <c r="O17" s="719">
        <v>0.81</v>
      </c>
      <c r="P17" s="719">
        <v>0.81</v>
      </c>
      <c r="Q17" s="719">
        <v>0.81</v>
      </c>
      <c r="R17" s="719">
        <v>0.49</v>
      </c>
      <c r="S17" s="719">
        <v>0.49</v>
      </c>
      <c r="T17" s="719">
        <v>0.49</v>
      </c>
      <c r="U17" s="719">
        <v>0.49</v>
      </c>
      <c r="V17" s="719">
        <v>0.49</v>
      </c>
      <c r="W17" s="719">
        <v>0.49</v>
      </c>
      <c r="X17" s="719">
        <v>0.49</v>
      </c>
      <c r="Y17" s="60"/>
      <c r="Z17" s="55"/>
      <c r="AA17" s="55"/>
      <c r="AB17" s="55"/>
      <c r="AC17" s="55"/>
      <c r="AD17" s="55"/>
      <c r="AE17" s="55"/>
      <c r="AF17" s="55"/>
      <c r="AG17" s="55"/>
      <c r="AH17" s="55"/>
      <c r="AI17" s="55"/>
      <c r="AJ17" s="55"/>
      <c r="AK17" s="55"/>
      <c r="AL17" s="55"/>
      <c r="AM17" s="55"/>
      <c r="AN17" s="55"/>
      <c r="AO17" s="55"/>
      <c r="AP17" s="55"/>
      <c r="AQ17" s="55"/>
      <c r="AR17" s="55"/>
      <c r="AS17" s="55"/>
      <c r="AT17" s="55"/>
      <c r="AU17" s="55"/>
      <c r="AV17" s="55"/>
      <c r="AW17" s="55"/>
      <c r="AX17" s="55"/>
      <c r="AY17" s="55"/>
      <c r="AZ17" s="55"/>
      <c r="BA17" s="55"/>
      <c r="BB17" s="55"/>
      <c r="BC17" s="55"/>
      <c r="BD17" s="55"/>
      <c r="BE17" s="55"/>
      <c r="BF17" s="55"/>
      <c r="BG17" s="55"/>
      <c r="BH17" s="55"/>
      <c r="BI17" s="55"/>
      <c r="BJ17" s="55"/>
      <c r="BK17" s="55"/>
      <c r="BL17" s="55"/>
      <c r="BM17" s="55"/>
      <c r="BN17" s="55"/>
    </row>
    <row r="18" spans="1:66" ht="13.95" customHeight="1" x14ac:dyDescent="0.25">
      <c r="A18" s="812"/>
      <c r="B18" s="812"/>
      <c r="C18" s="814"/>
      <c r="D18" s="814"/>
      <c r="E18" s="812"/>
      <c r="F18" s="704" t="s">
        <v>262</v>
      </c>
      <c r="G18" s="704">
        <v>2013</v>
      </c>
      <c r="H18" s="705" t="s">
        <v>282</v>
      </c>
      <c r="I18" s="720">
        <v>0.36</v>
      </c>
      <c r="J18" s="720">
        <v>0.36</v>
      </c>
      <c r="K18" s="720">
        <v>0.36</v>
      </c>
      <c r="L18" s="720">
        <v>0.36</v>
      </c>
      <c r="M18" s="720">
        <v>0.36</v>
      </c>
      <c r="N18" s="720">
        <v>0.36</v>
      </c>
      <c r="O18" s="720">
        <v>0.36</v>
      </c>
      <c r="P18" s="720">
        <v>0.36</v>
      </c>
      <c r="Q18" s="720">
        <v>0.36</v>
      </c>
      <c r="R18" s="720">
        <v>0.36</v>
      </c>
      <c r="S18" s="720">
        <v>0.36</v>
      </c>
      <c r="T18" s="720">
        <v>0.36</v>
      </c>
      <c r="U18" s="720">
        <v>0.36</v>
      </c>
      <c r="V18" s="720">
        <v>0.36</v>
      </c>
      <c r="W18" s="720">
        <v>0.36</v>
      </c>
      <c r="X18" s="720">
        <v>0.36</v>
      </c>
      <c r="Y18" s="60"/>
      <c r="Z18" s="55"/>
      <c r="AA18" s="55"/>
      <c r="AB18" s="55"/>
      <c r="AC18" s="55"/>
      <c r="AD18" s="55"/>
      <c r="AE18" s="55"/>
      <c r="AF18" s="55"/>
      <c r="AG18" s="55"/>
      <c r="AH18" s="55"/>
      <c r="AI18" s="55"/>
      <c r="AJ18" s="55"/>
      <c r="AK18" s="55"/>
      <c r="AL18" s="55"/>
      <c r="AM18" s="55"/>
      <c r="AN18" s="55"/>
      <c r="AO18" s="55"/>
      <c r="AP18" s="55"/>
      <c r="AQ18" s="55"/>
      <c r="AR18" s="55"/>
      <c r="AS18" s="55"/>
      <c r="AT18" s="55"/>
      <c r="AU18" s="55"/>
      <c r="AV18" s="55"/>
      <c r="AW18" s="55"/>
      <c r="AX18" s="55"/>
      <c r="AY18" s="55"/>
      <c r="AZ18" s="55"/>
      <c r="BA18" s="55"/>
      <c r="BB18" s="55"/>
      <c r="BC18" s="55"/>
      <c r="BD18" s="55"/>
      <c r="BE18" s="55"/>
      <c r="BF18" s="55"/>
      <c r="BG18" s="55"/>
      <c r="BH18" s="55"/>
      <c r="BI18" s="55"/>
      <c r="BJ18" s="55"/>
      <c r="BK18" s="55"/>
      <c r="BL18" s="55"/>
      <c r="BM18" s="55"/>
      <c r="BN18" s="55"/>
    </row>
    <row r="19" spans="1:66" ht="13.95" customHeight="1" x14ac:dyDescent="0.25">
      <c r="A19" s="812"/>
      <c r="B19" s="812"/>
      <c r="C19" s="814"/>
      <c r="D19" s="814"/>
      <c r="E19" s="812"/>
      <c r="F19" s="706" t="s">
        <v>264</v>
      </c>
      <c r="G19" s="706"/>
      <c r="H19" s="706" t="s">
        <v>265</v>
      </c>
      <c r="I19" s="724" cm="1">
        <f t="array" ref="I19:X19">_xlfn.BYCOL(TRANSPOSE(Weights!$C$4:$F$19)*I15:X18,_xlfn.LAMBDA(_xlpm.c,SUM(_xlpm.c)))</f>
        <v>0.54628940720000008</v>
      </c>
      <c r="J19" s="721">
        <v>0.56629336340000003</v>
      </c>
      <c r="K19" s="721">
        <v>0.60430606200000003</v>
      </c>
      <c r="L19" s="721">
        <v>0.60309788640000006</v>
      </c>
      <c r="M19" s="721">
        <v>0.61557116639999998</v>
      </c>
      <c r="N19" s="721">
        <v>0.59541891840000016</v>
      </c>
      <c r="O19" s="721">
        <v>0.5956595454000001</v>
      </c>
      <c r="P19" s="721">
        <v>0.59562945</v>
      </c>
      <c r="Q19" s="721">
        <v>0.5954534586000001</v>
      </c>
      <c r="R19" s="721">
        <v>0.55099340299999999</v>
      </c>
      <c r="S19" s="721">
        <v>0.54445556740000012</v>
      </c>
      <c r="T19" s="721">
        <v>0.54296585980000012</v>
      </c>
      <c r="U19" s="721">
        <v>0.53769165500000005</v>
      </c>
      <c r="V19" s="721">
        <v>0.55498635920000017</v>
      </c>
      <c r="W19" s="721">
        <v>0.547518226</v>
      </c>
      <c r="X19" s="721">
        <v>0.54394227280000007</v>
      </c>
      <c r="Y19" s="60"/>
      <c r="Z19" s="55"/>
      <c r="AA19" s="55"/>
      <c r="AB19" s="55"/>
      <c r="AC19" s="55"/>
      <c r="AD19" s="55"/>
      <c r="AE19" s="55"/>
      <c r="AF19" s="55"/>
      <c r="AG19" s="55"/>
      <c r="AH19" s="55"/>
      <c r="AI19" s="55"/>
      <c r="AJ19" s="55"/>
      <c r="AK19" s="55"/>
      <c r="AL19" s="55"/>
      <c r="AM19" s="55"/>
      <c r="AN19" s="55"/>
      <c r="AO19" s="55"/>
      <c r="AP19" s="55"/>
      <c r="AQ19" s="55"/>
      <c r="AR19" s="55"/>
      <c r="AS19" s="55"/>
      <c r="AT19" s="55"/>
      <c r="AU19" s="55"/>
      <c r="AV19" s="55"/>
      <c r="AW19" s="55"/>
      <c r="AX19" s="55"/>
      <c r="AY19" s="55"/>
      <c r="AZ19" s="55"/>
      <c r="BA19" s="55"/>
      <c r="BB19" s="55"/>
      <c r="BC19" s="55"/>
      <c r="BD19" s="55"/>
      <c r="BE19" s="55"/>
      <c r="BF19" s="55"/>
      <c r="BG19" s="55"/>
      <c r="BH19" s="55"/>
      <c r="BI19" s="55"/>
      <c r="BJ19" s="55"/>
      <c r="BK19" s="55"/>
      <c r="BL19" s="55"/>
      <c r="BM19" s="55"/>
      <c r="BN19" s="55"/>
    </row>
    <row r="20" spans="1:66" ht="13.95" customHeight="1" x14ac:dyDescent="0.25">
      <c r="A20" s="812"/>
      <c r="B20" s="812"/>
      <c r="C20" s="814"/>
      <c r="D20" s="814"/>
      <c r="E20" s="812"/>
      <c r="F20" s="707" t="s">
        <v>266</v>
      </c>
      <c r="G20" s="708">
        <v>2025</v>
      </c>
      <c r="H20" s="714" t="s">
        <v>282</v>
      </c>
      <c r="I20" s="722">
        <v>0.36</v>
      </c>
      <c r="J20" s="722">
        <v>0.36</v>
      </c>
      <c r="K20" s="722">
        <v>0.36</v>
      </c>
      <c r="L20" s="722">
        <v>0.36</v>
      </c>
      <c r="M20" s="722">
        <v>0.36</v>
      </c>
      <c r="N20" s="722">
        <v>0.36</v>
      </c>
      <c r="O20" s="722">
        <v>0.36</v>
      </c>
      <c r="P20" s="722">
        <v>0.36</v>
      </c>
      <c r="Q20" s="722">
        <v>0.34</v>
      </c>
      <c r="R20" s="722">
        <v>0.36</v>
      </c>
      <c r="S20" s="722">
        <v>0.34</v>
      </c>
      <c r="T20" s="722">
        <v>0.34</v>
      </c>
      <c r="U20" s="722">
        <v>0.34</v>
      </c>
      <c r="V20" s="722">
        <v>0.34</v>
      </c>
      <c r="W20" s="722">
        <v>0.34</v>
      </c>
      <c r="X20" s="722">
        <v>0.36</v>
      </c>
      <c r="Y20" s="60"/>
      <c r="Z20" s="55"/>
      <c r="AA20" s="55"/>
      <c r="AB20" s="55"/>
      <c r="AC20" s="55"/>
      <c r="AD20" s="55"/>
      <c r="AE20" s="55"/>
      <c r="AF20" s="55"/>
      <c r="AG20" s="55"/>
      <c r="AH20" s="55"/>
      <c r="AI20" s="55"/>
      <c r="AJ20" s="55"/>
      <c r="AK20" s="55"/>
      <c r="AL20" s="55"/>
      <c r="AM20" s="55"/>
      <c r="AN20" s="55"/>
      <c r="AO20" s="55"/>
      <c r="AP20" s="55"/>
      <c r="AQ20" s="55"/>
      <c r="AR20" s="55"/>
      <c r="AS20" s="55"/>
      <c r="AT20" s="55"/>
      <c r="AU20" s="55"/>
      <c r="AV20" s="55"/>
      <c r="AW20" s="55"/>
      <c r="AX20" s="55"/>
      <c r="AY20" s="55"/>
      <c r="AZ20" s="55"/>
      <c r="BA20" s="55"/>
      <c r="BB20" s="55"/>
      <c r="BC20" s="55"/>
      <c r="BD20" s="55"/>
      <c r="BE20" s="55"/>
      <c r="BF20" s="55"/>
      <c r="BG20" s="55"/>
      <c r="BH20" s="55"/>
      <c r="BI20" s="55"/>
      <c r="BJ20" s="55"/>
      <c r="BK20" s="55"/>
      <c r="BL20" s="55"/>
      <c r="BM20" s="55"/>
      <c r="BN20" s="55"/>
    </row>
    <row r="21" spans="1:66" ht="18.600000000000001" customHeight="1" x14ac:dyDescent="0.25">
      <c r="A21" s="812"/>
      <c r="B21" s="812"/>
      <c r="C21" s="814"/>
      <c r="D21" s="811" t="s">
        <v>277</v>
      </c>
      <c r="E21" s="812" t="s">
        <v>283</v>
      </c>
      <c r="F21" s="741" t="s">
        <v>256</v>
      </c>
      <c r="G21" s="741" t="s">
        <v>84</v>
      </c>
      <c r="H21" s="811" t="s">
        <v>284</v>
      </c>
      <c r="I21" s="717">
        <f>0.79*0.3+I24*0.7</f>
        <v>0.41199999999999998</v>
      </c>
      <c r="J21" s="717">
        <f t="shared" ref="J21:X21" si="5">0.79*0.3+J24*0.7</f>
        <v>0.41199999999999998</v>
      </c>
      <c r="K21" s="717">
        <f t="shared" si="5"/>
        <v>0.41199999999999998</v>
      </c>
      <c r="L21" s="717">
        <f t="shared" si="5"/>
        <v>0.41199999999999998</v>
      </c>
      <c r="M21" s="717">
        <f t="shared" si="5"/>
        <v>0.41199999999999998</v>
      </c>
      <c r="N21" s="717">
        <f t="shared" si="5"/>
        <v>0.41199999999999998</v>
      </c>
      <c r="O21" s="717">
        <f t="shared" si="5"/>
        <v>0.41199999999999998</v>
      </c>
      <c r="P21" s="717">
        <f t="shared" si="5"/>
        <v>0.41199999999999998</v>
      </c>
      <c r="Q21" s="717">
        <f t="shared" si="5"/>
        <v>0.41199999999999998</v>
      </c>
      <c r="R21" s="717">
        <f t="shared" si="5"/>
        <v>0.41199999999999998</v>
      </c>
      <c r="S21" s="717">
        <f t="shared" si="5"/>
        <v>0.41199999999999998</v>
      </c>
      <c r="T21" s="717">
        <f t="shared" si="5"/>
        <v>0.41199999999999998</v>
      </c>
      <c r="U21" s="717">
        <f t="shared" si="5"/>
        <v>0.41199999999999998</v>
      </c>
      <c r="V21" s="717">
        <f t="shared" si="5"/>
        <v>0.41199999999999998</v>
      </c>
      <c r="W21" s="717">
        <f t="shared" si="5"/>
        <v>0.41199999999999998</v>
      </c>
      <c r="X21" s="717">
        <f t="shared" si="5"/>
        <v>0.41199999999999998</v>
      </c>
      <c r="Y21" s="60"/>
      <c r="Z21" s="55"/>
      <c r="AA21" s="55"/>
      <c r="AB21" s="55"/>
      <c r="AC21" s="55"/>
      <c r="AD21" s="55"/>
      <c r="AE21" s="55"/>
      <c r="AF21" s="55"/>
      <c r="AG21" s="55"/>
      <c r="AH21" s="55"/>
      <c r="AI21" s="55"/>
      <c r="AJ21" s="55"/>
      <c r="AK21" s="55"/>
      <c r="AL21" s="55"/>
      <c r="AM21" s="55"/>
      <c r="AN21" s="55"/>
      <c r="AO21" s="55"/>
      <c r="AP21" s="55"/>
      <c r="AQ21" s="55"/>
      <c r="AR21" s="55"/>
      <c r="AS21" s="55"/>
      <c r="AT21" s="55"/>
      <c r="AU21" s="55"/>
      <c r="AV21" s="55"/>
      <c r="AW21" s="55"/>
      <c r="AX21" s="55"/>
      <c r="AY21" s="55"/>
      <c r="AZ21" s="55"/>
      <c r="BA21" s="55"/>
      <c r="BB21" s="55"/>
      <c r="BC21" s="55"/>
      <c r="BD21" s="55"/>
      <c r="BE21" s="55"/>
      <c r="BF21" s="55"/>
      <c r="BG21" s="55"/>
      <c r="BH21" s="55"/>
      <c r="BI21" s="55"/>
      <c r="BJ21" s="55"/>
      <c r="BK21" s="55"/>
      <c r="BL21" s="55"/>
      <c r="BM21" s="55"/>
      <c r="BN21" s="55"/>
    </row>
    <row r="22" spans="1:66" ht="17.399999999999999" customHeight="1" x14ac:dyDescent="0.25">
      <c r="A22" s="812"/>
      <c r="B22" s="812"/>
      <c r="C22" s="814"/>
      <c r="D22" s="811"/>
      <c r="E22" s="812"/>
      <c r="F22" s="699" t="s">
        <v>258</v>
      </c>
      <c r="G22" s="699" t="s">
        <v>84</v>
      </c>
      <c r="H22" s="811"/>
      <c r="I22" s="718">
        <f>I21</f>
        <v>0.41199999999999998</v>
      </c>
      <c r="J22" s="718">
        <f t="shared" ref="J22:X22" si="6">J21</f>
        <v>0.41199999999999998</v>
      </c>
      <c r="K22" s="718">
        <f t="shared" si="6"/>
        <v>0.41199999999999998</v>
      </c>
      <c r="L22" s="718">
        <f t="shared" si="6"/>
        <v>0.41199999999999998</v>
      </c>
      <c r="M22" s="718">
        <f t="shared" si="6"/>
        <v>0.41199999999999998</v>
      </c>
      <c r="N22" s="718">
        <f t="shared" si="6"/>
        <v>0.41199999999999998</v>
      </c>
      <c r="O22" s="718">
        <f t="shared" si="6"/>
        <v>0.41199999999999998</v>
      </c>
      <c r="P22" s="718">
        <f t="shared" si="6"/>
        <v>0.41199999999999998</v>
      </c>
      <c r="Q22" s="718">
        <f t="shared" si="6"/>
        <v>0.41199999999999998</v>
      </c>
      <c r="R22" s="718">
        <f t="shared" si="6"/>
        <v>0.41199999999999998</v>
      </c>
      <c r="S22" s="718">
        <f t="shared" si="6"/>
        <v>0.41199999999999998</v>
      </c>
      <c r="T22" s="718">
        <f t="shared" si="6"/>
        <v>0.41199999999999998</v>
      </c>
      <c r="U22" s="718">
        <f t="shared" si="6"/>
        <v>0.41199999999999998</v>
      </c>
      <c r="V22" s="718">
        <f t="shared" si="6"/>
        <v>0.41199999999999998</v>
      </c>
      <c r="W22" s="718">
        <f t="shared" si="6"/>
        <v>0.41199999999999998</v>
      </c>
      <c r="X22" s="718">
        <f t="shared" si="6"/>
        <v>0.41199999999999998</v>
      </c>
      <c r="Y22" s="60" t="s">
        <v>279</v>
      </c>
      <c r="Z22" s="55"/>
      <c r="AA22" s="55"/>
      <c r="AB22" s="55"/>
      <c r="AC22" s="55"/>
      <c r="AD22" s="55"/>
      <c r="AE22" s="55"/>
      <c r="AF22" s="55"/>
      <c r="AG22" s="55"/>
      <c r="AH22" s="55"/>
      <c r="AI22" s="55"/>
      <c r="AJ22" s="55"/>
      <c r="AK22" s="55"/>
      <c r="AL22" s="55"/>
      <c r="AM22" s="55"/>
      <c r="AN22" s="55"/>
      <c r="AO22" s="55"/>
      <c r="AP22" s="55"/>
      <c r="AQ22" s="55"/>
      <c r="AR22" s="55"/>
      <c r="AS22" s="55"/>
      <c r="AT22" s="55"/>
      <c r="AU22" s="55"/>
      <c r="AV22" s="55"/>
      <c r="AW22" s="55"/>
      <c r="AX22" s="55"/>
      <c r="AY22" s="55"/>
      <c r="AZ22" s="55"/>
      <c r="BA22" s="55"/>
      <c r="BB22" s="55"/>
      <c r="BC22" s="55"/>
      <c r="BD22" s="55"/>
      <c r="BE22" s="55"/>
      <c r="BF22" s="55"/>
      <c r="BG22" s="55"/>
      <c r="BH22" s="55"/>
      <c r="BI22" s="55"/>
      <c r="BJ22" s="55"/>
      <c r="BK22" s="55"/>
      <c r="BL22" s="55"/>
      <c r="BM22" s="55"/>
      <c r="BN22" s="55"/>
    </row>
    <row r="23" spans="1:66" ht="15.6" customHeight="1" x14ac:dyDescent="0.25">
      <c r="A23" s="812"/>
      <c r="B23" s="812"/>
      <c r="C23" s="814"/>
      <c r="D23" s="812" t="s">
        <v>280</v>
      </c>
      <c r="E23" s="812"/>
      <c r="F23" s="702" t="s">
        <v>260</v>
      </c>
      <c r="G23" s="702">
        <v>2001</v>
      </c>
      <c r="H23" s="711" t="s">
        <v>285</v>
      </c>
      <c r="I23" s="719">
        <v>0.43</v>
      </c>
      <c r="J23" s="719">
        <v>0.36</v>
      </c>
      <c r="K23" s="719">
        <v>0.55000000000000004</v>
      </c>
      <c r="L23" s="719">
        <v>0.55000000000000004</v>
      </c>
      <c r="M23" s="719">
        <v>0.55000000000000004</v>
      </c>
      <c r="N23" s="719">
        <v>0.61</v>
      </c>
      <c r="O23" s="719">
        <v>0.61</v>
      </c>
      <c r="P23" s="719">
        <v>0.61</v>
      </c>
      <c r="Q23" s="719">
        <v>0.61</v>
      </c>
      <c r="R23" s="719">
        <v>0.36</v>
      </c>
      <c r="S23" s="719">
        <v>0.36</v>
      </c>
      <c r="T23" s="719">
        <v>0.36</v>
      </c>
      <c r="U23" s="719">
        <v>0.36</v>
      </c>
      <c r="V23" s="719">
        <v>0.36</v>
      </c>
      <c r="W23" s="719">
        <v>0.36</v>
      </c>
      <c r="X23" s="719">
        <v>0.43</v>
      </c>
      <c r="Y23" s="60"/>
      <c r="Z23" s="55"/>
      <c r="AA23" s="55"/>
      <c r="AB23" s="55"/>
      <c r="AC23" s="55"/>
      <c r="AD23" s="55"/>
      <c r="AE23" s="55"/>
      <c r="AF23" s="55"/>
      <c r="AG23" s="55"/>
      <c r="AH23" s="55"/>
      <c r="AI23" s="55"/>
      <c r="AJ23" s="55"/>
      <c r="AK23" s="55"/>
      <c r="AL23" s="55"/>
      <c r="AM23" s="55"/>
      <c r="AN23" s="55"/>
      <c r="AO23" s="55"/>
      <c r="AP23" s="55"/>
      <c r="AQ23" s="55"/>
      <c r="AR23" s="55"/>
      <c r="AS23" s="55"/>
      <c r="AT23" s="55"/>
      <c r="AU23" s="55"/>
      <c r="AV23" s="55"/>
      <c r="AW23" s="55"/>
      <c r="AX23" s="55"/>
      <c r="AY23" s="55"/>
      <c r="AZ23" s="55"/>
      <c r="BA23" s="55"/>
      <c r="BB23" s="55"/>
      <c r="BC23" s="55"/>
      <c r="BD23" s="55"/>
      <c r="BE23" s="55"/>
      <c r="BF23" s="55"/>
      <c r="BG23" s="55"/>
      <c r="BH23" s="55"/>
      <c r="BI23" s="55"/>
      <c r="BJ23" s="55"/>
      <c r="BK23" s="55"/>
      <c r="BL23" s="55"/>
      <c r="BM23" s="55"/>
      <c r="BN23" s="55"/>
    </row>
    <row r="24" spans="1:66" ht="15.6" customHeight="1" x14ac:dyDescent="0.25">
      <c r="A24" s="812"/>
      <c r="B24" s="812"/>
      <c r="C24" s="814"/>
      <c r="D24" s="812"/>
      <c r="E24" s="812"/>
      <c r="F24" s="704" t="s">
        <v>262</v>
      </c>
      <c r="G24" s="704">
        <v>2013</v>
      </c>
      <c r="H24" s="704" t="s">
        <v>282</v>
      </c>
      <c r="I24" s="720">
        <v>0.25</v>
      </c>
      <c r="J24" s="720">
        <v>0.25</v>
      </c>
      <c r="K24" s="720">
        <v>0.25</v>
      </c>
      <c r="L24" s="720">
        <v>0.25</v>
      </c>
      <c r="M24" s="720">
        <v>0.25</v>
      </c>
      <c r="N24" s="720">
        <v>0.25</v>
      </c>
      <c r="O24" s="720">
        <v>0.25</v>
      </c>
      <c r="P24" s="720">
        <v>0.25</v>
      </c>
      <c r="Q24" s="720">
        <v>0.25</v>
      </c>
      <c r="R24" s="720">
        <v>0.25</v>
      </c>
      <c r="S24" s="720">
        <v>0.25</v>
      </c>
      <c r="T24" s="720">
        <v>0.25</v>
      </c>
      <c r="U24" s="720">
        <v>0.25</v>
      </c>
      <c r="V24" s="720">
        <v>0.25</v>
      </c>
      <c r="W24" s="720">
        <v>0.25</v>
      </c>
      <c r="X24" s="720">
        <v>0.25</v>
      </c>
      <c r="Y24" s="131"/>
      <c r="Z24" s="55"/>
      <c r="AA24" s="55"/>
      <c r="AB24" s="55"/>
      <c r="AC24" s="55"/>
      <c r="AD24" s="55"/>
      <c r="AE24" s="55"/>
      <c r="AF24" s="55"/>
      <c r="AG24" s="55"/>
      <c r="AH24" s="55"/>
      <c r="AI24" s="55"/>
      <c r="AJ24" s="55"/>
      <c r="AK24" s="55"/>
      <c r="AL24" s="55"/>
      <c r="AM24" s="55"/>
      <c r="AN24" s="55"/>
      <c r="AO24" s="55"/>
      <c r="AP24" s="55"/>
      <c r="AQ24" s="55"/>
      <c r="AR24" s="55"/>
      <c r="AS24" s="55"/>
      <c r="AT24" s="55"/>
      <c r="AU24" s="55"/>
      <c r="AV24" s="55"/>
      <c r="AW24" s="55"/>
      <c r="AX24" s="55"/>
      <c r="AY24" s="55"/>
      <c r="AZ24" s="55"/>
      <c r="BA24" s="55"/>
      <c r="BB24" s="55"/>
      <c r="BC24" s="55"/>
      <c r="BD24" s="55"/>
      <c r="BE24" s="55"/>
      <c r="BF24" s="55"/>
      <c r="BG24" s="55"/>
      <c r="BH24" s="55"/>
      <c r="BI24" s="55"/>
      <c r="BJ24" s="55"/>
      <c r="BK24" s="55"/>
      <c r="BL24" s="55"/>
      <c r="BM24" s="55"/>
      <c r="BN24" s="55"/>
    </row>
    <row r="25" spans="1:66" ht="15.6" customHeight="1" x14ac:dyDescent="0.25">
      <c r="A25" s="812"/>
      <c r="B25" s="812"/>
      <c r="C25" s="814"/>
      <c r="D25" s="812"/>
      <c r="E25" s="812"/>
      <c r="F25" s="706" t="s">
        <v>264</v>
      </c>
      <c r="G25" s="706"/>
      <c r="H25" s="706" t="s">
        <v>265</v>
      </c>
      <c r="I25" s="724" cm="1">
        <f t="array" ref="I25:X25">_xlfn.BYCOL(TRANSPOSE(Weights!$C$4:$F$19)*I21:X24,_xlfn.LAMBDA(_xlpm.c,SUM(_xlpm.c)))</f>
        <v>0.39570592480000005</v>
      </c>
      <c r="J25" s="721">
        <v>0.39808764060000001</v>
      </c>
      <c r="K25" s="721">
        <v>0.42102707900000003</v>
      </c>
      <c r="L25" s="721">
        <v>0.42030464560000003</v>
      </c>
      <c r="M25" s="721">
        <v>0.42792389659999996</v>
      </c>
      <c r="N25" s="721">
        <v>0.42030508460000005</v>
      </c>
      <c r="O25" s="721">
        <v>0.42135834760000002</v>
      </c>
      <c r="P25" s="721">
        <v>0.42079739399999994</v>
      </c>
      <c r="Q25" s="721">
        <v>0.42003120039999997</v>
      </c>
      <c r="R25" s="721">
        <v>0.38872415900000001</v>
      </c>
      <c r="S25" s="721">
        <v>0.38453577359999996</v>
      </c>
      <c r="T25" s="721">
        <v>0.38351234520000005</v>
      </c>
      <c r="U25" s="721">
        <v>0.379379246</v>
      </c>
      <c r="V25" s="721">
        <v>0.39133441979999994</v>
      </c>
      <c r="W25" s="721">
        <v>0.38620898699999995</v>
      </c>
      <c r="X25" s="721">
        <v>0.39819150519999996</v>
      </c>
      <c r="Y25" s="131"/>
      <c r="Z25" s="55"/>
      <c r="AA25" s="55"/>
      <c r="AB25" s="55"/>
      <c r="AC25" s="55"/>
      <c r="AD25" s="55"/>
      <c r="AE25" s="55"/>
      <c r="AF25" s="55"/>
      <c r="AG25" s="55"/>
      <c r="AH25" s="55"/>
      <c r="AI25" s="55"/>
      <c r="AJ25" s="55"/>
      <c r="AK25" s="55"/>
      <c r="AL25" s="55"/>
      <c r="AM25" s="55"/>
      <c r="AN25" s="55"/>
      <c r="AO25" s="55"/>
      <c r="AP25" s="55"/>
      <c r="AQ25" s="55"/>
      <c r="AR25" s="55"/>
      <c r="AS25" s="55"/>
      <c r="AT25" s="55"/>
      <c r="AU25" s="55"/>
      <c r="AV25" s="55"/>
      <c r="AW25" s="55"/>
      <c r="AX25" s="55"/>
      <c r="AY25" s="55"/>
      <c r="AZ25" s="55"/>
      <c r="BA25" s="55"/>
      <c r="BB25" s="55"/>
      <c r="BC25" s="55"/>
      <c r="BD25" s="55"/>
      <c r="BE25" s="55"/>
      <c r="BF25" s="55"/>
      <c r="BG25" s="55"/>
      <c r="BH25" s="55"/>
      <c r="BI25" s="55"/>
      <c r="BJ25" s="55"/>
      <c r="BK25" s="55"/>
      <c r="BL25" s="55"/>
      <c r="BM25" s="55"/>
      <c r="BN25" s="55"/>
    </row>
    <row r="26" spans="1:66" ht="15.6" customHeight="1" x14ac:dyDescent="0.25">
      <c r="A26" s="812"/>
      <c r="B26" s="812"/>
      <c r="C26" s="814"/>
      <c r="D26" s="812"/>
      <c r="E26" s="812"/>
      <c r="F26" s="707" t="s">
        <v>266</v>
      </c>
      <c r="G26" s="714">
        <v>2025</v>
      </c>
      <c r="H26" s="714" t="s">
        <v>282</v>
      </c>
      <c r="I26" s="722">
        <v>0.25</v>
      </c>
      <c r="J26" s="722">
        <v>0.25</v>
      </c>
      <c r="K26" s="722">
        <v>0.25</v>
      </c>
      <c r="L26" s="722">
        <v>0.25</v>
      </c>
      <c r="M26" s="722">
        <v>0.25</v>
      </c>
      <c r="N26" s="722">
        <v>0.25</v>
      </c>
      <c r="O26" s="722">
        <v>0.25</v>
      </c>
      <c r="P26" s="722">
        <v>0.25</v>
      </c>
      <c r="Q26" s="722">
        <v>0.22</v>
      </c>
      <c r="R26" s="722">
        <v>0.25</v>
      </c>
      <c r="S26" s="722">
        <v>0.22</v>
      </c>
      <c r="T26" s="722">
        <v>0.22</v>
      </c>
      <c r="U26" s="722">
        <v>0.22</v>
      </c>
      <c r="V26" s="722">
        <v>0.22</v>
      </c>
      <c r="W26" s="722">
        <v>0.22</v>
      </c>
      <c r="X26" s="722">
        <v>0.25</v>
      </c>
      <c r="Y26" s="131"/>
      <c r="Z26" s="55"/>
      <c r="AA26" s="55"/>
      <c r="AB26" s="55"/>
      <c r="AC26" s="55"/>
      <c r="AD26" s="55"/>
      <c r="AE26" s="55"/>
      <c r="AF26" s="55"/>
      <c r="AG26" s="55"/>
      <c r="AH26" s="55"/>
      <c r="AI26" s="55"/>
      <c r="AJ26" s="55"/>
      <c r="AK26" s="55"/>
      <c r="AL26" s="55"/>
      <c r="AM26" s="55"/>
      <c r="AN26" s="55"/>
      <c r="AO26" s="55"/>
      <c r="AP26" s="55"/>
      <c r="AQ26" s="55"/>
      <c r="AR26" s="55"/>
      <c r="AS26" s="55"/>
      <c r="AT26" s="55"/>
      <c r="AU26" s="55"/>
      <c r="AV26" s="55"/>
      <c r="AW26" s="55"/>
      <c r="AX26" s="55"/>
      <c r="AY26" s="55"/>
      <c r="AZ26" s="55"/>
      <c r="BA26" s="55"/>
      <c r="BB26" s="55"/>
      <c r="BC26" s="55"/>
      <c r="BD26" s="55"/>
      <c r="BE26" s="55"/>
      <c r="BF26" s="55"/>
      <c r="BG26" s="55"/>
      <c r="BH26" s="55"/>
      <c r="BI26" s="55"/>
      <c r="BJ26" s="55"/>
      <c r="BK26" s="55"/>
      <c r="BL26" s="55"/>
      <c r="BM26" s="55"/>
      <c r="BN26" s="55"/>
    </row>
    <row r="27" spans="1:66" ht="15.75" customHeight="1" x14ac:dyDescent="0.25">
      <c r="A27" s="57"/>
      <c r="B27" s="62"/>
      <c r="C27" s="57"/>
      <c r="D27" s="57"/>
      <c r="E27" s="132"/>
      <c r="F27" s="132"/>
      <c r="G27" s="133"/>
      <c r="H27" s="132"/>
      <c r="I27" s="132"/>
      <c r="J27" s="132"/>
      <c r="K27" s="132"/>
      <c r="L27" s="132"/>
      <c r="M27" s="132"/>
      <c r="N27" s="132"/>
      <c r="O27" s="132"/>
      <c r="P27" s="132"/>
      <c r="Q27" s="132"/>
      <c r="R27" s="132"/>
      <c r="S27" s="132"/>
      <c r="T27" s="132"/>
      <c r="U27" s="132"/>
      <c r="V27" s="132"/>
      <c r="W27" s="132"/>
      <c r="X27" s="132"/>
      <c r="Y27" s="55"/>
      <c r="Z27" s="55"/>
      <c r="AA27" s="55"/>
      <c r="AB27" s="55"/>
      <c r="AC27" s="55"/>
      <c r="AD27" s="55"/>
      <c r="AE27" s="55"/>
      <c r="AF27" s="55"/>
      <c r="AG27" s="55"/>
      <c r="AH27" s="55"/>
      <c r="AI27" s="55"/>
      <c r="AJ27" s="55"/>
      <c r="AK27" s="55"/>
      <c r="AL27" s="55"/>
      <c r="AM27" s="55"/>
      <c r="AN27" s="55"/>
      <c r="AO27" s="55"/>
      <c r="AP27" s="55"/>
      <c r="AQ27" s="55"/>
      <c r="AR27" s="55"/>
      <c r="AS27" s="55"/>
      <c r="AT27" s="55"/>
      <c r="AU27" s="55"/>
      <c r="AV27" s="55"/>
      <c r="AW27" s="55"/>
      <c r="AX27" s="55"/>
      <c r="AY27" s="55"/>
      <c r="AZ27" s="55"/>
      <c r="BA27" s="55"/>
      <c r="BB27" s="55"/>
      <c r="BC27" s="55"/>
      <c r="BD27" s="55"/>
      <c r="BE27" s="55"/>
      <c r="BF27" s="55"/>
      <c r="BG27" s="55"/>
      <c r="BH27" s="55"/>
      <c r="BI27" s="55"/>
      <c r="BJ27" s="55"/>
      <c r="BK27" s="55"/>
      <c r="BL27" s="55"/>
      <c r="BM27" s="55"/>
      <c r="BN27" s="55"/>
    </row>
    <row r="28" spans="1:66" ht="25.95" customHeight="1" x14ac:dyDescent="0.25">
      <c r="A28" s="57"/>
      <c r="B28" s="62"/>
      <c r="C28" s="798" t="s">
        <v>286</v>
      </c>
      <c r="D28" s="798"/>
      <c r="E28" s="798"/>
      <c r="F28" s="798"/>
      <c r="G28" s="798"/>
      <c r="H28" s="798"/>
      <c r="I28" s="798"/>
      <c r="J28" s="798"/>
      <c r="K28" s="170"/>
      <c r="L28" s="170"/>
      <c r="M28" s="134"/>
      <c r="N28" s="134"/>
      <c r="O28" s="134"/>
      <c r="P28" s="134"/>
      <c r="Q28" s="134"/>
      <c r="R28" s="134"/>
      <c r="S28" s="134"/>
      <c r="T28" s="134"/>
      <c r="U28" s="134"/>
      <c r="V28" s="134"/>
      <c r="W28" s="134"/>
      <c r="X28" s="134"/>
      <c r="Y28" s="55"/>
      <c r="Z28" s="55"/>
      <c r="AA28" s="55"/>
      <c r="AB28" s="55"/>
      <c r="AC28" s="55"/>
      <c r="AD28" s="55"/>
      <c r="AE28" s="55"/>
      <c r="AF28" s="55"/>
      <c r="AG28" s="55"/>
      <c r="AH28" s="55"/>
      <c r="AI28" s="55"/>
      <c r="AJ28" s="55"/>
      <c r="AK28" s="55"/>
      <c r="AL28" s="55"/>
      <c r="AM28" s="55"/>
      <c r="AN28" s="55"/>
      <c r="AO28" s="55"/>
      <c r="AP28" s="55"/>
      <c r="AQ28" s="55"/>
      <c r="AR28" s="55"/>
      <c r="AS28" s="55"/>
      <c r="AT28" s="55"/>
      <c r="AU28" s="55"/>
      <c r="AV28" s="55"/>
      <c r="AW28" s="55"/>
      <c r="AX28" s="55"/>
      <c r="AY28" s="55"/>
      <c r="AZ28" s="55"/>
      <c r="BA28" s="55"/>
      <c r="BB28" s="55"/>
      <c r="BC28" s="55"/>
      <c r="BD28" s="55"/>
      <c r="BE28" s="55"/>
      <c r="BF28" s="55"/>
      <c r="BG28" s="55"/>
      <c r="BH28" s="55"/>
      <c r="BI28" s="55"/>
      <c r="BJ28" s="55"/>
      <c r="BK28" s="55"/>
      <c r="BL28" s="55"/>
      <c r="BM28" s="55"/>
      <c r="BN28" s="55"/>
    </row>
    <row r="29" spans="1:66" ht="43.2" customHeight="1" x14ac:dyDescent="0.25">
      <c r="A29" s="57"/>
      <c r="B29" s="62"/>
      <c r="C29" s="725"/>
      <c r="D29" s="725" t="s">
        <v>203</v>
      </c>
      <c r="E29" s="725" t="s">
        <v>101</v>
      </c>
      <c r="F29" s="171" t="s">
        <v>234</v>
      </c>
      <c r="G29" s="187" t="s">
        <v>287</v>
      </c>
      <c r="H29" s="187" t="s">
        <v>288</v>
      </c>
      <c r="I29" s="818" t="s">
        <v>289</v>
      </c>
      <c r="J29" s="819"/>
      <c r="K29" s="819"/>
      <c r="L29" s="819"/>
      <c r="M29" s="819"/>
      <c r="N29" s="819"/>
      <c r="O29" s="819"/>
      <c r="P29" s="819"/>
      <c r="Q29" s="819"/>
      <c r="R29" s="819"/>
      <c r="S29" s="819"/>
      <c r="T29" s="819"/>
      <c r="U29" s="819"/>
      <c r="V29" s="819"/>
      <c r="W29" s="819"/>
      <c r="X29" s="820"/>
      <c r="Y29" s="55"/>
      <c r="Z29" s="55"/>
      <c r="AA29" s="55"/>
      <c r="AB29" s="55"/>
      <c r="AC29" s="55"/>
      <c r="AD29" s="55"/>
      <c r="AE29" s="55"/>
      <c r="AF29" s="55"/>
      <c r="AG29" s="55"/>
      <c r="AH29" s="55"/>
      <c r="AI29" s="55"/>
      <c r="AJ29" s="55"/>
      <c r="AK29" s="55"/>
      <c r="AL29" s="55"/>
      <c r="AM29" s="55"/>
      <c r="AN29" s="55"/>
      <c r="AO29" s="55"/>
      <c r="AP29" s="55"/>
      <c r="AQ29" s="55"/>
      <c r="AR29" s="55"/>
      <c r="AS29" s="55"/>
      <c r="AT29" s="55"/>
      <c r="AU29" s="55"/>
      <c r="AV29" s="55"/>
      <c r="AW29" s="55"/>
      <c r="AX29" s="55"/>
      <c r="AY29" s="55"/>
      <c r="AZ29" s="55"/>
      <c r="BA29" s="55"/>
      <c r="BB29" s="55"/>
      <c r="BC29" s="55"/>
      <c r="BD29" s="55"/>
      <c r="BE29" s="55"/>
      <c r="BF29" s="55"/>
      <c r="BG29" s="55"/>
      <c r="BH29" s="55"/>
      <c r="BI29" s="55"/>
      <c r="BJ29" s="55"/>
      <c r="BK29" s="55"/>
      <c r="BL29" s="55"/>
      <c r="BM29" s="55"/>
      <c r="BN29" s="55"/>
    </row>
    <row r="30" spans="1:66" ht="24.6" customHeight="1" x14ac:dyDescent="0.3">
      <c r="A30" s="57"/>
      <c r="B30" s="62"/>
      <c r="C30" s="821" t="s">
        <v>286</v>
      </c>
      <c r="D30" s="821" t="s">
        <v>50</v>
      </c>
      <c r="E30" s="821"/>
      <c r="F30" s="716" t="s">
        <v>256</v>
      </c>
      <c r="G30" s="716">
        <v>1.1000000000000001</v>
      </c>
      <c r="H30" s="172" t="s">
        <v>290</v>
      </c>
      <c r="I30" s="815">
        <f>0.112*G30*$AA$35</f>
        <v>0.43126160000000002</v>
      </c>
      <c r="J30" s="816"/>
      <c r="K30" s="816"/>
      <c r="L30" s="816"/>
      <c r="M30" s="816"/>
      <c r="N30" s="816"/>
      <c r="O30" s="816"/>
      <c r="P30" s="816"/>
      <c r="Q30" s="816"/>
      <c r="R30" s="816"/>
      <c r="S30" s="816"/>
      <c r="T30" s="816"/>
      <c r="U30" s="816"/>
      <c r="V30" s="816"/>
      <c r="W30" s="816"/>
      <c r="X30" s="817"/>
      <c r="Y30" s="55"/>
      <c r="Z30" s="658" t="s">
        <v>291</v>
      </c>
      <c r="AA30" s="645">
        <f>50.01^2</f>
        <v>2501.0000999999997</v>
      </c>
      <c r="AB30" s="55"/>
      <c r="AC30" s="55"/>
      <c r="AD30" s="55"/>
      <c r="AE30" s="55"/>
      <c r="AF30" s="55"/>
      <c r="AG30" s="55"/>
      <c r="AH30" s="55"/>
      <c r="AI30" s="55"/>
      <c r="AJ30" s="55"/>
      <c r="AK30" s="55"/>
      <c r="AL30" s="55"/>
      <c r="AM30" s="55"/>
      <c r="AN30" s="55"/>
      <c r="AO30" s="55"/>
      <c r="AP30" s="55"/>
      <c r="AQ30" s="55"/>
      <c r="AR30" s="55"/>
      <c r="AS30" s="55"/>
      <c r="AT30" s="55"/>
      <c r="AU30" s="55"/>
      <c r="AV30" s="55"/>
      <c r="AW30" s="55"/>
      <c r="AX30" s="55"/>
      <c r="AY30" s="55"/>
      <c r="AZ30" s="55"/>
      <c r="BA30" s="55"/>
      <c r="BB30" s="55"/>
      <c r="BC30" s="55"/>
      <c r="BD30" s="55"/>
      <c r="BE30" s="55"/>
      <c r="BF30" s="55"/>
      <c r="BG30" s="55"/>
      <c r="BH30" s="55"/>
      <c r="BI30" s="55"/>
      <c r="BJ30" s="55"/>
      <c r="BK30" s="55"/>
      <c r="BL30" s="55"/>
      <c r="BM30" s="55"/>
      <c r="BN30" s="55"/>
    </row>
    <row r="31" spans="1:66" ht="24.6" customHeight="1" x14ac:dyDescent="0.3">
      <c r="A31" s="57"/>
      <c r="B31" s="57"/>
      <c r="C31" s="822"/>
      <c r="D31" s="822"/>
      <c r="E31" s="822"/>
      <c r="F31" s="716" t="s">
        <v>258</v>
      </c>
      <c r="G31" s="716">
        <v>1.1000000000000001</v>
      </c>
      <c r="H31" s="172" t="s">
        <v>290</v>
      </c>
      <c r="I31" s="815">
        <f t="shared" ref="I31:I35" si="7">0.112*G31*$AA$35</f>
        <v>0.43126160000000002</v>
      </c>
      <c r="J31" s="816"/>
      <c r="K31" s="816"/>
      <c r="L31" s="816"/>
      <c r="M31" s="816"/>
      <c r="N31" s="816"/>
      <c r="O31" s="816"/>
      <c r="P31" s="816"/>
      <c r="Q31" s="816"/>
      <c r="R31" s="816"/>
      <c r="S31" s="816"/>
      <c r="T31" s="816"/>
      <c r="U31" s="816"/>
      <c r="V31" s="816"/>
      <c r="W31" s="816"/>
      <c r="X31" s="817"/>
      <c r="Y31" s="55"/>
      <c r="Z31" s="658" t="s">
        <v>292</v>
      </c>
      <c r="AA31" s="645">
        <f>(50.01+50.01)*2*10</f>
        <v>2000.3999999999999</v>
      </c>
      <c r="AB31" s="55"/>
      <c r="AC31" s="55"/>
      <c r="AD31" s="55"/>
      <c r="AE31" s="55"/>
      <c r="AF31" s="55"/>
      <c r="AG31" s="55"/>
      <c r="AH31" s="55"/>
      <c r="AI31" s="55"/>
      <c r="AJ31" s="55"/>
      <c r="AK31" s="55"/>
      <c r="AL31" s="55"/>
      <c r="AM31" s="55"/>
      <c r="AN31" s="55"/>
      <c r="AO31" s="55"/>
      <c r="AP31" s="55"/>
      <c r="AQ31" s="55"/>
      <c r="AR31" s="55"/>
      <c r="AS31" s="55"/>
      <c r="AT31" s="55"/>
      <c r="AU31" s="55"/>
      <c r="AV31" s="55"/>
      <c r="AW31" s="55"/>
      <c r="AX31" s="55"/>
      <c r="AY31" s="55"/>
      <c r="AZ31" s="55"/>
      <c r="BA31" s="55"/>
      <c r="BB31" s="55"/>
      <c r="BC31" s="55"/>
      <c r="BD31" s="55"/>
      <c r="BE31" s="55"/>
      <c r="BF31" s="55"/>
      <c r="BG31" s="55"/>
      <c r="BH31" s="55"/>
      <c r="BI31" s="55"/>
      <c r="BJ31" s="55"/>
      <c r="BK31" s="55"/>
      <c r="BL31" s="55"/>
      <c r="BM31" s="55"/>
      <c r="BN31" s="55"/>
    </row>
    <row r="32" spans="1:66" ht="24.6" customHeight="1" x14ac:dyDescent="0.3">
      <c r="A32" s="57"/>
      <c r="B32" s="62"/>
      <c r="C32" s="822"/>
      <c r="D32" s="822"/>
      <c r="E32" s="822"/>
      <c r="F32" s="716" t="s">
        <v>260</v>
      </c>
      <c r="G32" s="716">
        <v>1.1000000000000001</v>
      </c>
      <c r="H32" s="172" t="s">
        <v>290</v>
      </c>
      <c r="I32" s="815">
        <f t="shared" si="7"/>
        <v>0.43126160000000002</v>
      </c>
      <c r="J32" s="816"/>
      <c r="K32" s="816"/>
      <c r="L32" s="816"/>
      <c r="M32" s="816"/>
      <c r="N32" s="816"/>
      <c r="O32" s="816"/>
      <c r="P32" s="816"/>
      <c r="Q32" s="816"/>
      <c r="R32" s="816"/>
      <c r="S32" s="816"/>
      <c r="T32" s="816"/>
      <c r="U32" s="816"/>
      <c r="V32" s="816"/>
      <c r="W32" s="816"/>
      <c r="X32" s="817"/>
      <c r="Y32" s="105"/>
      <c r="Z32" s="658" t="s">
        <v>293</v>
      </c>
      <c r="AA32" s="659">
        <f>AA31</f>
        <v>2000.3999999999999</v>
      </c>
      <c r="AB32" s="809"/>
      <c r="AC32" s="809"/>
      <c r="AD32" s="809"/>
      <c r="AE32" s="809"/>
      <c r="AF32" s="809"/>
      <c r="AG32" s="809"/>
      <c r="AH32" s="809"/>
      <c r="AI32" s="809"/>
      <c r="AJ32" s="809"/>
      <c r="AK32" s="809"/>
      <c r="AL32" s="809"/>
      <c r="AM32" s="809"/>
      <c r="AN32" s="809"/>
      <c r="AO32" s="809"/>
      <c r="AP32" s="809"/>
      <c r="AQ32" s="809"/>
      <c r="AR32" s="809"/>
      <c r="AS32" s="809"/>
      <c r="AT32" s="809"/>
      <c r="AU32" s="809"/>
      <c r="AV32" s="809"/>
      <c r="AW32" s="809"/>
      <c r="AX32" s="809"/>
      <c r="AY32" s="55"/>
      <c r="AZ32" s="55"/>
      <c r="BA32" s="55"/>
      <c r="BB32" s="55"/>
      <c r="BC32" s="55"/>
      <c r="BD32" s="55"/>
      <c r="BE32" s="55"/>
      <c r="BF32" s="55"/>
      <c r="BG32" s="55"/>
      <c r="BH32" s="55"/>
      <c r="BI32" s="55"/>
      <c r="BJ32" s="55"/>
      <c r="BK32" s="55"/>
      <c r="BL32" s="55"/>
      <c r="BM32" s="55"/>
      <c r="BN32" s="55"/>
    </row>
    <row r="33" spans="1:66" ht="33.6" customHeight="1" x14ac:dyDescent="0.3">
      <c r="A33" s="57"/>
      <c r="B33" s="62"/>
      <c r="C33" s="822"/>
      <c r="D33" s="822"/>
      <c r="E33" s="822"/>
      <c r="F33" s="716" t="s">
        <v>262</v>
      </c>
      <c r="G33" s="231">
        <v>1</v>
      </c>
      <c r="H33" s="186" t="s">
        <v>294</v>
      </c>
      <c r="I33" s="824">
        <f t="shared" si="7"/>
        <v>0.39205599999999996</v>
      </c>
      <c r="J33" s="825"/>
      <c r="K33" s="825"/>
      <c r="L33" s="825"/>
      <c r="M33" s="825"/>
      <c r="N33" s="825"/>
      <c r="O33" s="825"/>
      <c r="P33" s="825"/>
      <c r="Q33" s="825"/>
      <c r="R33" s="825"/>
      <c r="S33" s="825"/>
      <c r="T33" s="825"/>
      <c r="U33" s="825"/>
      <c r="V33" s="825"/>
      <c r="W33" s="825"/>
      <c r="X33" s="826"/>
      <c r="Y33" s="55"/>
      <c r="Z33" s="658" t="s">
        <v>295</v>
      </c>
      <c r="AA33" s="645">
        <f>AA31+(2*AA30)</f>
        <v>7002.4001999999991</v>
      </c>
      <c r="AB33" s="55"/>
      <c r="AC33" s="55"/>
      <c r="AD33" s="55"/>
      <c r="AE33" s="55"/>
      <c r="AF33" s="55"/>
      <c r="AG33" s="55"/>
      <c r="AH33" s="55"/>
      <c r="AI33" s="55"/>
      <c r="AJ33" s="55"/>
      <c r="AK33" s="55"/>
      <c r="AL33" s="55"/>
      <c r="AM33" s="55"/>
      <c r="AN33" s="55"/>
      <c r="AO33" s="55"/>
      <c r="AP33" s="55"/>
      <c r="AQ33" s="55"/>
      <c r="AR33" s="55"/>
      <c r="AS33" s="55"/>
      <c r="AT33" s="55"/>
      <c r="AU33" s="55"/>
      <c r="AV33" s="55"/>
      <c r="AW33" s="55"/>
      <c r="AX33" s="55"/>
      <c r="AY33" s="55"/>
      <c r="AZ33" s="55"/>
      <c r="BA33" s="55"/>
      <c r="BB33" s="55"/>
      <c r="BC33" s="55"/>
      <c r="BD33" s="55"/>
      <c r="BE33" s="55"/>
      <c r="BF33" s="55"/>
      <c r="BG33" s="55"/>
      <c r="BH33" s="55"/>
      <c r="BI33" s="55"/>
      <c r="BJ33" s="55"/>
      <c r="BK33" s="55"/>
      <c r="BL33" s="55"/>
      <c r="BM33" s="55"/>
      <c r="BN33" s="55"/>
    </row>
    <row r="34" spans="1:66" ht="33.6" customHeight="1" x14ac:dyDescent="0.3">
      <c r="A34" s="57"/>
      <c r="B34" s="62"/>
      <c r="C34" s="822"/>
      <c r="D34" s="822"/>
      <c r="E34" s="822"/>
      <c r="F34" s="687" t="s">
        <v>264</v>
      </c>
      <c r="G34" s="726"/>
      <c r="H34" s="727" t="s">
        <v>1012</v>
      </c>
      <c r="I34" s="827">
        <f>I32</f>
        <v>0.43126160000000002</v>
      </c>
      <c r="J34" s="828"/>
      <c r="K34" s="828"/>
      <c r="L34" s="828"/>
      <c r="M34" s="828"/>
      <c r="N34" s="828"/>
      <c r="O34" s="828"/>
      <c r="P34" s="828"/>
      <c r="Q34" s="828"/>
      <c r="R34" s="828"/>
      <c r="S34" s="828"/>
      <c r="T34" s="828"/>
      <c r="U34" s="828"/>
      <c r="V34" s="828"/>
      <c r="W34" s="828"/>
      <c r="X34" s="829"/>
      <c r="Y34" s="55"/>
      <c r="Z34" s="658"/>
      <c r="AA34" s="645"/>
      <c r="AB34" s="55"/>
      <c r="AC34" s="55"/>
      <c r="AD34" s="55"/>
      <c r="AE34" s="55"/>
      <c r="AF34" s="55"/>
      <c r="AG34" s="55"/>
      <c r="AH34" s="55"/>
      <c r="AI34" s="55"/>
      <c r="AJ34" s="55"/>
      <c r="AK34" s="55"/>
      <c r="AL34" s="55"/>
      <c r="AM34" s="55"/>
      <c r="AN34" s="55"/>
      <c r="AO34" s="55"/>
      <c r="AP34" s="55"/>
      <c r="AQ34" s="55"/>
      <c r="AR34" s="55"/>
      <c r="AS34" s="55"/>
      <c r="AT34" s="55"/>
      <c r="AU34" s="55"/>
      <c r="AV34" s="55"/>
      <c r="AW34" s="55"/>
      <c r="AX34" s="55"/>
      <c r="AY34" s="55"/>
      <c r="AZ34" s="55"/>
      <c r="BA34" s="55"/>
      <c r="BB34" s="55"/>
      <c r="BC34" s="55"/>
      <c r="BD34" s="55"/>
      <c r="BE34" s="55"/>
      <c r="BF34" s="55"/>
      <c r="BG34" s="55"/>
      <c r="BH34" s="55"/>
      <c r="BI34" s="55"/>
      <c r="BJ34" s="55"/>
      <c r="BK34" s="55"/>
      <c r="BL34" s="55"/>
      <c r="BM34" s="55"/>
      <c r="BN34" s="55"/>
    </row>
    <row r="35" spans="1:66" ht="34.200000000000003" customHeight="1" x14ac:dyDescent="0.3">
      <c r="A35" s="57"/>
      <c r="B35" s="62"/>
      <c r="C35" s="823"/>
      <c r="D35" s="823"/>
      <c r="E35" s="823"/>
      <c r="F35" s="716" t="s">
        <v>266</v>
      </c>
      <c r="G35" s="716">
        <v>0.6</v>
      </c>
      <c r="H35" s="186" t="s">
        <v>296</v>
      </c>
      <c r="I35" s="815">
        <f t="shared" si="7"/>
        <v>0.23523359999999996</v>
      </c>
      <c r="J35" s="816"/>
      <c r="K35" s="816"/>
      <c r="L35" s="816"/>
      <c r="M35" s="816"/>
      <c r="N35" s="816"/>
      <c r="O35" s="816"/>
      <c r="P35" s="816"/>
      <c r="Q35" s="816"/>
      <c r="R35" s="816"/>
      <c r="S35" s="816"/>
      <c r="T35" s="816"/>
      <c r="U35" s="816"/>
      <c r="V35" s="816"/>
      <c r="W35" s="816"/>
      <c r="X35" s="817"/>
      <c r="Y35" s="55"/>
      <c r="Z35" s="658" t="s">
        <v>297</v>
      </c>
      <c r="AA35" s="660">
        <f>AA33/AA32</f>
        <v>3.5004999999999997</v>
      </c>
      <c r="AB35" s="55"/>
      <c r="AC35" s="55"/>
      <c r="AD35" s="55"/>
      <c r="AE35" s="55"/>
      <c r="AF35" s="55"/>
      <c r="AG35" s="55"/>
      <c r="AH35" s="55"/>
      <c r="AI35" s="55"/>
      <c r="AJ35" s="55"/>
      <c r="AK35" s="55"/>
      <c r="AL35" s="55"/>
      <c r="AM35" s="55"/>
      <c r="AN35" s="55"/>
      <c r="AO35" s="55"/>
      <c r="AP35" s="55"/>
      <c r="AQ35" s="55"/>
      <c r="AR35" s="55"/>
      <c r="AS35" s="55"/>
      <c r="AT35" s="55"/>
      <c r="AU35" s="55"/>
      <c r="AV35" s="55"/>
      <c r="AW35" s="55"/>
      <c r="AX35" s="55"/>
      <c r="AY35" s="55"/>
      <c r="AZ35" s="55"/>
      <c r="BA35" s="55"/>
      <c r="BB35" s="55"/>
      <c r="BC35" s="55"/>
      <c r="BD35" s="55"/>
      <c r="BE35" s="55"/>
      <c r="BF35" s="55"/>
      <c r="BG35" s="55"/>
      <c r="BH35" s="55"/>
      <c r="BI35" s="55"/>
      <c r="BJ35" s="55"/>
      <c r="BK35" s="55"/>
      <c r="BL35" s="55"/>
      <c r="BM35" s="55"/>
      <c r="BN35" s="55"/>
    </row>
    <row r="36" spans="1:66" x14ac:dyDescent="0.25">
      <c r="A36" s="55"/>
      <c r="B36" s="135"/>
      <c r="C36" s="55"/>
      <c r="D36" s="55"/>
      <c r="E36" s="183" t="s">
        <v>298</v>
      </c>
      <c r="F36" s="730"/>
      <c r="G36" s="173"/>
      <c r="H36" s="127"/>
      <c r="I36" s="127"/>
      <c r="J36" s="127"/>
      <c r="K36" s="127"/>
      <c r="L36" s="127"/>
      <c r="M36" s="127"/>
      <c r="N36" s="55"/>
      <c r="O36" s="55"/>
      <c r="P36" s="55"/>
      <c r="Q36" s="55"/>
      <c r="R36" s="55"/>
      <c r="S36" s="55"/>
      <c r="T36" s="55"/>
      <c r="U36" s="55"/>
      <c r="V36" s="55"/>
      <c r="W36" s="55"/>
      <c r="X36" s="55"/>
      <c r="Y36" s="55"/>
      <c r="Z36" s="55"/>
      <c r="AA36" s="55"/>
      <c r="AB36" s="55"/>
      <c r="AC36" s="55"/>
      <c r="AD36" s="55"/>
      <c r="AE36" s="55"/>
      <c r="AF36" s="55"/>
      <c r="AG36" s="55"/>
      <c r="AH36" s="55"/>
      <c r="AI36" s="55"/>
      <c r="AJ36" s="55"/>
      <c r="AK36" s="55"/>
      <c r="AL36" s="55"/>
      <c r="AM36" s="55"/>
      <c r="AN36" s="55"/>
      <c r="AO36" s="55"/>
      <c r="AP36" s="55"/>
      <c r="AQ36" s="55"/>
      <c r="AR36" s="55"/>
      <c r="AS36" s="55"/>
      <c r="AT36" s="55"/>
      <c r="AU36" s="55"/>
      <c r="AV36" s="55"/>
      <c r="AW36" s="55"/>
      <c r="AX36" s="55"/>
      <c r="AY36" s="55"/>
      <c r="AZ36" s="55"/>
      <c r="BA36" s="55"/>
      <c r="BB36" s="55"/>
      <c r="BC36" s="55"/>
      <c r="BD36" s="55"/>
      <c r="BE36" s="55"/>
      <c r="BF36" s="55"/>
      <c r="BG36" s="55"/>
      <c r="BH36" s="55"/>
      <c r="BI36" s="55"/>
      <c r="BJ36" s="55"/>
      <c r="BK36" s="55"/>
      <c r="BL36" s="55"/>
      <c r="BM36" s="55"/>
      <c r="BN36" s="55"/>
    </row>
    <row r="37" spans="1:66" ht="14.4" x14ac:dyDescent="0.3">
      <c r="A37" s="55"/>
      <c r="B37" s="135"/>
      <c r="C37" s="55"/>
      <c r="D37" s="55"/>
      <c r="E37" s="184" t="s">
        <v>299</v>
      </c>
      <c r="F37" s="127"/>
      <c r="G37" s="127"/>
      <c r="H37" s="127"/>
      <c r="I37" s="127"/>
      <c r="J37" s="127"/>
      <c r="K37" s="127"/>
      <c r="L37" s="55"/>
      <c r="M37" s="55"/>
      <c r="N37" s="55"/>
      <c r="O37" s="55"/>
      <c r="P37" s="55"/>
      <c r="Q37" s="55"/>
      <c r="R37" s="55"/>
      <c r="S37" s="55"/>
      <c r="T37" s="55"/>
      <c r="U37" s="55"/>
      <c r="V37" s="55"/>
      <c r="W37" s="55"/>
      <c r="X37" s="55"/>
      <c r="Y37" s="55"/>
      <c r="Z37" s="55"/>
      <c r="AA37" s="55"/>
      <c r="AB37" s="55"/>
      <c r="AC37" s="55"/>
      <c r="AD37" s="55"/>
      <c r="AE37" s="55"/>
      <c r="AF37" s="55"/>
      <c r="AG37" s="55"/>
      <c r="AH37" s="55"/>
      <c r="AI37" s="55"/>
      <c r="AJ37" s="55"/>
      <c r="AK37" s="55"/>
      <c r="AL37" s="55"/>
      <c r="AM37" s="55"/>
      <c r="AN37" s="55"/>
      <c r="AO37" s="55"/>
      <c r="AP37" s="55"/>
      <c r="AQ37" s="55"/>
      <c r="AR37" s="55"/>
      <c r="AS37" s="55"/>
      <c r="AT37" s="55"/>
      <c r="AU37" s="55"/>
      <c r="AV37" s="55"/>
      <c r="AW37" s="55"/>
      <c r="AX37" s="55"/>
      <c r="AY37" s="55"/>
      <c r="AZ37" s="55"/>
      <c r="BA37" s="55"/>
      <c r="BB37" s="55"/>
      <c r="BC37" s="55"/>
      <c r="BD37" s="55"/>
      <c r="BE37" s="55"/>
      <c r="BF37" s="55"/>
      <c r="BG37" s="55"/>
      <c r="BH37" s="55"/>
      <c r="BI37" s="55"/>
      <c r="BJ37" s="55"/>
      <c r="BK37" s="55"/>
      <c r="BL37" s="55"/>
      <c r="BM37" s="55"/>
      <c r="BN37" s="55"/>
    </row>
    <row r="38" spans="1:66" x14ac:dyDescent="0.25">
      <c r="A38" s="55"/>
      <c r="B38" s="135"/>
      <c r="C38" s="55"/>
      <c r="D38" s="55"/>
      <c r="E38" s="55"/>
      <c r="F38" s="55"/>
      <c r="G38" s="136"/>
      <c r="H38" s="55"/>
      <c r="I38" s="55"/>
      <c r="J38" s="55"/>
      <c r="K38" s="55"/>
      <c r="L38" s="55"/>
      <c r="M38" s="55"/>
      <c r="N38" s="55"/>
      <c r="O38" s="55"/>
      <c r="P38" s="55"/>
      <c r="Q38" s="55"/>
      <c r="R38" s="55"/>
      <c r="S38" s="55"/>
      <c r="T38" s="55"/>
      <c r="U38" s="55"/>
      <c r="V38" s="55"/>
      <c r="W38" s="55"/>
      <c r="X38" s="55"/>
      <c r="Y38" s="55"/>
      <c r="Z38" s="55"/>
      <c r="AA38" s="55"/>
      <c r="AB38" s="55"/>
      <c r="AC38" s="55"/>
      <c r="AD38" s="55"/>
      <c r="AE38" s="55"/>
      <c r="AF38" s="55"/>
      <c r="AG38" s="55"/>
      <c r="AH38" s="55"/>
      <c r="AI38" s="55"/>
      <c r="AJ38" s="55"/>
      <c r="AK38" s="55"/>
      <c r="AL38" s="55"/>
      <c r="AM38" s="55"/>
      <c r="AN38" s="55"/>
      <c r="AO38" s="55"/>
      <c r="AP38" s="55"/>
      <c r="AQ38" s="55"/>
      <c r="AR38" s="55"/>
      <c r="AS38" s="55"/>
      <c r="AT38" s="55"/>
      <c r="AU38" s="55"/>
      <c r="AV38" s="55"/>
      <c r="AW38" s="55"/>
      <c r="AX38" s="55"/>
      <c r="AY38" s="55"/>
      <c r="AZ38" s="55"/>
      <c r="BA38" s="55"/>
      <c r="BB38" s="55"/>
      <c r="BC38" s="55"/>
      <c r="BD38" s="55"/>
      <c r="BE38" s="55"/>
      <c r="BF38" s="55"/>
      <c r="BG38" s="55"/>
      <c r="BH38" s="55"/>
      <c r="BI38" s="55"/>
      <c r="BJ38" s="55"/>
      <c r="BK38" s="55"/>
      <c r="BL38" s="55"/>
      <c r="BM38" s="55"/>
      <c r="BN38" s="55"/>
    </row>
    <row r="39" spans="1:66" x14ac:dyDescent="0.25">
      <c r="A39" s="55"/>
      <c r="B39" s="135"/>
      <c r="C39" s="55"/>
      <c r="D39" s="55"/>
      <c r="E39" s="55"/>
      <c r="F39" s="55"/>
      <c r="G39" s="136"/>
      <c r="H39" s="55"/>
      <c r="I39" s="55"/>
      <c r="J39" s="55"/>
      <c r="K39" s="55"/>
      <c r="L39" s="55"/>
      <c r="M39" s="55"/>
      <c r="N39" s="55"/>
      <c r="O39" s="55"/>
      <c r="P39" s="55"/>
      <c r="Q39" s="55"/>
      <c r="R39" s="55"/>
      <c r="S39" s="55"/>
      <c r="T39" s="55"/>
      <c r="U39" s="55"/>
      <c r="V39" s="55"/>
      <c r="W39" s="55"/>
      <c r="X39" s="55"/>
      <c r="Y39" s="55"/>
      <c r="Z39" s="55"/>
      <c r="AA39" s="55"/>
      <c r="AB39" s="55"/>
      <c r="AC39" s="55"/>
      <c r="AD39" s="55"/>
      <c r="AE39" s="55"/>
      <c r="AF39" s="55"/>
      <c r="AG39" s="55"/>
      <c r="AH39" s="55"/>
      <c r="AI39" s="55"/>
      <c r="AJ39" s="55"/>
      <c r="AK39" s="55"/>
      <c r="AL39" s="55"/>
      <c r="AM39" s="55"/>
      <c r="AN39" s="55"/>
      <c r="AO39" s="55"/>
      <c r="AP39" s="55"/>
      <c r="AQ39" s="55"/>
      <c r="AR39" s="55"/>
      <c r="AS39" s="55"/>
      <c r="AT39" s="55"/>
      <c r="AU39" s="55"/>
      <c r="AV39" s="55"/>
      <c r="AW39" s="55"/>
      <c r="AX39" s="55"/>
      <c r="AY39" s="55"/>
      <c r="AZ39" s="55"/>
      <c r="BA39" s="55"/>
      <c r="BB39" s="55"/>
      <c r="BC39" s="55"/>
      <c r="BD39" s="55"/>
      <c r="BE39" s="55"/>
      <c r="BF39" s="55"/>
      <c r="BG39" s="55"/>
      <c r="BH39" s="55"/>
      <c r="BI39" s="55"/>
      <c r="BJ39" s="55"/>
      <c r="BK39" s="55"/>
      <c r="BL39" s="55"/>
      <c r="BM39" s="55"/>
      <c r="BN39" s="55"/>
    </row>
    <row r="40" spans="1:66" x14ac:dyDescent="0.25">
      <c r="A40" s="801" t="s">
        <v>252</v>
      </c>
      <c r="B40" s="801" t="s">
        <v>50</v>
      </c>
      <c r="C40" s="831" t="s">
        <v>253</v>
      </c>
      <c r="D40" s="831" t="s">
        <v>254</v>
      </c>
      <c r="E40" s="801" t="s">
        <v>255</v>
      </c>
      <c r="F40" s="803" t="s">
        <v>256</v>
      </c>
      <c r="G40" s="806" t="s">
        <v>84</v>
      </c>
      <c r="H40" s="743" t="s">
        <v>300</v>
      </c>
      <c r="I40" s="732">
        <v>0.29199999999999998</v>
      </c>
      <c r="J40" s="732">
        <v>0.29199999999999998</v>
      </c>
      <c r="K40" s="732">
        <v>0.29199999999999998</v>
      </c>
      <c r="L40" s="732">
        <v>0.29199999999999998</v>
      </c>
      <c r="M40" s="732">
        <v>0.29199999999999998</v>
      </c>
      <c r="N40" s="732">
        <v>0.29199999999999998</v>
      </c>
      <c r="O40" s="732">
        <v>0.29199999999999998</v>
      </c>
      <c r="P40" s="732">
        <v>0.29199999999999998</v>
      </c>
      <c r="Q40" s="732">
        <v>0.29199999999999998</v>
      </c>
      <c r="R40" s="732">
        <v>0.29199999999999998</v>
      </c>
      <c r="S40" s="732">
        <v>0.29199999999999998</v>
      </c>
      <c r="T40" s="732">
        <v>0.29199999999999998</v>
      </c>
      <c r="U40" s="732">
        <v>0.29199999999999998</v>
      </c>
      <c r="V40" s="732">
        <v>0.29199999999999998</v>
      </c>
      <c r="W40" s="732">
        <v>0.29199999999999998</v>
      </c>
      <c r="X40" s="732">
        <v>0.29199999999999998</v>
      </c>
      <c r="Y40" s="55"/>
      <c r="Z40" s="55"/>
      <c r="AA40" s="55"/>
      <c r="AB40" s="55"/>
      <c r="AC40" s="55"/>
      <c r="AD40" s="55"/>
      <c r="AE40" s="55"/>
      <c r="AF40" s="55"/>
      <c r="AG40" s="55"/>
      <c r="AH40" s="55"/>
      <c r="AI40" s="55"/>
      <c r="AJ40" s="55"/>
      <c r="AK40" s="55"/>
      <c r="AL40" s="55"/>
      <c r="AM40" s="55"/>
      <c r="AN40" s="55"/>
      <c r="AO40" s="55"/>
      <c r="AP40" s="55"/>
      <c r="AQ40" s="55"/>
      <c r="AR40" s="55"/>
      <c r="AS40" s="55"/>
      <c r="AT40" s="55"/>
      <c r="AU40" s="55"/>
      <c r="AV40" s="55"/>
      <c r="AW40" s="55"/>
      <c r="AX40" s="55"/>
      <c r="AY40" s="55"/>
      <c r="AZ40" s="55"/>
      <c r="BA40" s="55"/>
      <c r="BB40" s="55"/>
      <c r="BC40" s="55"/>
      <c r="BD40" s="55"/>
      <c r="BE40" s="55"/>
      <c r="BF40" s="55"/>
      <c r="BG40" s="55"/>
      <c r="BH40" s="55"/>
      <c r="BI40" s="55"/>
      <c r="BJ40" s="55"/>
      <c r="BK40" s="55"/>
      <c r="BL40" s="55"/>
      <c r="BM40" s="55"/>
      <c r="BN40" s="55"/>
    </row>
    <row r="41" spans="1:66" x14ac:dyDescent="0.25">
      <c r="A41" s="801"/>
      <c r="B41" s="801"/>
      <c r="C41" s="831"/>
      <c r="D41" s="831"/>
      <c r="E41" s="801"/>
      <c r="F41" s="804"/>
      <c r="G41" s="807"/>
      <c r="H41" s="739" t="s">
        <v>301</v>
      </c>
      <c r="I41" s="733">
        <v>0.10199999999999999</v>
      </c>
      <c r="J41" s="733">
        <v>5.8999999999999997E-2</v>
      </c>
      <c r="K41" s="733">
        <v>0.11</v>
      </c>
      <c r="L41" s="733">
        <v>5.8999999999999997E-2</v>
      </c>
      <c r="M41" s="733">
        <v>0.10199999999999999</v>
      </c>
      <c r="N41" s="733">
        <v>0.11</v>
      </c>
      <c r="O41" s="733">
        <v>0.11</v>
      </c>
      <c r="P41" s="733">
        <v>0.10199999999999999</v>
      </c>
      <c r="Q41" s="733">
        <v>5.8999999999999997E-2</v>
      </c>
      <c r="R41" s="733">
        <v>5.8999999999999997E-2</v>
      </c>
      <c r="S41" s="733">
        <v>5.8999999999999997E-2</v>
      </c>
      <c r="T41" s="733">
        <v>5.8999999999999997E-2</v>
      </c>
      <c r="U41" s="733">
        <v>5.8999999999999997E-2</v>
      </c>
      <c r="V41" s="733">
        <v>5.8999999999999997E-2</v>
      </c>
      <c r="W41" s="733">
        <v>4.2000000000000003E-2</v>
      </c>
      <c r="X41" s="733">
        <v>5.8999999999999997E-2</v>
      </c>
      <c r="Y41" s="55"/>
      <c r="Z41" s="55"/>
      <c r="AA41" s="55"/>
      <c r="AB41" s="55"/>
      <c r="AC41" s="55"/>
      <c r="AD41" s="55"/>
      <c r="AE41" s="55"/>
      <c r="AF41" s="55"/>
      <c r="AG41" s="55"/>
      <c r="AH41" s="55"/>
      <c r="AI41" s="55"/>
      <c r="AJ41" s="55"/>
      <c r="AK41" s="55"/>
      <c r="AL41" s="55"/>
      <c r="AM41" s="55"/>
      <c r="AN41" s="55"/>
      <c r="AO41" s="55"/>
      <c r="AP41" s="55"/>
      <c r="AQ41" s="55"/>
      <c r="AR41" s="55"/>
      <c r="AS41" s="55"/>
      <c r="AT41" s="55"/>
      <c r="AU41" s="55"/>
      <c r="AV41" s="55"/>
      <c r="AW41" s="55"/>
      <c r="AX41" s="55"/>
      <c r="AY41" s="55"/>
      <c r="AZ41" s="55"/>
      <c r="BA41" s="55"/>
      <c r="BB41" s="55"/>
      <c r="BC41" s="55"/>
      <c r="BD41" s="55"/>
      <c r="BE41" s="55"/>
      <c r="BF41" s="55"/>
      <c r="BG41" s="55"/>
      <c r="BH41" s="55"/>
      <c r="BI41" s="55"/>
      <c r="BJ41" s="55"/>
      <c r="BK41" s="55"/>
      <c r="BL41" s="55"/>
      <c r="BM41" s="55"/>
      <c r="BN41" s="55"/>
    </row>
    <row r="42" spans="1:66" x14ac:dyDescent="0.25">
      <c r="A42" s="801"/>
      <c r="B42" s="801"/>
      <c r="C42" s="831"/>
      <c r="D42" s="831"/>
      <c r="E42" s="801"/>
      <c r="F42" s="804"/>
      <c r="G42" s="807"/>
      <c r="H42" s="738" t="s">
        <v>302</v>
      </c>
      <c r="I42" s="733">
        <v>0.20200000000000001</v>
      </c>
      <c r="J42" s="733">
        <v>0.20200000000000001</v>
      </c>
      <c r="K42" s="733">
        <v>0.20200000000000001</v>
      </c>
      <c r="L42" s="733">
        <v>0.20200000000000001</v>
      </c>
      <c r="M42" s="733">
        <v>0.20200000000000001</v>
      </c>
      <c r="N42" s="733">
        <v>0.20200000000000001</v>
      </c>
      <c r="O42" s="733">
        <v>0.20200000000000001</v>
      </c>
      <c r="P42" s="733">
        <v>0.20200000000000001</v>
      </c>
      <c r="Q42" s="733">
        <v>0.20200000000000001</v>
      </c>
      <c r="R42" s="733">
        <v>0.20200000000000001</v>
      </c>
      <c r="S42" s="733">
        <v>0.20200000000000001</v>
      </c>
      <c r="T42" s="733">
        <v>0.20200000000000001</v>
      </c>
      <c r="U42" s="733">
        <v>0.20200000000000001</v>
      </c>
      <c r="V42" s="733">
        <v>0.20200000000000001</v>
      </c>
      <c r="W42" s="733">
        <v>0.20200000000000001</v>
      </c>
      <c r="X42" s="733">
        <v>0.20200000000000001</v>
      </c>
      <c r="Y42" s="55"/>
      <c r="Z42" s="55"/>
      <c r="AA42" s="55"/>
      <c r="AB42" s="55"/>
      <c r="AC42" s="55"/>
      <c r="AD42" s="55"/>
      <c r="AE42" s="55"/>
      <c r="AF42" s="55"/>
      <c r="AG42" s="55"/>
      <c r="AH42" s="55"/>
      <c r="AI42" s="55"/>
      <c r="AJ42" s="55"/>
      <c r="AK42" s="55"/>
      <c r="AL42" s="55"/>
      <c r="AM42" s="55"/>
      <c r="AN42" s="55"/>
      <c r="AO42" s="55"/>
      <c r="AP42" s="55"/>
      <c r="AQ42" s="55"/>
      <c r="AR42" s="55"/>
      <c r="AS42" s="55"/>
      <c r="AT42" s="55"/>
      <c r="AU42" s="55"/>
      <c r="AV42" s="55"/>
      <c r="AW42" s="55"/>
      <c r="AX42" s="55"/>
      <c r="AY42" s="55"/>
      <c r="AZ42" s="55"/>
      <c r="BA42" s="55"/>
      <c r="BB42" s="55"/>
      <c r="BC42" s="55"/>
      <c r="BD42" s="55"/>
      <c r="BE42" s="55"/>
      <c r="BF42" s="55"/>
      <c r="BG42" s="55"/>
      <c r="BH42" s="55"/>
      <c r="BI42" s="55"/>
      <c r="BJ42" s="55"/>
      <c r="BK42" s="55"/>
      <c r="BL42" s="55"/>
      <c r="BM42" s="55"/>
      <c r="BN42" s="55"/>
    </row>
    <row r="43" spans="1:66" ht="39" customHeight="1" x14ac:dyDescent="0.25">
      <c r="A43" s="802"/>
      <c r="B43" s="802"/>
      <c r="C43" s="832"/>
      <c r="D43" s="832"/>
      <c r="E43" s="802"/>
      <c r="F43" s="805"/>
      <c r="G43" s="808"/>
      <c r="H43" s="752" t="s">
        <v>303</v>
      </c>
      <c r="I43" s="830">
        <v>9.6000000000000002E-2</v>
      </c>
      <c r="J43" s="830"/>
      <c r="K43" s="830"/>
      <c r="L43" s="830"/>
      <c r="M43" s="830"/>
      <c r="N43" s="830"/>
      <c r="O43" s="830"/>
      <c r="P43" s="830"/>
      <c r="Q43" s="830"/>
      <c r="R43" s="830"/>
      <c r="S43" s="830"/>
      <c r="T43" s="830"/>
      <c r="U43" s="830"/>
      <c r="V43" s="830"/>
      <c r="W43" s="830"/>
      <c r="X43" s="830"/>
      <c r="Y43" s="55"/>
      <c r="Z43" s="55"/>
      <c r="AA43" s="55"/>
      <c r="AB43" s="55"/>
      <c r="AC43" s="55"/>
      <c r="AD43" s="55"/>
      <c r="AE43" s="55"/>
      <c r="AF43" s="55"/>
      <c r="AG43" s="55"/>
      <c r="AH43" s="55"/>
      <c r="AI43" s="55"/>
      <c r="AJ43" s="55"/>
      <c r="AK43" s="55"/>
      <c r="AL43" s="55"/>
      <c r="AM43" s="55"/>
      <c r="AN43" s="55"/>
      <c r="AO43" s="55"/>
      <c r="AP43" s="55"/>
      <c r="AQ43" s="55"/>
      <c r="AR43" s="55"/>
      <c r="AS43" s="55"/>
      <c r="AT43" s="55"/>
      <c r="AU43" s="55"/>
      <c r="AV43" s="55"/>
      <c r="AW43" s="55"/>
      <c r="AX43" s="55"/>
      <c r="AY43" s="55"/>
      <c r="AZ43" s="55"/>
      <c r="BA43" s="55"/>
      <c r="BB43" s="55"/>
      <c r="BC43" s="55"/>
      <c r="BD43" s="55"/>
      <c r="BE43" s="55"/>
      <c r="BF43" s="55"/>
      <c r="BG43" s="55"/>
      <c r="BH43" s="55"/>
      <c r="BI43" s="55"/>
      <c r="BJ43" s="55"/>
      <c r="BK43" s="55"/>
      <c r="BL43" s="55"/>
      <c r="BM43" s="55"/>
      <c r="BN43" s="55"/>
    </row>
    <row r="44" spans="1:66" hidden="1" x14ac:dyDescent="0.25">
      <c r="A44" s="59"/>
      <c r="B44" s="59"/>
      <c r="C44" s="728"/>
      <c r="D44" s="728"/>
      <c r="E44" s="59"/>
      <c r="F44" s="59"/>
      <c r="G44" s="59"/>
      <c r="H44" s="129"/>
      <c r="I44" s="729"/>
      <c r="J44" s="729"/>
      <c r="K44" s="729"/>
      <c r="L44" s="729"/>
      <c r="M44" s="729"/>
      <c r="N44" s="729"/>
      <c r="O44" s="729"/>
      <c r="P44" s="729"/>
      <c r="Q44" s="729"/>
      <c r="R44" s="729"/>
      <c r="S44" s="729"/>
      <c r="T44" s="729"/>
      <c r="U44" s="729"/>
      <c r="V44" s="729"/>
      <c r="W44" s="729"/>
      <c r="X44" s="729"/>
      <c r="Y44" s="55"/>
      <c r="Z44" s="55"/>
      <c r="AA44" s="55"/>
      <c r="AB44" s="55"/>
      <c r="AC44" s="55"/>
      <c r="AD44" s="55"/>
      <c r="AE44" s="55"/>
      <c r="AF44" s="55"/>
      <c r="AG44" s="55"/>
      <c r="AH44" s="55"/>
      <c r="AI44" s="55"/>
      <c r="AJ44" s="55"/>
      <c r="AK44" s="55"/>
      <c r="AL44" s="55"/>
      <c r="AM44" s="55"/>
      <c r="AN44" s="55"/>
      <c r="AO44" s="55"/>
      <c r="AP44" s="55"/>
      <c r="AQ44" s="55"/>
      <c r="AR44" s="55"/>
      <c r="AS44" s="55"/>
      <c r="AT44" s="55"/>
      <c r="AU44" s="55"/>
      <c r="AV44" s="55"/>
      <c r="AW44" s="55"/>
      <c r="AX44" s="55"/>
      <c r="AY44" s="55"/>
      <c r="AZ44" s="55"/>
      <c r="BA44" s="55"/>
      <c r="BB44" s="55"/>
      <c r="BC44" s="55"/>
      <c r="BD44" s="55"/>
      <c r="BE44" s="55"/>
      <c r="BF44" s="55"/>
      <c r="BG44" s="55"/>
      <c r="BH44" s="55"/>
      <c r="BI44" s="55"/>
      <c r="BJ44" s="55"/>
      <c r="BK44" s="55"/>
      <c r="BL44" s="55"/>
      <c r="BM44" s="55"/>
      <c r="BN44" s="55"/>
    </row>
    <row r="45" spans="1:66" hidden="1" x14ac:dyDescent="0.25">
      <c r="A45" s="55"/>
      <c r="B45" s="135"/>
      <c r="C45" s="55"/>
      <c r="D45" s="55"/>
      <c r="E45" s="55"/>
      <c r="F45" s="55"/>
      <c r="G45" s="136"/>
      <c r="H45" s="55"/>
      <c r="I45" s="55"/>
      <c r="J45" s="55"/>
      <c r="K45" s="55"/>
      <c r="L45" s="55"/>
      <c r="M45" s="55"/>
      <c r="N45" s="55"/>
      <c r="O45" s="55"/>
      <c r="P45" s="55"/>
      <c r="Q45" s="55"/>
      <c r="R45" s="55"/>
      <c r="S45" s="55"/>
      <c r="T45" s="55"/>
      <c r="U45" s="55"/>
      <c r="V45" s="55"/>
      <c r="W45" s="55"/>
      <c r="X45" s="55"/>
      <c r="Y45" s="55"/>
      <c r="Z45" s="55"/>
      <c r="AA45" s="55"/>
      <c r="AB45" s="55"/>
      <c r="AC45" s="55"/>
      <c r="AD45" s="55"/>
      <c r="AE45" s="55"/>
      <c r="AF45" s="55"/>
      <c r="AG45" s="55"/>
      <c r="AH45" s="55"/>
      <c r="AI45" s="55"/>
      <c r="AJ45" s="55"/>
      <c r="AK45" s="55"/>
      <c r="AL45" s="55"/>
      <c r="AM45" s="55"/>
      <c r="AN45" s="55"/>
      <c r="AO45" s="55"/>
      <c r="AP45" s="55"/>
      <c r="AQ45" s="55"/>
      <c r="AR45" s="55"/>
      <c r="AS45" s="55"/>
      <c r="AT45" s="55"/>
      <c r="AU45" s="55"/>
      <c r="AV45" s="55"/>
      <c r="AW45" s="55"/>
      <c r="AX45" s="55"/>
      <c r="AY45" s="55"/>
      <c r="AZ45" s="55"/>
      <c r="BA45" s="55"/>
      <c r="BB45" s="55"/>
      <c r="BC45" s="55"/>
      <c r="BD45" s="55"/>
      <c r="BE45" s="55"/>
      <c r="BF45" s="55"/>
      <c r="BG45" s="55"/>
      <c r="BH45" s="55"/>
      <c r="BI45" s="55"/>
      <c r="BJ45" s="55"/>
      <c r="BK45" s="55"/>
      <c r="BL45" s="55"/>
      <c r="BM45" s="55"/>
      <c r="BN45" s="55"/>
    </row>
    <row r="46" spans="1:66" s="104" customFormat="1" ht="17.399999999999999" hidden="1" x14ac:dyDescent="0.3">
      <c r="A46" s="71" t="s">
        <v>88</v>
      </c>
      <c r="B46" s="137"/>
      <c r="C46" s="137"/>
      <c r="D46" s="137"/>
      <c r="E46" s="138"/>
      <c r="F46" s="139"/>
      <c r="G46" s="140"/>
      <c r="H46" s="137"/>
      <c r="I46" s="137"/>
      <c r="J46" s="137"/>
      <c r="K46" s="137"/>
      <c r="L46" s="137"/>
      <c r="M46" s="137"/>
      <c r="N46" s="137"/>
      <c r="O46" s="137"/>
      <c r="P46" s="137"/>
      <c r="Q46" s="137"/>
      <c r="R46" s="137"/>
      <c r="S46" s="137"/>
      <c r="T46" s="137"/>
      <c r="U46" s="137"/>
      <c r="V46" s="137"/>
      <c r="W46" s="137"/>
      <c r="X46" s="137"/>
      <c r="Y46" s="137"/>
      <c r="Z46" s="137"/>
      <c r="AA46" s="137"/>
      <c r="AB46" s="137"/>
      <c r="AC46" s="137"/>
      <c r="AD46" s="137"/>
      <c r="AE46" s="137"/>
      <c r="AF46" s="137"/>
      <c r="AG46" s="137"/>
      <c r="AH46" s="137"/>
      <c r="AI46" s="137"/>
      <c r="AJ46" s="137"/>
      <c r="AK46" s="137"/>
      <c r="AL46" s="137"/>
      <c r="AM46" s="137"/>
      <c r="AN46" s="137"/>
      <c r="AO46" s="137"/>
      <c r="AP46" s="137"/>
      <c r="AQ46" s="137"/>
      <c r="AR46" s="137"/>
      <c r="AS46" s="137"/>
      <c r="AT46" s="137"/>
      <c r="AU46" s="137"/>
      <c r="AV46" s="137"/>
      <c r="AW46" s="137"/>
      <c r="AX46" s="137"/>
      <c r="AY46" s="137"/>
      <c r="AZ46" s="137"/>
      <c r="BA46" s="137"/>
      <c r="BB46" s="137"/>
      <c r="BC46" s="137"/>
      <c r="BD46" s="137"/>
      <c r="BE46" s="137"/>
      <c r="BF46" s="137"/>
      <c r="BG46" s="137"/>
      <c r="BH46" s="137"/>
      <c r="BI46" s="137"/>
      <c r="BJ46" s="137"/>
      <c r="BK46" s="137"/>
      <c r="BL46" s="137"/>
      <c r="BM46" s="137"/>
      <c r="BN46" s="137"/>
    </row>
    <row r="47" spans="1:66" s="196" customFormat="1" ht="17.399999999999999" hidden="1" customHeight="1" x14ac:dyDescent="0.3">
      <c r="A47" s="58"/>
      <c r="B47" s="192"/>
      <c r="C47" s="192"/>
      <c r="D47" s="192"/>
      <c r="E47" s="193"/>
      <c r="F47" s="194"/>
      <c r="G47" s="195"/>
      <c r="H47" s="192"/>
      <c r="I47" s="192"/>
      <c r="J47" s="192"/>
      <c r="K47" s="192"/>
      <c r="L47" s="192"/>
      <c r="M47" s="192"/>
      <c r="N47" s="192"/>
      <c r="O47" s="192"/>
      <c r="P47" s="192"/>
      <c r="Q47" s="192"/>
      <c r="R47" s="192"/>
      <c r="S47" s="192"/>
      <c r="T47" s="192"/>
      <c r="U47" s="192"/>
      <c r="V47" s="192"/>
      <c r="W47" s="192"/>
      <c r="X47" s="192"/>
      <c r="Y47" s="192"/>
      <c r="Z47" s="192"/>
      <c r="AA47" s="192"/>
      <c r="AB47" s="192"/>
      <c r="AC47" s="192"/>
      <c r="AD47" s="192"/>
      <c r="AE47" s="192"/>
      <c r="AF47" s="192"/>
      <c r="AG47" s="192"/>
      <c r="AH47" s="192"/>
      <c r="AI47" s="192"/>
      <c r="AJ47" s="192"/>
      <c r="AK47" s="192"/>
      <c r="AL47" s="192"/>
      <c r="AM47" s="192"/>
      <c r="AN47" s="192"/>
      <c r="AO47" s="192"/>
      <c r="AP47" s="192"/>
      <c r="AQ47" s="192"/>
      <c r="AR47" s="192"/>
      <c r="AS47" s="192"/>
      <c r="AT47" s="192"/>
      <c r="AU47" s="192"/>
      <c r="AV47" s="192"/>
      <c r="AW47" s="192"/>
      <c r="AX47" s="192"/>
      <c r="AY47" s="192"/>
      <c r="AZ47" s="192"/>
      <c r="BA47" s="192"/>
      <c r="BB47" s="192"/>
      <c r="BC47" s="192"/>
      <c r="BD47" s="192"/>
      <c r="BE47" s="192"/>
      <c r="BF47" s="192"/>
      <c r="BG47" s="192"/>
      <c r="BH47" s="192"/>
      <c r="BI47" s="192"/>
      <c r="BJ47" s="192"/>
      <c r="BK47" s="192"/>
      <c r="BL47" s="192"/>
      <c r="BM47" s="192"/>
      <c r="BN47" s="192"/>
    </row>
    <row r="48" spans="1:66" ht="15.6" hidden="1" x14ac:dyDescent="0.25">
      <c r="A48" s="798" t="s">
        <v>304</v>
      </c>
      <c r="B48" s="798"/>
      <c r="C48" s="798"/>
      <c r="D48" s="798"/>
      <c r="E48" s="798"/>
      <c r="F48" s="798"/>
      <c r="G48" s="798"/>
      <c r="H48" s="798"/>
      <c r="I48" s="798"/>
      <c r="J48" s="798"/>
      <c r="K48" s="798"/>
      <c r="L48" s="798"/>
      <c r="M48" s="798"/>
      <c r="N48" s="798"/>
      <c r="O48" s="798"/>
      <c r="P48" s="798"/>
      <c r="Q48" s="798"/>
      <c r="R48" s="798"/>
      <c r="S48" s="798"/>
      <c r="T48" s="798"/>
      <c r="U48" s="798"/>
      <c r="V48" s="798"/>
      <c r="W48" s="798"/>
      <c r="X48" s="798"/>
      <c r="Y48" s="798"/>
      <c r="Z48" s="798"/>
      <c r="AA48" s="55"/>
      <c r="AB48" s="55"/>
      <c r="AC48" s="55"/>
      <c r="AD48" s="55"/>
      <c r="AE48" s="55"/>
      <c r="AF48" s="55"/>
      <c r="AG48" s="55"/>
      <c r="AH48" s="55"/>
      <c r="AI48" s="55"/>
      <c r="AJ48" s="55"/>
      <c r="AK48" s="55"/>
      <c r="AL48" s="55"/>
      <c r="AM48" s="55"/>
      <c r="AN48" s="55"/>
      <c r="AO48" s="55"/>
      <c r="AP48" s="55"/>
      <c r="AQ48" s="55"/>
      <c r="AR48" s="55"/>
      <c r="AS48" s="55"/>
      <c r="AT48" s="55"/>
      <c r="AU48" s="55"/>
      <c r="AV48" s="55"/>
      <c r="AW48" s="55"/>
      <c r="AX48" s="55"/>
      <c r="AY48" s="55"/>
      <c r="AZ48" s="55"/>
      <c r="BA48" s="55"/>
      <c r="BB48" s="55"/>
      <c r="BC48" s="55"/>
      <c r="BD48" s="55"/>
      <c r="BE48" s="55"/>
      <c r="BF48" s="55"/>
      <c r="BG48" s="55"/>
      <c r="BH48" s="55"/>
      <c r="BI48" s="55"/>
      <c r="BJ48" s="55"/>
      <c r="BK48" s="55"/>
      <c r="BL48" s="55"/>
      <c r="BM48" s="55"/>
      <c r="BN48" s="55"/>
    </row>
    <row r="49" spans="1:66" hidden="1" x14ac:dyDescent="0.25">
      <c r="A49" s="55"/>
      <c r="B49" s="55"/>
      <c r="C49" s="55"/>
      <c r="D49" s="55"/>
      <c r="E49" s="55"/>
      <c r="F49" s="55"/>
      <c r="G49" s="136"/>
      <c r="H49" s="55"/>
      <c r="I49" s="55"/>
      <c r="J49" s="55"/>
      <c r="K49" s="55"/>
      <c r="L49" s="55"/>
      <c r="M49" s="55"/>
      <c r="N49" s="55"/>
      <c r="O49" s="55"/>
      <c r="P49" s="55"/>
      <c r="Q49" s="55"/>
      <c r="R49" s="55"/>
      <c r="S49" s="55"/>
      <c r="T49" s="55"/>
      <c r="U49" s="55"/>
      <c r="V49" s="55"/>
      <c r="W49" s="55"/>
      <c r="X49" s="55"/>
      <c r="Y49" s="55"/>
      <c r="Z49" s="55"/>
      <c r="AA49" s="55"/>
      <c r="AB49" s="55"/>
      <c r="AC49" s="55"/>
      <c r="AD49" s="55"/>
      <c r="AE49" s="55"/>
      <c r="AF49" s="55"/>
      <c r="AG49" s="55"/>
      <c r="AH49" s="55"/>
      <c r="AI49" s="55"/>
      <c r="AJ49" s="55"/>
      <c r="AK49" s="55"/>
      <c r="AL49" s="55"/>
      <c r="AM49" s="55"/>
      <c r="AN49" s="55"/>
      <c r="AO49" s="55"/>
      <c r="AP49" s="55"/>
      <c r="AQ49" s="55"/>
      <c r="AR49" s="55"/>
      <c r="AS49" s="55"/>
      <c r="AT49" s="55"/>
      <c r="AU49" s="55"/>
      <c r="AV49" s="55"/>
      <c r="AW49" s="55"/>
      <c r="AX49" s="55"/>
      <c r="AY49" s="55"/>
      <c r="AZ49" s="55"/>
      <c r="BA49" s="55"/>
      <c r="BB49" s="55"/>
      <c r="BC49" s="55"/>
      <c r="BD49" s="55"/>
      <c r="BE49" s="55"/>
      <c r="BF49" s="55"/>
      <c r="BG49" s="55"/>
      <c r="BH49" s="55"/>
      <c r="BI49" s="55"/>
      <c r="BJ49" s="55"/>
      <c r="BK49" s="55"/>
      <c r="BL49" s="55"/>
      <c r="BM49" s="55"/>
      <c r="BN49" s="55"/>
    </row>
    <row r="50" spans="1:66" s="58" customFormat="1" ht="19.95" hidden="1" customHeight="1" x14ac:dyDescent="0.25">
      <c r="A50" s="59"/>
      <c r="B50" s="61"/>
      <c r="C50" s="59"/>
      <c r="D50" s="59"/>
      <c r="E50" s="59"/>
      <c r="F50" s="61"/>
      <c r="G50" s="59"/>
      <c r="H50" s="59"/>
      <c r="I50" s="59"/>
      <c r="J50" s="59"/>
      <c r="K50" s="59"/>
      <c r="L50" s="59"/>
      <c r="M50" s="59"/>
      <c r="N50" s="59"/>
      <c r="O50" s="59"/>
      <c r="P50" s="59"/>
      <c r="Q50" s="59"/>
      <c r="R50" s="59"/>
      <c r="S50" s="59"/>
      <c r="T50" s="59"/>
      <c r="U50" s="59"/>
      <c r="V50" s="59"/>
      <c r="W50" s="176"/>
    </row>
    <row r="51" spans="1:66" s="58" customFormat="1" ht="19.95" hidden="1" customHeight="1" x14ac:dyDescent="0.3">
      <c r="A51" s="230" t="s">
        <v>305</v>
      </c>
      <c r="B51" s="61"/>
      <c r="C51" s="59"/>
      <c r="D51" s="59"/>
      <c r="E51" s="59"/>
      <c r="F51" s="61"/>
      <c r="G51" s="59"/>
      <c r="H51" s="59"/>
      <c r="I51" s="59"/>
      <c r="J51" s="59"/>
      <c r="K51" s="59"/>
      <c r="L51" s="59"/>
      <c r="M51" s="59"/>
      <c r="N51" s="59"/>
      <c r="O51" s="59"/>
      <c r="P51" s="59"/>
      <c r="Q51" s="59"/>
      <c r="R51" s="59"/>
      <c r="S51" s="59"/>
      <c r="T51" s="59"/>
      <c r="U51" s="59"/>
      <c r="V51" s="59"/>
      <c r="W51" s="176"/>
    </row>
    <row r="52" spans="1:66" s="58" customFormat="1" ht="19.95" hidden="1" customHeight="1" x14ac:dyDescent="0.3">
      <c r="A52" s="230"/>
      <c r="B52" s="61"/>
      <c r="C52" s="59"/>
      <c r="D52" s="59"/>
      <c r="E52" s="59"/>
      <c r="F52" s="61"/>
      <c r="G52" s="59"/>
      <c r="H52" s="59"/>
      <c r="I52" s="59"/>
      <c r="J52" s="59"/>
      <c r="K52" s="59"/>
      <c r="L52" s="59"/>
      <c r="M52" s="59"/>
      <c r="N52" s="59"/>
      <c r="O52" s="59"/>
      <c r="P52" s="59"/>
      <c r="Q52" s="59"/>
      <c r="R52" s="59"/>
      <c r="S52" s="59"/>
      <c r="T52" s="59"/>
      <c r="U52" s="59"/>
      <c r="V52" s="59"/>
      <c r="W52" s="176"/>
    </row>
    <row r="53" spans="1:66" s="58" customFormat="1" ht="14.4" hidden="1" x14ac:dyDescent="0.3">
      <c r="A53" s="128" t="s">
        <v>306</v>
      </c>
      <c r="B53" s="212" t="s">
        <v>307</v>
      </c>
      <c r="C53" s="240"/>
      <c r="D53" s="240"/>
      <c r="E53" s="240"/>
      <c r="F53" s="61"/>
      <c r="G53" s="59"/>
      <c r="H53" s="59"/>
      <c r="I53" s="59"/>
      <c r="J53" s="59"/>
      <c r="K53" s="59"/>
      <c r="L53" s="59"/>
      <c r="M53" s="59"/>
      <c r="N53"/>
      <c r="O53" s="59"/>
      <c r="P53" s="59"/>
      <c r="Q53" s="59"/>
      <c r="R53" s="59"/>
      <c r="S53" s="59"/>
      <c r="T53" s="59"/>
      <c r="U53" s="59"/>
      <c r="V53" s="59"/>
      <c r="W53" s="176"/>
    </row>
    <row r="54" spans="1:66" s="58" customFormat="1" ht="13.2" hidden="1" x14ac:dyDescent="0.25">
      <c r="A54" s="130" t="s">
        <v>308</v>
      </c>
      <c r="B54" s="212" t="s">
        <v>309</v>
      </c>
      <c r="C54" s="240"/>
      <c r="D54" s="240"/>
      <c r="E54" s="240"/>
      <c r="F54" s="61"/>
      <c r="G54" s="59"/>
      <c r="H54" s="59"/>
      <c r="I54" s="59"/>
      <c r="J54" s="59"/>
      <c r="K54" s="59"/>
      <c r="L54" s="59"/>
      <c r="M54" s="59"/>
      <c r="N54" s="59"/>
      <c r="O54" s="59"/>
      <c r="P54" s="59"/>
      <c r="Q54" s="59"/>
      <c r="R54" s="59"/>
      <c r="S54" s="59"/>
      <c r="T54" s="59"/>
      <c r="U54" s="59"/>
      <c r="V54" s="59"/>
      <c r="W54" s="176"/>
    </row>
    <row r="55" spans="1:66" s="58" customFormat="1" ht="13.2" hidden="1" x14ac:dyDescent="0.25">
      <c r="A55" s="130" t="s">
        <v>310</v>
      </c>
      <c r="B55" s="241">
        <v>44</v>
      </c>
      <c r="C55" s="242"/>
      <c r="D55" s="243" t="s">
        <v>311</v>
      </c>
      <c r="E55" s="244">
        <f>(B62*B57-0.74*B59)/(B56*B58)</f>
        <v>0.33302325581395348</v>
      </c>
    </row>
    <row r="56" spans="1:66" s="58" customFormat="1" ht="13.2" hidden="1" x14ac:dyDescent="0.25">
      <c r="A56" s="130" t="s">
        <v>312</v>
      </c>
      <c r="B56" s="241">
        <v>1</v>
      </c>
      <c r="C56" s="242"/>
      <c r="D56" s="243" t="s">
        <v>313</v>
      </c>
      <c r="E56" s="244">
        <f>(B61*B57-B59*0.74)/(B58*B55)</f>
        <v>0.81650105708245246</v>
      </c>
    </row>
    <row r="57" spans="1:66" s="58" customFormat="1" ht="13.2" hidden="1" x14ac:dyDescent="0.25">
      <c r="A57" s="130" t="s">
        <v>314</v>
      </c>
      <c r="B57" s="241">
        <f>(50+50)*2*28</f>
        <v>5600</v>
      </c>
      <c r="C57" s="242"/>
      <c r="D57" s="245"/>
      <c r="E57" s="246"/>
    </row>
    <row r="58" spans="1:66" s="58" customFormat="1" ht="13.2" hidden="1" x14ac:dyDescent="0.25">
      <c r="A58" s="130" t="s">
        <v>315</v>
      </c>
      <c r="B58" s="241">
        <f>B57*86%</f>
        <v>4816</v>
      </c>
      <c r="C58" s="242"/>
      <c r="D58" s="247" t="s">
        <v>316</v>
      </c>
      <c r="E58" s="248">
        <f>MIN(E55:E56)</f>
        <v>0.33302325581395348</v>
      </c>
    </row>
    <row r="59" spans="1:66" s="58" customFormat="1" ht="13.2" hidden="1" x14ac:dyDescent="0.25">
      <c r="A59" s="130" t="s">
        <v>317</v>
      </c>
      <c r="B59" s="241">
        <f>B57*14%</f>
        <v>784.00000000000011</v>
      </c>
      <c r="C59" s="242"/>
      <c r="D59" s="245"/>
      <c r="E59" s="249"/>
    </row>
    <row r="60" spans="1:66" s="58" customFormat="1" ht="13.2" hidden="1" x14ac:dyDescent="0.25">
      <c r="A60" s="130"/>
      <c r="B60" s="241">
        <v>0</v>
      </c>
      <c r="C60" s="242"/>
      <c r="D60" s="245"/>
      <c r="E60" s="249"/>
    </row>
    <row r="61" spans="1:66" s="58" customFormat="1" ht="13.2" hidden="1" x14ac:dyDescent="0.25">
      <c r="A61" s="130" t="s">
        <v>318</v>
      </c>
      <c r="B61" s="241">
        <v>31</v>
      </c>
      <c r="C61" s="250" t="s">
        <v>319</v>
      </c>
      <c r="D61" s="245"/>
      <c r="E61" s="249"/>
    </row>
    <row r="62" spans="1:66" s="58" customFormat="1" ht="13.2" hidden="1" x14ac:dyDescent="0.25">
      <c r="A62" s="130" t="s">
        <v>320</v>
      </c>
      <c r="B62" s="241">
        <v>0.39</v>
      </c>
      <c r="C62" s="250" t="s">
        <v>321</v>
      </c>
      <c r="D62" s="245"/>
      <c r="E62" s="249"/>
    </row>
    <row r="63" spans="1:66" s="58" customFormat="1" ht="13.2" hidden="1" x14ac:dyDescent="0.25">
      <c r="A63" s="251"/>
      <c r="B63" s="251"/>
      <c r="C63" s="242"/>
      <c r="D63" s="245"/>
      <c r="E63" s="249"/>
    </row>
    <row r="64" spans="1:66" s="58" customFormat="1" ht="13.2" hidden="1" x14ac:dyDescent="0.25">
      <c r="A64" s="251"/>
      <c r="B64" s="251"/>
      <c r="C64" s="242"/>
      <c r="D64" s="245"/>
      <c r="E64" s="249"/>
    </row>
    <row r="65" spans="1:66" s="57" customFormat="1" hidden="1" thickBot="1" x14ac:dyDescent="0.3">
      <c r="B65" s="62"/>
      <c r="G65" s="740"/>
      <c r="U65" s="740"/>
    </row>
    <row r="66" spans="1:66" hidden="1" x14ac:dyDescent="0.25">
      <c r="A66" s="197"/>
      <c r="B66" s="198"/>
      <c r="C66" s="198"/>
      <c r="D66" s="199"/>
      <c r="E66" s="198"/>
      <c r="F66" s="198"/>
      <c r="G66" s="365"/>
      <c r="H66" s="197"/>
      <c r="I66" s="198"/>
      <c r="J66" s="198"/>
      <c r="K66" s="198"/>
      <c r="L66" s="198"/>
      <c r="M66" s="198"/>
      <c r="N66" s="198"/>
      <c r="O66" s="198"/>
      <c r="P66" s="198"/>
      <c r="Q66" s="198"/>
      <c r="R66" s="198"/>
      <c r="S66" s="198"/>
      <c r="T66" s="198"/>
      <c r="U66" s="208"/>
      <c r="V66" s="55"/>
      <c r="W66" s="55"/>
      <c r="X66" s="55"/>
      <c r="Y66" s="55"/>
      <c r="Z66" s="55"/>
      <c r="AA66" s="55"/>
      <c r="AB66" s="55"/>
      <c r="AC66" s="55"/>
      <c r="AD66" s="55"/>
      <c r="AE66" s="55"/>
      <c r="AF66" s="55"/>
      <c r="AG66" s="55"/>
      <c r="AH66" s="55"/>
      <c r="AI66" s="55"/>
      <c r="AJ66" s="55"/>
      <c r="AK66" s="55"/>
      <c r="AL66" s="55"/>
      <c r="AM66" s="55"/>
      <c r="AN66" s="55"/>
      <c r="AO66" s="55"/>
      <c r="AP66" s="55"/>
      <c r="AQ66" s="55"/>
      <c r="AR66" s="55"/>
      <c r="AS66" s="55"/>
      <c r="AT66" s="55"/>
      <c r="AU66" s="55"/>
      <c r="AV66" s="55"/>
      <c r="AW66" s="55"/>
      <c r="AX66" s="55"/>
      <c r="AY66" s="55"/>
      <c r="AZ66" s="55"/>
      <c r="BA66" s="55"/>
      <c r="BB66" s="55"/>
      <c r="BC66" s="55"/>
      <c r="BD66" s="55"/>
      <c r="BE66" s="55"/>
      <c r="BF66" s="55"/>
      <c r="BG66" s="55"/>
      <c r="BH66" s="55"/>
      <c r="BI66" s="55"/>
      <c r="BJ66" s="55"/>
      <c r="BK66" s="55"/>
      <c r="BL66" s="55"/>
      <c r="BM66" s="55"/>
      <c r="BN66" s="55"/>
    </row>
    <row r="67" spans="1:66" hidden="1" x14ac:dyDescent="0.25">
      <c r="A67" s="201"/>
      <c r="B67" s="135"/>
      <c r="C67" s="55"/>
      <c r="D67" s="55"/>
      <c r="E67" s="55"/>
      <c r="F67" s="55"/>
      <c r="G67" s="203"/>
      <c r="H67" s="201"/>
      <c r="I67" s="55"/>
      <c r="J67" s="55"/>
      <c r="K67" s="55"/>
      <c r="L67" s="55"/>
      <c r="M67" s="55"/>
      <c r="N67" s="55"/>
      <c r="O67" s="55"/>
      <c r="P67" s="55"/>
      <c r="Q67" s="55"/>
      <c r="R67" s="55"/>
      <c r="S67" s="55"/>
      <c r="T67" s="55"/>
      <c r="U67" s="203"/>
      <c r="V67" s="55"/>
      <c r="W67" s="55"/>
      <c r="X67" s="55"/>
      <c r="Y67" s="55"/>
      <c r="Z67" s="55"/>
      <c r="AA67" s="55"/>
      <c r="AB67" s="55"/>
      <c r="AC67" s="55"/>
      <c r="AD67" s="55"/>
      <c r="AE67" s="55"/>
      <c r="AF67" s="55"/>
      <c r="AG67" s="55"/>
      <c r="AH67" s="55"/>
      <c r="AI67" s="55"/>
      <c r="AJ67" s="55"/>
      <c r="AK67" s="55"/>
      <c r="AL67" s="55"/>
      <c r="AM67" s="55"/>
      <c r="AN67" s="55"/>
      <c r="AO67" s="55"/>
      <c r="AP67" s="55"/>
      <c r="AQ67" s="55"/>
      <c r="AR67" s="55"/>
      <c r="AS67" s="55"/>
      <c r="AT67" s="55"/>
      <c r="AU67" s="55"/>
      <c r="AV67" s="55"/>
      <c r="AW67" s="55"/>
      <c r="AX67" s="55"/>
      <c r="AY67" s="55"/>
      <c r="AZ67" s="55"/>
      <c r="BA67" s="55"/>
      <c r="BB67" s="55"/>
      <c r="BC67" s="55"/>
      <c r="BD67" s="55"/>
      <c r="BE67" s="55"/>
      <c r="BF67" s="55"/>
      <c r="BG67" s="55"/>
      <c r="BH67" s="55"/>
      <c r="BI67" s="55"/>
      <c r="BJ67" s="55"/>
      <c r="BK67" s="55"/>
      <c r="BL67" s="55"/>
      <c r="BM67" s="55"/>
      <c r="BN67" s="55"/>
    </row>
    <row r="68" spans="1:66" ht="14.4" hidden="1" x14ac:dyDescent="0.3">
      <c r="A68" s="200"/>
      <c r="B68" s="135"/>
      <c r="C68" s="55"/>
      <c r="D68" s="55"/>
      <c r="E68" s="55"/>
      <c r="F68" s="55"/>
      <c r="G68" s="203"/>
      <c r="H68" s="201"/>
      <c r="I68" s="55"/>
      <c r="J68" s="55"/>
      <c r="K68" s="55"/>
      <c r="L68" s="55"/>
      <c r="M68" s="55"/>
      <c r="N68" s="55"/>
      <c r="O68" s="55"/>
      <c r="P68" s="55"/>
      <c r="Q68" s="55"/>
      <c r="R68" s="55"/>
      <c r="S68" s="55"/>
      <c r="T68" s="55"/>
      <c r="U68" s="203"/>
      <c r="V68" s="55"/>
      <c r="W68" s="55"/>
      <c r="X68" s="55"/>
      <c r="Y68" s="55"/>
      <c r="Z68" s="55"/>
      <c r="AA68" s="55"/>
      <c r="AB68" s="55"/>
      <c r="AC68" s="55"/>
      <c r="AD68" s="55"/>
      <c r="AE68" s="55"/>
      <c r="AF68" s="55"/>
      <c r="AG68" s="55"/>
      <c r="AH68" s="55"/>
      <c r="AI68" s="55"/>
      <c r="AJ68" s="55"/>
      <c r="AK68" s="55"/>
      <c r="AL68" s="55"/>
      <c r="AM68" s="55"/>
      <c r="AN68" s="55"/>
      <c r="AO68" s="55"/>
      <c r="AP68" s="55"/>
      <c r="AQ68" s="55"/>
      <c r="AR68" s="55"/>
      <c r="AS68" s="55"/>
      <c r="AT68" s="55"/>
      <c r="AU68" s="55"/>
      <c r="AV68" s="55"/>
      <c r="AW68" s="55"/>
      <c r="AX68" s="55"/>
      <c r="AY68" s="55"/>
      <c r="AZ68" s="55"/>
      <c r="BA68" s="55"/>
      <c r="BB68" s="55"/>
      <c r="BC68" s="55"/>
      <c r="BD68" s="55"/>
      <c r="BE68" s="55"/>
      <c r="BF68" s="55"/>
      <c r="BG68" s="55"/>
      <c r="BH68" s="55"/>
      <c r="BI68" s="55"/>
      <c r="BJ68" s="55"/>
      <c r="BK68" s="55"/>
      <c r="BL68" s="55"/>
      <c r="BM68" s="55"/>
      <c r="BN68" s="55"/>
    </row>
    <row r="69" spans="1:66" hidden="1" x14ac:dyDescent="0.25">
      <c r="A69" s="201"/>
      <c r="B69" s="135"/>
      <c r="C69" s="55"/>
      <c r="D69" s="55"/>
      <c r="E69" s="55"/>
      <c r="F69" s="55"/>
      <c r="G69" s="203"/>
      <c r="H69" s="201"/>
      <c r="I69" s="55"/>
      <c r="J69" s="55"/>
      <c r="K69" s="55"/>
      <c r="L69" s="55"/>
      <c r="M69" s="55"/>
      <c r="N69" s="55"/>
      <c r="O69" s="55"/>
      <c r="P69" s="55"/>
      <c r="Q69" s="55"/>
      <c r="R69" s="55"/>
      <c r="S69" s="55"/>
      <c r="T69" s="55"/>
      <c r="U69" s="203"/>
      <c r="V69" s="55"/>
      <c r="W69" s="55"/>
      <c r="X69" s="55"/>
      <c r="Y69" s="55"/>
      <c r="Z69" s="55"/>
      <c r="AA69" s="55"/>
      <c r="AB69" s="55"/>
      <c r="AC69" s="55"/>
      <c r="AD69" s="55"/>
      <c r="AE69" s="55"/>
      <c r="AF69" s="55"/>
      <c r="AG69" s="55"/>
      <c r="AH69" s="55"/>
      <c r="AI69" s="55"/>
      <c r="AJ69" s="55"/>
      <c r="AK69" s="55"/>
      <c r="AL69" s="55"/>
      <c r="AM69" s="55"/>
      <c r="AN69" s="55"/>
      <c r="AO69" s="55"/>
      <c r="AP69" s="55"/>
      <c r="AQ69" s="55"/>
      <c r="AR69" s="55"/>
      <c r="AS69" s="55"/>
      <c r="AT69" s="55"/>
      <c r="AU69" s="55"/>
      <c r="AV69" s="55"/>
      <c r="AW69" s="55"/>
      <c r="AX69" s="55"/>
      <c r="AY69" s="55"/>
      <c r="AZ69" s="55"/>
      <c r="BA69" s="55"/>
      <c r="BB69" s="55"/>
      <c r="BC69" s="55"/>
      <c r="BD69" s="55"/>
      <c r="BE69" s="55"/>
      <c r="BF69" s="55"/>
      <c r="BG69" s="55"/>
      <c r="BH69" s="55"/>
      <c r="BI69" s="55"/>
      <c r="BJ69" s="55"/>
      <c r="BK69" s="55"/>
      <c r="BL69" s="55"/>
      <c r="BM69" s="55"/>
      <c r="BN69" s="55"/>
    </row>
    <row r="70" spans="1:66" ht="27.6" hidden="1" customHeight="1" x14ac:dyDescent="0.3">
      <c r="A70" s="201"/>
      <c r="B70" s="55"/>
      <c r="C70" s="55"/>
      <c r="D70" s="55"/>
      <c r="E70" s="55"/>
      <c r="F70" s="55"/>
      <c r="G70" s="202"/>
      <c r="H70" s="200"/>
      <c r="I70" s="55"/>
      <c r="J70" s="55"/>
      <c r="K70" s="55"/>
      <c r="L70" s="55"/>
      <c r="M70" s="55"/>
      <c r="N70" s="55"/>
      <c r="O70" s="55"/>
      <c r="P70" s="55"/>
      <c r="Q70" s="55"/>
      <c r="R70" s="55"/>
      <c r="S70" s="57"/>
      <c r="T70" s="55"/>
      <c r="U70" s="202"/>
      <c r="V70" s="55"/>
      <c r="W70" s="55"/>
      <c r="X70" s="55"/>
      <c r="Y70" s="55"/>
      <c r="Z70" s="55"/>
      <c r="AA70" s="55"/>
      <c r="AB70" s="55"/>
      <c r="AC70" s="55"/>
      <c r="AD70" s="55"/>
      <c r="AE70" s="55"/>
      <c r="AF70" s="55"/>
      <c r="AG70" s="55"/>
      <c r="AH70" s="55"/>
      <c r="AI70" s="55"/>
      <c r="AJ70" s="55"/>
      <c r="AK70" s="55"/>
      <c r="AL70" s="55"/>
      <c r="AM70" s="55"/>
      <c r="AN70" s="55"/>
      <c r="AO70" s="55"/>
      <c r="AP70" s="55"/>
      <c r="AQ70" s="55"/>
      <c r="AR70" s="55"/>
      <c r="AS70" s="55"/>
      <c r="AT70" s="55"/>
      <c r="AU70" s="55"/>
      <c r="AV70" s="55"/>
      <c r="AW70" s="55"/>
      <c r="AX70" s="55"/>
      <c r="AY70" s="55"/>
      <c r="AZ70" s="55"/>
      <c r="BA70" s="55"/>
      <c r="BB70" s="55"/>
      <c r="BC70" s="55"/>
      <c r="BD70" s="55"/>
      <c r="BE70" s="55"/>
      <c r="BF70" s="55"/>
      <c r="BG70" s="55"/>
      <c r="BH70" s="55"/>
      <c r="BI70" s="55"/>
      <c r="BJ70" s="55"/>
      <c r="BK70" s="55"/>
      <c r="BL70" s="55"/>
      <c r="BM70" s="55"/>
      <c r="BN70" s="55"/>
    </row>
    <row r="71" spans="1:66" hidden="1" x14ac:dyDescent="0.25">
      <c r="A71" s="201"/>
      <c r="B71" s="55"/>
      <c r="C71" s="55"/>
      <c r="D71" s="55"/>
      <c r="E71" s="55"/>
      <c r="F71" s="55"/>
      <c r="G71" s="202" t="s">
        <v>3</v>
      </c>
      <c r="H71" s="201"/>
      <c r="I71" s="55"/>
      <c r="J71" s="55"/>
      <c r="K71" s="55"/>
      <c r="L71" s="55"/>
      <c r="M71" s="55"/>
      <c r="N71" s="55"/>
      <c r="O71" s="55"/>
      <c r="P71" s="55"/>
      <c r="Q71" s="55" t="s">
        <v>3</v>
      </c>
      <c r="R71" s="55"/>
      <c r="S71" s="55"/>
      <c r="T71" s="55"/>
      <c r="U71" s="202"/>
      <c r="V71" s="55"/>
      <c r="W71" s="55"/>
      <c r="X71" s="55"/>
      <c r="Y71" s="55"/>
      <c r="Z71" s="55"/>
      <c r="AA71" s="55"/>
      <c r="AB71" s="55"/>
      <c r="AC71" s="55"/>
      <c r="AD71" s="55"/>
      <c r="AE71" s="55"/>
      <c r="AF71" s="55"/>
      <c r="AG71" s="55"/>
      <c r="AH71" s="55"/>
      <c r="AI71" s="55"/>
      <c r="AJ71" s="55"/>
      <c r="AK71" s="55"/>
      <c r="AL71" s="55"/>
      <c r="AM71" s="55"/>
      <c r="AN71" s="55"/>
      <c r="AO71" s="55"/>
      <c r="AP71" s="55"/>
      <c r="AQ71" s="55"/>
      <c r="AR71" s="55"/>
      <c r="AS71" s="55"/>
      <c r="AT71" s="55"/>
      <c r="AU71" s="55"/>
      <c r="AV71" s="55"/>
      <c r="AW71" s="55"/>
      <c r="AX71" s="55"/>
      <c r="AY71" s="55"/>
      <c r="AZ71" s="55"/>
      <c r="BA71" s="55"/>
      <c r="BB71" s="55"/>
      <c r="BC71" s="55"/>
      <c r="BD71" s="55"/>
      <c r="BE71" s="55"/>
      <c r="BF71" s="55"/>
      <c r="BG71" s="55"/>
      <c r="BH71" s="55"/>
      <c r="BI71" s="55"/>
      <c r="BJ71" s="55"/>
      <c r="BK71" s="55"/>
      <c r="BL71" s="55"/>
      <c r="BM71" s="55"/>
      <c r="BN71" s="55"/>
    </row>
    <row r="72" spans="1:66" hidden="1" x14ac:dyDescent="0.25">
      <c r="A72" s="201"/>
      <c r="B72" s="55"/>
      <c r="C72" s="55"/>
      <c r="D72" s="55"/>
      <c r="E72" s="55"/>
      <c r="F72" s="55"/>
      <c r="G72" s="202" t="s">
        <v>3</v>
      </c>
      <c r="H72" s="201"/>
      <c r="I72" s="55"/>
      <c r="J72" s="55"/>
      <c r="K72" s="55"/>
      <c r="L72" s="55"/>
      <c r="M72" s="55"/>
      <c r="N72" s="55"/>
      <c r="O72" s="55"/>
      <c r="P72" s="55"/>
      <c r="Q72" s="55" t="s">
        <v>3</v>
      </c>
      <c r="R72" s="55"/>
      <c r="S72" s="55"/>
      <c r="T72" s="55"/>
      <c r="U72" s="209"/>
      <c r="V72" s="55"/>
      <c r="W72" s="55"/>
      <c r="X72" s="55"/>
      <c r="Y72" s="55"/>
      <c r="Z72" s="55"/>
      <c r="AA72" s="55"/>
      <c r="AB72" s="55"/>
      <c r="AC72" s="55"/>
      <c r="AD72" s="55"/>
      <c r="AE72" s="55"/>
      <c r="AF72" s="55"/>
      <c r="AG72" s="55"/>
      <c r="AH72" s="55"/>
      <c r="AI72" s="55"/>
      <c r="AJ72" s="55"/>
      <c r="AK72" s="55"/>
      <c r="AL72" s="55"/>
      <c r="AM72" s="55"/>
      <c r="AN72" s="55"/>
      <c r="AO72" s="55"/>
      <c r="AP72" s="55"/>
      <c r="AQ72" s="55"/>
      <c r="AR72" s="55"/>
      <c r="AS72" s="55"/>
      <c r="AT72" s="55"/>
      <c r="AU72" s="55"/>
      <c r="AV72" s="55"/>
      <c r="AW72" s="55"/>
      <c r="AX72" s="55"/>
      <c r="AY72" s="55"/>
      <c r="AZ72" s="55"/>
      <c r="BA72" s="55"/>
      <c r="BB72" s="55"/>
      <c r="BC72" s="55"/>
      <c r="BD72" s="55"/>
      <c r="BE72" s="55"/>
      <c r="BF72" s="55"/>
      <c r="BG72" s="55"/>
      <c r="BH72" s="55"/>
      <c r="BI72" s="55"/>
      <c r="BJ72" s="55"/>
      <c r="BK72" s="55"/>
      <c r="BL72" s="55"/>
      <c r="BM72" s="55"/>
      <c r="BN72" s="55"/>
    </row>
    <row r="73" spans="1:66" hidden="1" x14ac:dyDescent="0.25">
      <c r="A73" s="201"/>
      <c r="B73" s="135"/>
      <c r="C73" s="55"/>
      <c r="D73" s="55"/>
      <c r="E73" s="55"/>
      <c r="F73" s="55"/>
      <c r="G73" s="203"/>
      <c r="H73" s="201"/>
      <c r="I73" s="55"/>
      <c r="J73" s="55"/>
      <c r="K73" s="55"/>
      <c r="L73" s="55"/>
      <c r="M73" s="55"/>
      <c r="N73" s="55"/>
      <c r="O73" s="55"/>
      <c r="P73" s="55"/>
      <c r="Q73" s="55"/>
      <c r="R73" s="55"/>
      <c r="S73" s="55"/>
      <c r="T73" s="55"/>
      <c r="U73" s="203"/>
      <c r="V73" s="55"/>
      <c r="W73" s="55"/>
      <c r="X73" s="55"/>
      <c r="Y73" s="55"/>
      <c r="Z73" s="55"/>
      <c r="AA73" s="55"/>
      <c r="AB73" s="55"/>
      <c r="AC73" s="55"/>
      <c r="AD73" s="55"/>
      <c r="AE73" s="55"/>
      <c r="AF73" s="55"/>
      <c r="AG73" s="55"/>
      <c r="AH73" s="55"/>
      <c r="AI73" s="55"/>
      <c r="AJ73" s="55"/>
      <c r="AK73" s="55"/>
      <c r="AL73" s="55"/>
      <c r="AM73" s="55"/>
      <c r="AN73" s="55"/>
      <c r="AO73" s="55"/>
      <c r="AP73" s="55"/>
      <c r="AQ73" s="55"/>
      <c r="AR73" s="55"/>
      <c r="AS73" s="55"/>
      <c r="AT73" s="55"/>
      <c r="AU73" s="55"/>
      <c r="AV73" s="55"/>
      <c r="AW73" s="55"/>
      <c r="AX73" s="55"/>
      <c r="AY73" s="55"/>
      <c r="AZ73" s="55"/>
      <c r="BA73" s="55"/>
      <c r="BB73" s="55"/>
      <c r="BC73" s="55"/>
      <c r="BD73" s="55"/>
      <c r="BE73" s="55"/>
      <c r="BF73" s="55"/>
      <c r="BG73" s="55"/>
      <c r="BH73" s="55"/>
      <c r="BI73" s="55"/>
      <c r="BJ73" s="55"/>
      <c r="BK73" s="55"/>
      <c r="BL73" s="55"/>
      <c r="BM73" s="55"/>
      <c r="BN73" s="55"/>
    </row>
    <row r="74" spans="1:66" hidden="1" x14ac:dyDescent="0.25">
      <c r="A74" s="201"/>
      <c r="B74" s="135"/>
      <c r="C74" s="55"/>
      <c r="D74" s="55"/>
      <c r="E74" s="55"/>
      <c r="F74" s="55"/>
      <c r="G74" s="203"/>
      <c r="H74" s="201"/>
      <c r="I74" s="55"/>
      <c r="J74" s="55"/>
      <c r="K74" s="55"/>
      <c r="L74" s="55"/>
      <c r="M74" s="55"/>
      <c r="N74" s="55"/>
      <c r="O74" s="55"/>
      <c r="P74" s="55"/>
      <c r="Q74" s="55"/>
      <c r="R74" s="55"/>
      <c r="S74" s="55"/>
      <c r="T74" s="55"/>
      <c r="U74" s="202"/>
      <c r="V74" s="55"/>
      <c r="W74" s="55"/>
      <c r="X74" s="55"/>
      <c r="Y74" s="55"/>
      <c r="Z74" s="55"/>
      <c r="AA74" s="55"/>
      <c r="AB74" s="55"/>
      <c r="AC74" s="55"/>
      <c r="AD74" s="55"/>
      <c r="AE74" s="55"/>
      <c r="AF74" s="55"/>
      <c r="AG74" s="55"/>
      <c r="AH74" s="55"/>
      <c r="AI74" s="55"/>
      <c r="AJ74" s="55"/>
      <c r="AK74" s="55"/>
      <c r="AL74" s="55"/>
      <c r="AM74" s="55"/>
      <c r="AN74" s="55"/>
      <c r="AO74" s="55"/>
      <c r="AP74" s="55"/>
      <c r="AQ74" s="55"/>
      <c r="AR74" s="55"/>
      <c r="AS74" s="55"/>
      <c r="AT74" s="55"/>
      <c r="AU74" s="55"/>
      <c r="AV74" s="55"/>
      <c r="AW74" s="55"/>
      <c r="AX74" s="55"/>
      <c r="AY74" s="55"/>
      <c r="AZ74" s="55"/>
      <c r="BA74" s="55"/>
      <c r="BB74" s="55"/>
      <c r="BC74" s="55"/>
      <c r="BD74" s="55"/>
      <c r="BE74" s="55"/>
      <c r="BF74" s="55"/>
      <c r="BG74" s="55"/>
      <c r="BH74" s="55"/>
      <c r="BI74" s="55"/>
      <c r="BJ74" s="55"/>
      <c r="BK74" s="55"/>
      <c r="BL74" s="55"/>
      <c r="BM74" s="55"/>
      <c r="BN74" s="55"/>
    </row>
    <row r="75" spans="1:66" hidden="1" x14ac:dyDescent="0.25">
      <c r="A75" s="201"/>
      <c r="B75" s="135"/>
      <c r="C75" s="55"/>
      <c r="D75" s="55"/>
      <c r="E75" s="55"/>
      <c r="F75" s="55"/>
      <c r="G75" s="203"/>
      <c r="H75" s="201"/>
      <c r="I75" s="55"/>
      <c r="J75" s="55"/>
      <c r="K75" s="55"/>
      <c r="L75" s="55"/>
      <c r="M75" s="55"/>
      <c r="N75" s="55"/>
      <c r="O75" s="55"/>
      <c r="P75" s="55"/>
      <c r="Q75" s="55"/>
      <c r="R75" s="55"/>
      <c r="S75" s="55"/>
      <c r="T75" s="55"/>
      <c r="U75" s="202"/>
      <c r="V75" s="55"/>
      <c r="W75" s="55"/>
      <c r="X75" s="55"/>
      <c r="Y75" s="55"/>
      <c r="Z75" s="55"/>
      <c r="AA75" s="55"/>
      <c r="AB75" s="55"/>
      <c r="AC75" s="55"/>
      <c r="AD75" s="55"/>
      <c r="AE75" s="55"/>
      <c r="AF75" s="55"/>
      <c r="AG75" s="55"/>
      <c r="AH75" s="55"/>
      <c r="AI75" s="55"/>
      <c r="AJ75" s="55"/>
      <c r="AK75" s="55"/>
      <c r="AL75" s="55"/>
      <c r="AM75" s="55"/>
      <c r="AN75" s="55"/>
      <c r="AO75" s="55"/>
      <c r="AP75" s="55"/>
      <c r="AQ75" s="55"/>
      <c r="AR75" s="55"/>
      <c r="AS75" s="55"/>
      <c r="AT75" s="55"/>
      <c r="AU75" s="55"/>
      <c r="AV75" s="55"/>
      <c r="AW75" s="55"/>
      <c r="AX75" s="55"/>
      <c r="AY75" s="55"/>
      <c r="AZ75" s="55"/>
      <c r="BA75" s="55"/>
      <c r="BB75" s="55"/>
      <c r="BC75" s="55"/>
      <c r="BD75" s="55"/>
      <c r="BE75" s="55"/>
      <c r="BF75" s="55"/>
      <c r="BG75" s="55"/>
      <c r="BH75" s="55"/>
      <c r="BI75" s="55"/>
      <c r="BJ75" s="55"/>
      <c r="BK75" s="55"/>
      <c r="BL75" s="55"/>
      <c r="BM75" s="55"/>
      <c r="BN75" s="55"/>
    </row>
    <row r="76" spans="1:66" hidden="1" x14ac:dyDescent="0.25">
      <c r="A76" s="201"/>
      <c r="B76" s="135"/>
      <c r="C76" s="55"/>
      <c r="D76" s="55"/>
      <c r="E76" s="55"/>
      <c r="F76" s="55"/>
      <c r="G76" s="203"/>
      <c r="H76" s="201"/>
      <c r="I76" s="55"/>
      <c r="J76" s="55"/>
      <c r="K76" s="55"/>
      <c r="L76" s="55"/>
      <c r="M76" s="55"/>
      <c r="N76" s="55"/>
      <c r="O76" s="55"/>
      <c r="P76" s="55"/>
      <c r="Q76" s="55"/>
      <c r="R76" s="55"/>
      <c r="S76" s="55"/>
      <c r="T76" s="55"/>
      <c r="U76" s="202"/>
      <c r="V76" s="55"/>
      <c r="W76" s="55"/>
      <c r="X76" s="55"/>
      <c r="Y76" s="55"/>
      <c r="Z76" s="55"/>
      <c r="AA76" s="55"/>
      <c r="AB76" s="55"/>
      <c r="AC76" s="55"/>
      <c r="AD76" s="55"/>
      <c r="AE76" s="55"/>
      <c r="AF76" s="55"/>
      <c r="AG76" s="55"/>
      <c r="AH76" s="55"/>
      <c r="AI76" s="55"/>
      <c r="AJ76" s="55"/>
      <c r="AK76" s="55"/>
      <c r="AL76" s="55"/>
      <c r="AM76" s="55"/>
      <c r="AN76" s="55"/>
      <c r="AO76" s="55"/>
      <c r="AP76" s="55"/>
      <c r="AQ76" s="55"/>
      <c r="AR76" s="55"/>
      <c r="AS76" s="55"/>
      <c r="AT76" s="55"/>
      <c r="AU76" s="55"/>
      <c r="AV76" s="55"/>
      <c r="AW76" s="55"/>
      <c r="AX76" s="55"/>
      <c r="AY76" s="55"/>
      <c r="AZ76" s="55"/>
      <c r="BA76" s="55"/>
      <c r="BB76" s="55"/>
      <c r="BC76" s="55"/>
      <c r="BD76" s="55"/>
      <c r="BE76" s="55"/>
      <c r="BF76" s="55"/>
      <c r="BG76" s="55"/>
      <c r="BH76" s="55"/>
      <c r="BI76" s="55"/>
      <c r="BJ76" s="55"/>
      <c r="BK76" s="55"/>
      <c r="BL76" s="55"/>
      <c r="BM76" s="55"/>
      <c r="BN76" s="55"/>
    </row>
    <row r="77" spans="1:66" hidden="1" x14ac:dyDescent="0.25">
      <c r="A77" s="201"/>
      <c r="B77" s="135"/>
      <c r="C77" s="55"/>
      <c r="D77" s="55"/>
      <c r="E77" s="55"/>
      <c r="F77" s="55"/>
      <c r="G77" s="203"/>
      <c r="H77" s="201"/>
      <c r="I77" s="55"/>
      <c r="J77" s="55"/>
      <c r="K77" s="55"/>
      <c r="L77" s="55"/>
      <c r="M77" s="55"/>
      <c r="N77" s="55"/>
      <c r="O77" s="55"/>
      <c r="P77" s="55"/>
      <c r="Q77" s="55"/>
      <c r="R77" s="55"/>
      <c r="S77" s="55"/>
      <c r="T77" s="55"/>
      <c r="U77" s="202"/>
      <c r="V77" s="55"/>
      <c r="W77" s="55"/>
      <c r="X77" s="55"/>
      <c r="Y77" s="55"/>
      <c r="Z77" s="55"/>
      <c r="AA77" s="55"/>
      <c r="AB77" s="55"/>
      <c r="AC77" s="55"/>
      <c r="AD77" s="55"/>
      <c r="AE77" s="55"/>
      <c r="AF77" s="55"/>
      <c r="AG77" s="55"/>
      <c r="AH77" s="55"/>
      <c r="AI77" s="55"/>
      <c r="AJ77" s="55"/>
      <c r="AK77" s="55"/>
      <c r="AL77" s="55"/>
      <c r="AM77" s="55"/>
      <c r="AN77" s="55"/>
      <c r="AO77" s="55"/>
      <c r="AP77" s="55"/>
      <c r="AQ77" s="55"/>
      <c r="AR77" s="55"/>
      <c r="AS77" s="55"/>
      <c r="AT77" s="55"/>
      <c r="AU77" s="55"/>
      <c r="AV77" s="55"/>
      <c r="AW77" s="55"/>
      <c r="AX77" s="55"/>
      <c r="AY77" s="55"/>
      <c r="AZ77" s="55"/>
      <c r="BA77" s="55"/>
      <c r="BB77" s="55"/>
      <c r="BC77" s="55"/>
      <c r="BD77" s="55"/>
      <c r="BE77" s="55"/>
      <c r="BF77" s="55"/>
      <c r="BG77" s="55"/>
      <c r="BH77" s="55"/>
      <c r="BI77" s="55"/>
      <c r="BJ77" s="55"/>
      <c r="BK77" s="55"/>
      <c r="BL77" s="55"/>
      <c r="BM77" s="55"/>
      <c r="BN77" s="55"/>
    </row>
    <row r="78" spans="1:66" hidden="1" x14ac:dyDescent="0.25">
      <c r="A78" s="201"/>
      <c r="B78" s="135"/>
      <c r="C78" s="55"/>
      <c r="D78" s="55"/>
      <c r="E78" s="55"/>
      <c r="F78" s="55"/>
      <c r="G78" s="203"/>
      <c r="H78" s="201"/>
      <c r="I78" s="55"/>
      <c r="J78" s="55"/>
      <c r="K78" s="55"/>
      <c r="L78" s="55"/>
      <c r="M78" s="55"/>
      <c r="N78" s="55"/>
      <c r="O78" s="55"/>
      <c r="P78" s="55"/>
      <c r="Q78" s="55"/>
      <c r="R78" s="55"/>
      <c r="S78" s="55"/>
      <c r="T78" s="55"/>
      <c r="U78" s="202"/>
      <c r="V78" s="55"/>
      <c r="W78" s="55"/>
      <c r="X78" s="55"/>
      <c r="Y78" s="55"/>
      <c r="Z78" s="55"/>
      <c r="AA78" s="55"/>
      <c r="AB78" s="55"/>
      <c r="AC78" s="55"/>
      <c r="AD78" s="55"/>
      <c r="AE78" s="55"/>
      <c r="AF78" s="55"/>
      <c r="AG78" s="55"/>
      <c r="AH78" s="55"/>
      <c r="AI78" s="55"/>
      <c r="AJ78" s="55"/>
      <c r="AK78" s="55"/>
      <c r="AL78" s="55"/>
      <c r="AM78" s="55"/>
      <c r="AN78" s="55"/>
      <c r="AO78" s="55"/>
      <c r="AP78" s="55"/>
      <c r="AQ78" s="55"/>
      <c r="AR78" s="55"/>
      <c r="AS78" s="55"/>
      <c r="AT78" s="55"/>
      <c r="AU78" s="55"/>
      <c r="AV78" s="55"/>
      <c r="AW78" s="55"/>
      <c r="AX78" s="55"/>
      <c r="AY78" s="55"/>
      <c r="AZ78" s="55"/>
      <c r="BA78" s="55"/>
      <c r="BB78" s="55"/>
      <c r="BC78" s="55"/>
      <c r="BD78" s="55"/>
      <c r="BE78" s="55"/>
      <c r="BF78" s="55"/>
      <c r="BG78" s="55"/>
      <c r="BH78" s="55"/>
      <c r="BI78" s="55"/>
      <c r="BJ78" s="55"/>
      <c r="BK78" s="55"/>
      <c r="BL78" s="55"/>
      <c r="BM78" s="55"/>
      <c r="BN78" s="55"/>
    </row>
    <row r="79" spans="1:66" hidden="1" x14ac:dyDescent="0.25">
      <c r="A79" s="201"/>
      <c r="B79" s="135"/>
      <c r="C79" s="55"/>
      <c r="D79" s="55"/>
      <c r="E79" s="55"/>
      <c r="F79" s="55"/>
      <c r="G79" s="203"/>
      <c r="H79" s="201"/>
      <c r="I79" s="55"/>
      <c r="J79" s="55"/>
      <c r="K79" s="55"/>
      <c r="L79" s="55"/>
      <c r="M79" s="55"/>
      <c r="N79" s="55"/>
      <c r="O79" s="55"/>
      <c r="P79" s="55"/>
      <c r="Q79" s="55"/>
      <c r="R79" s="55"/>
      <c r="S79" s="55"/>
      <c r="T79" s="55"/>
      <c r="U79" s="202"/>
      <c r="V79" s="55"/>
      <c r="W79" s="55"/>
      <c r="X79" s="55"/>
      <c r="Y79" s="55"/>
      <c r="Z79" s="55"/>
      <c r="AA79" s="55"/>
      <c r="AB79" s="55"/>
      <c r="AC79" s="55"/>
      <c r="AD79" s="55"/>
      <c r="AE79" s="55"/>
      <c r="AF79" s="55"/>
      <c r="AG79" s="55"/>
      <c r="AH79" s="55"/>
      <c r="AI79" s="55"/>
      <c r="AJ79" s="55"/>
      <c r="AK79" s="55"/>
      <c r="AL79" s="55"/>
      <c r="AM79" s="55"/>
      <c r="AN79" s="55"/>
      <c r="AO79" s="55"/>
      <c r="AP79" s="55"/>
      <c r="AQ79" s="55"/>
      <c r="AR79" s="55"/>
      <c r="AS79" s="55"/>
      <c r="AT79" s="55"/>
      <c r="AU79" s="55"/>
      <c r="AV79" s="55"/>
      <c r="AW79" s="55"/>
      <c r="AX79" s="55"/>
      <c r="AY79" s="55"/>
      <c r="AZ79" s="55"/>
      <c r="BA79" s="55"/>
      <c r="BB79" s="55"/>
      <c r="BC79" s="55"/>
      <c r="BD79" s="55"/>
      <c r="BE79" s="55"/>
      <c r="BF79" s="55"/>
      <c r="BG79" s="55"/>
      <c r="BH79" s="55"/>
      <c r="BI79" s="55"/>
      <c r="BJ79" s="55"/>
      <c r="BK79" s="55"/>
      <c r="BL79" s="55"/>
      <c r="BM79" s="55"/>
      <c r="BN79" s="55"/>
    </row>
    <row r="80" spans="1:66" hidden="1" x14ac:dyDescent="0.25">
      <c r="A80" s="201"/>
      <c r="B80" s="135"/>
      <c r="C80" s="55"/>
      <c r="D80" s="55"/>
      <c r="E80" s="55"/>
      <c r="F80" s="55"/>
      <c r="G80" s="203"/>
      <c r="H80" s="201"/>
      <c r="I80" s="55"/>
      <c r="J80" s="55"/>
      <c r="K80" s="55"/>
      <c r="L80" s="55"/>
      <c r="M80" s="55"/>
      <c r="N80" s="55"/>
      <c r="O80" s="55"/>
      <c r="P80" s="55"/>
      <c r="Q80" s="55"/>
      <c r="R80" s="55"/>
      <c r="S80" s="55"/>
      <c r="T80" s="55"/>
      <c r="U80" s="202"/>
      <c r="V80" s="55"/>
      <c r="W80" s="55"/>
      <c r="X80" s="55"/>
      <c r="Y80" s="55"/>
      <c r="Z80" s="55"/>
      <c r="AA80" s="55"/>
      <c r="AB80" s="55"/>
      <c r="AC80" s="55"/>
      <c r="AD80" s="55"/>
      <c r="AE80" s="55"/>
      <c r="AF80" s="55"/>
      <c r="AG80" s="55"/>
      <c r="AH80" s="55"/>
      <c r="AI80" s="55"/>
      <c r="AJ80" s="55"/>
      <c r="AK80" s="55"/>
      <c r="AL80" s="55"/>
      <c r="AM80" s="55"/>
      <c r="AN80" s="55"/>
      <c r="AO80" s="55"/>
      <c r="AP80" s="55"/>
      <c r="AQ80" s="55"/>
      <c r="AR80" s="55"/>
      <c r="AS80" s="55"/>
      <c r="AT80" s="55"/>
      <c r="AU80" s="55"/>
      <c r="AV80" s="55"/>
      <c r="AW80" s="55"/>
      <c r="AX80" s="55"/>
      <c r="AY80" s="55"/>
      <c r="AZ80" s="55"/>
      <c r="BA80" s="55"/>
      <c r="BB80" s="55"/>
      <c r="BC80" s="55"/>
      <c r="BD80" s="55"/>
      <c r="BE80" s="55"/>
      <c r="BF80" s="55"/>
      <c r="BG80" s="55"/>
      <c r="BH80" s="55"/>
      <c r="BI80" s="55"/>
      <c r="BJ80" s="55"/>
      <c r="BK80" s="55"/>
      <c r="BL80" s="55"/>
      <c r="BM80" s="55"/>
      <c r="BN80" s="55"/>
    </row>
    <row r="81" spans="1:66" hidden="1" x14ac:dyDescent="0.25">
      <c r="A81" s="201"/>
      <c r="B81" s="135"/>
      <c r="C81" s="55"/>
      <c r="D81" s="55"/>
      <c r="E81" s="55"/>
      <c r="F81" s="55"/>
      <c r="G81" s="203"/>
      <c r="H81" s="201"/>
      <c r="I81" s="55"/>
      <c r="J81" s="55"/>
      <c r="K81" s="55"/>
      <c r="L81" s="55"/>
      <c r="M81" s="55"/>
      <c r="N81" s="55"/>
      <c r="O81" s="55"/>
      <c r="P81" s="55"/>
      <c r="Q81" s="55"/>
      <c r="R81" s="55"/>
      <c r="S81" s="55"/>
      <c r="T81" s="55"/>
      <c r="U81" s="202"/>
      <c r="V81" s="55"/>
      <c r="W81" s="55"/>
      <c r="X81" s="55"/>
      <c r="Y81" s="55"/>
      <c r="Z81" s="55"/>
      <c r="AA81" s="55"/>
      <c r="AB81" s="55"/>
      <c r="AC81" s="55"/>
      <c r="AD81" s="55"/>
      <c r="AE81" s="55"/>
      <c r="AF81" s="55"/>
      <c r="AG81" s="55"/>
      <c r="AH81" s="55"/>
      <c r="AI81" s="55"/>
      <c r="AJ81" s="55"/>
      <c r="AK81" s="55"/>
      <c r="AL81" s="55"/>
      <c r="AM81" s="55"/>
      <c r="AN81" s="55"/>
      <c r="AO81" s="55"/>
      <c r="AP81" s="55"/>
      <c r="AQ81" s="55"/>
      <c r="AR81" s="55"/>
      <c r="AS81" s="55"/>
      <c r="AT81" s="55"/>
      <c r="AU81" s="55"/>
      <c r="AV81" s="55"/>
      <c r="AW81" s="55"/>
      <c r="AX81" s="55"/>
      <c r="AY81" s="55"/>
      <c r="AZ81" s="55"/>
      <c r="BA81" s="55"/>
      <c r="BB81" s="55"/>
      <c r="BC81" s="55"/>
      <c r="BD81" s="55"/>
      <c r="BE81" s="55"/>
      <c r="BF81" s="55"/>
      <c r="BG81" s="55"/>
      <c r="BH81" s="55"/>
      <c r="BI81" s="55"/>
      <c r="BJ81" s="55"/>
      <c r="BK81" s="55"/>
      <c r="BL81" s="55"/>
      <c r="BM81" s="55"/>
      <c r="BN81" s="55"/>
    </row>
    <row r="82" spans="1:66" hidden="1" x14ac:dyDescent="0.25">
      <c r="A82" s="201"/>
      <c r="B82" s="135"/>
      <c r="C82" s="55"/>
      <c r="D82" s="55"/>
      <c r="E82" s="55"/>
      <c r="F82" s="55"/>
      <c r="G82" s="203"/>
      <c r="H82" s="201"/>
      <c r="I82" s="55"/>
      <c r="J82" s="55"/>
      <c r="K82" s="55"/>
      <c r="L82" s="55"/>
      <c r="M82" s="55"/>
      <c r="N82" s="55"/>
      <c r="O82" s="55"/>
      <c r="P82" s="55"/>
      <c r="Q82" s="55"/>
      <c r="R82" s="55"/>
      <c r="S82" s="55"/>
      <c r="T82" s="55"/>
      <c r="U82" s="202"/>
      <c r="V82" s="55"/>
      <c r="W82" s="55"/>
      <c r="X82" s="55"/>
      <c r="Y82" s="55"/>
      <c r="Z82" s="55"/>
      <c r="AA82" s="55"/>
      <c r="AB82" s="55"/>
      <c r="AC82" s="55"/>
      <c r="AD82" s="55"/>
      <c r="AE82" s="55"/>
      <c r="AF82" s="55"/>
      <c r="AG82" s="55"/>
      <c r="AH82" s="55"/>
      <c r="AI82" s="55"/>
      <c r="AJ82" s="55"/>
      <c r="AK82" s="55"/>
      <c r="AL82" s="55"/>
      <c r="AM82" s="55"/>
      <c r="AN82" s="55"/>
      <c r="AO82" s="55"/>
      <c r="AP82" s="55"/>
      <c r="AQ82" s="55"/>
      <c r="AR82" s="55"/>
      <c r="AS82" s="55"/>
      <c r="AT82" s="55"/>
      <c r="AU82" s="55"/>
      <c r="AV82" s="55"/>
      <c r="AW82" s="55"/>
      <c r="AX82" s="55"/>
      <c r="AY82" s="55"/>
      <c r="AZ82" s="55"/>
      <c r="BA82" s="55"/>
      <c r="BB82" s="55"/>
      <c r="BC82" s="55"/>
      <c r="BD82" s="55"/>
      <c r="BE82" s="55"/>
      <c r="BF82" s="55"/>
      <c r="BG82" s="55"/>
      <c r="BH82" s="55"/>
      <c r="BI82" s="55"/>
      <c r="BJ82" s="55"/>
      <c r="BK82" s="55"/>
      <c r="BL82" s="55"/>
      <c r="BM82" s="55"/>
      <c r="BN82" s="55"/>
    </row>
    <row r="83" spans="1:66" hidden="1" x14ac:dyDescent="0.25">
      <c r="A83" s="201"/>
      <c r="B83" s="135"/>
      <c r="C83" s="55"/>
      <c r="D83" s="55"/>
      <c r="E83" s="55"/>
      <c r="F83" s="55"/>
      <c r="G83" s="203"/>
      <c r="H83" s="201"/>
      <c r="I83" s="55"/>
      <c r="J83" s="55"/>
      <c r="K83" s="55"/>
      <c r="L83" s="55"/>
      <c r="M83" s="55"/>
      <c r="N83" s="55"/>
      <c r="O83" s="55"/>
      <c r="P83" s="55"/>
      <c r="Q83" s="55"/>
      <c r="R83" s="55"/>
      <c r="S83" s="55"/>
      <c r="T83" s="55"/>
      <c r="U83" s="202"/>
      <c r="V83" s="55"/>
      <c r="W83" s="55"/>
      <c r="X83" s="55"/>
      <c r="Y83" s="55"/>
      <c r="Z83" s="55"/>
      <c r="AA83" s="55"/>
      <c r="AB83" s="55"/>
      <c r="AC83" s="55"/>
      <c r="AD83" s="55"/>
      <c r="AE83" s="55"/>
      <c r="AF83" s="55"/>
      <c r="AG83" s="55"/>
      <c r="AH83" s="55"/>
      <c r="AI83" s="55"/>
      <c r="AJ83" s="55"/>
      <c r="AK83" s="55"/>
      <c r="AL83" s="55"/>
      <c r="AM83" s="55"/>
      <c r="AN83" s="55"/>
      <c r="AO83" s="55"/>
      <c r="AP83" s="55"/>
      <c r="AQ83" s="55"/>
      <c r="AR83" s="55"/>
      <c r="AS83" s="55"/>
      <c r="AT83" s="55"/>
      <c r="AU83" s="55"/>
      <c r="AV83" s="55"/>
      <c r="AW83" s="55"/>
      <c r="AX83" s="55"/>
      <c r="AY83" s="55"/>
      <c r="AZ83" s="55"/>
      <c r="BA83" s="55"/>
      <c r="BB83" s="55"/>
      <c r="BC83" s="55"/>
      <c r="BD83" s="55"/>
      <c r="BE83" s="55"/>
      <c r="BF83" s="55"/>
      <c r="BG83" s="55"/>
      <c r="BH83" s="55"/>
      <c r="BI83" s="55"/>
      <c r="BJ83" s="55"/>
      <c r="BK83" s="55"/>
      <c r="BL83" s="55"/>
      <c r="BM83" s="55"/>
      <c r="BN83" s="55"/>
    </row>
    <row r="84" spans="1:66" hidden="1" x14ac:dyDescent="0.25">
      <c r="A84" s="201"/>
      <c r="B84" s="135"/>
      <c r="C84" s="55"/>
      <c r="D84" s="55"/>
      <c r="E84" s="55"/>
      <c r="F84" s="55"/>
      <c r="G84" s="203"/>
      <c r="H84" s="201"/>
      <c r="I84" s="55"/>
      <c r="J84" s="55"/>
      <c r="K84" s="55"/>
      <c r="L84" s="55"/>
      <c r="M84" s="55"/>
      <c r="N84" s="55"/>
      <c r="O84" s="55"/>
      <c r="P84" s="55"/>
      <c r="Q84" s="55"/>
      <c r="R84" s="55"/>
      <c r="S84" s="55"/>
      <c r="T84" s="55"/>
      <c r="U84" s="202"/>
      <c r="V84" s="55"/>
      <c r="W84" s="55"/>
      <c r="X84" s="55"/>
      <c r="Y84" s="55"/>
      <c r="Z84" s="55"/>
      <c r="AA84" s="55"/>
      <c r="AB84" s="55"/>
      <c r="AC84" s="55"/>
      <c r="AD84" s="55"/>
      <c r="AE84" s="55"/>
      <c r="AF84" s="55"/>
      <c r="AG84" s="55"/>
      <c r="AH84" s="55"/>
      <c r="AI84" s="55"/>
      <c r="AJ84" s="55"/>
      <c r="AK84" s="55"/>
      <c r="AL84" s="55"/>
      <c r="AM84" s="55"/>
      <c r="AN84" s="55"/>
      <c r="AO84" s="55"/>
      <c r="AP84" s="55"/>
      <c r="AQ84" s="55"/>
      <c r="AR84" s="55"/>
      <c r="AS84" s="55"/>
      <c r="AT84" s="55"/>
      <c r="AU84" s="55"/>
      <c r="AV84" s="55"/>
      <c r="AW84" s="55"/>
      <c r="AX84" s="55"/>
      <c r="AY84" s="55"/>
      <c r="AZ84" s="55"/>
      <c r="BA84" s="55"/>
      <c r="BB84" s="55"/>
      <c r="BC84" s="55"/>
      <c r="BD84" s="55"/>
      <c r="BE84" s="55"/>
      <c r="BF84" s="55"/>
      <c r="BG84" s="55"/>
      <c r="BH84" s="55"/>
      <c r="BI84" s="55"/>
      <c r="BJ84" s="55"/>
      <c r="BK84" s="55"/>
      <c r="BL84" s="55"/>
      <c r="BM84" s="55"/>
      <c r="BN84" s="55"/>
    </row>
    <row r="85" spans="1:66" hidden="1" x14ac:dyDescent="0.25">
      <c r="A85" s="201"/>
      <c r="B85" s="135"/>
      <c r="C85" s="55"/>
      <c r="D85" s="55"/>
      <c r="E85" s="55"/>
      <c r="F85" s="55"/>
      <c r="G85" s="203"/>
      <c r="H85" s="201"/>
      <c r="I85" s="55"/>
      <c r="J85" s="55"/>
      <c r="K85" s="55"/>
      <c r="L85" s="55"/>
      <c r="M85" s="55"/>
      <c r="N85" s="55"/>
      <c r="O85" s="55"/>
      <c r="P85" s="55"/>
      <c r="Q85" s="55"/>
      <c r="R85" s="55"/>
      <c r="S85" s="55"/>
      <c r="T85" s="55"/>
      <c r="U85" s="202"/>
      <c r="V85" s="55"/>
      <c r="W85" s="55"/>
      <c r="X85" s="55"/>
      <c r="Y85" s="55"/>
      <c r="Z85" s="55"/>
      <c r="AA85" s="55"/>
      <c r="AB85" s="55"/>
      <c r="AC85" s="55"/>
      <c r="AD85" s="55"/>
      <c r="AE85" s="55"/>
      <c r="AF85" s="55"/>
      <c r="AG85" s="55"/>
      <c r="AH85" s="55"/>
      <c r="AI85" s="55"/>
      <c r="AJ85" s="55"/>
      <c r="AK85" s="55"/>
      <c r="AL85" s="55"/>
      <c r="AM85" s="55"/>
      <c r="AN85" s="55"/>
      <c r="AO85" s="55"/>
      <c r="AP85" s="55"/>
      <c r="AQ85" s="55"/>
      <c r="AR85" s="55"/>
      <c r="AS85" s="55"/>
      <c r="AT85" s="55"/>
      <c r="AU85" s="55"/>
      <c r="AV85" s="55"/>
      <c r="AW85" s="55"/>
      <c r="AX85" s="55"/>
      <c r="AY85" s="55"/>
      <c r="AZ85" s="55"/>
      <c r="BA85" s="55"/>
      <c r="BB85" s="55"/>
      <c r="BC85" s="55"/>
      <c r="BD85" s="55"/>
      <c r="BE85" s="55"/>
      <c r="BF85" s="55"/>
      <c r="BG85" s="55"/>
      <c r="BH85" s="55"/>
      <c r="BI85" s="55"/>
      <c r="BJ85" s="55"/>
      <c r="BK85" s="55"/>
      <c r="BL85" s="55"/>
      <c r="BM85" s="55"/>
      <c r="BN85" s="55"/>
    </row>
    <row r="86" spans="1:66" hidden="1" x14ac:dyDescent="0.25">
      <c r="A86" s="201"/>
      <c r="B86" s="135"/>
      <c r="C86" s="55"/>
      <c r="D86" s="55"/>
      <c r="E86" s="55"/>
      <c r="F86" s="55"/>
      <c r="G86" s="203"/>
      <c r="H86" s="201"/>
      <c r="I86" s="55"/>
      <c r="J86" s="55"/>
      <c r="K86" s="55"/>
      <c r="L86" s="55"/>
      <c r="M86" s="55"/>
      <c r="N86" s="55"/>
      <c r="O86" s="55"/>
      <c r="P86" s="55"/>
      <c r="Q86" s="55"/>
      <c r="R86" s="55"/>
      <c r="S86" s="55"/>
      <c r="T86" s="55"/>
      <c r="U86" s="202"/>
      <c r="V86" s="55"/>
      <c r="W86" s="55"/>
      <c r="X86" s="55"/>
      <c r="Y86" s="55"/>
      <c r="Z86" s="55"/>
      <c r="AA86" s="55"/>
      <c r="AB86" s="55"/>
      <c r="AC86" s="55"/>
      <c r="AD86" s="55"/>
      <c r="AE86" s="55"/>
      <c r="AF86" s="55"/>
      <c r="AG86" s="55"/>
      <c r="AH86" s="55"/>
      <c r="AI86" s="55"/>
      <c r="AJ86" s="55"/>
      <c r="AK86" s="55"/>
      <c r="AL86" s="55"/>
      <c r="AM86" s="55"/>
      <c r="AN86" s="55"/>
      <c r="AO86" s="55"/>
      <c r="AP86" s="55"/>
      <c r="AQ86" s="55"/>
      <c r="AR86" s="55"/>
      <c r="AS86" s="55"/>
      <c r="AT86" s="55"/>
      <c r="AU86" s="55"/>
      <c r="AV86" s="55"/>
      <c r="AW86" s="55"/>
      <c r="AX86" s="55"/>
      <c r="AY86" s="55"/>
      <c r="AZ86" s="55"/>
      <c r="BA86" s="55"/>
      <c r="BB86" s="55"/>
      <c r="BC86" s="55"/>
      <c r="BD86" s="55"/>
      <c r="BE86" s="55"/>
      <c r="BF86" s="55"/>
      <c r="BG86" s="55"/>
      <c r="BH86" s="55"/>
      <c r="BI86" s="55"/>
      <c r="BJ86" s="55"/>
      <c r="BK86" s="55"/>
      <c r="BL86" s="55"/>
      <c r="BM86" s="55"/>
      <c r="BN86" s="55"/>
    </row>
    <row r="87" spans="1:66" hidden="1" x14ac:dyDescent="0.25">
      <c r="A87" s="201"/>
      <c r="B87" s="135"/>
      <c r="C87" s="55"/>
      <c r="D87" s="55"/>
      <c r="E87" s="55"/>
      <c r="F87" s="55"/>
      <c r="G87" s="203"/>
      <c r="H87" s="201"/>
      <c r="I87" s="55"/>
      <c r="J87" s="55"/>
      <c r="K87" s="55"/>
      <c r="L87" s="55"/>
      <c r="M87" s="55"/>
      <c r="N87" s="55"/>
      <c r="O87" s="55"/>
      <c r="P87" s="55"/>
      <c r="Q87" s="55"/>
      <c r="R87" s="55"/>
      <c r="S87" s="55"/>
      <c r="T87" s="55"/>
      <c r="U87" s="202"/>
      <c r="V87" s="55"/>
      <c r="W87" s="55"/>
      <c r="X87" s="55"/>
      <c r="Y87" s="55"/>
      <c r="Z87" s="55"/>
      <c r="AA87" s="55"/>
      <c r="AB87" s="55"/>
      <c r="AC87" s="55"/>
      <c r="AD87" s="55"/>
      <c r="AE87" s="55"/>
      <c r="AF87" s="55"/>
      <c r="AG87" s="55"/>
      <c r="AH87" s="55"/>
      <c r="AI87" s="55"/>
      <c r="AJ87" s="55"/>
      <c r="AK87" s="55"/>
      <c r="AL87" s="55"/>
      <c r="AM87" s="55"/>
      <c r="AN87" s="55"/>
      <c r="AO87" s="55"/>
      <c r="AP87" s="55"/>
      <c r="AQ87" s="55"/>
      <c r="AR87" s="55"/>
      <c r="AS87" s="55"/>
      <c r="AT87" s="55"/>
      <c r="AU87" s="55"/>
      <c r="AV87" s="55"/>
      <c r="AW87" s="55"/>
      <c r="AX87" s="55"/>
      <c r="AY87" s="55"/>
      <c r="AZ87" s="55"/>
      <c r="BA87" s="55"/>
      <c r="BB87" s="55"/>
      <c r="BC87" s="55"/>
      <c r="BD87" s="55"/>
      <c r="BE87" s="55"/>
      <c r="BF87" s="55"/>
      <c r="BG87" s="55"/>
      <c r="BH87" s="55"/>
      <c r="BI87" s="55"/>
      <c r="BJ87" s="55"/>
      <c r="BK87" s="55"/>
      <c r="BL87" s="55"/>
      <c r="BM87" s="55"/>
      <c r="BN87" s="55"/>
    </row>
    <row r="88" spans="1:66" hidden="1" x14ac:dyDescent="0.25">
      <c r="A88" s="201"/>
      <c r="B88" s="135"/>
      <c r="C88" s="55"/>
      <c r="D88" s="55"/>
      <c r="E88" s="55"/>
      <c r="F88" s="55"/>
      <c r="G88" s="203"/>
      <c r="H88" s="201"/>
      <c r="I88" s="55"/>
      <c r="J88" s="55"/>
      <c r="K88" s="55"/>
      <c r="L88" s="55"/>
      <c r="M88" s="55"/>
      <c r="N88" s="55"/>
      <c r="O88" s="55"/>
      <c r="P88" s="55"/>
      <c r="Q88" s="55"/>
      <c r="R88" s="55"/>
      <c r="S88" s="55"/>
      <c r="T88" s="55"/>
      <c r="U88" s="202"/>
      <c r="V88" s="55"/>
      <c r="W88" s="55"/>
      <c r="X88" s="55"/>
      <c r="Y88" s="55"/>
      <c r="Z88" s="55"/>
      <c r="AA88" s="55"/>
      <c r="AB88" s="55"/>
      <c r="AC88" s="55"/>
      <c r="AD88" s="55"/>
      <c r="AE88" s="55"/>
      <c r="AF88" s="55"/>
      <c r="AG88" s="55"/>
      <c r="AH88" s="55"/>
      <c r="AI88" s="55"/>
      <c r="AJ88" s="55"/>
      <c r="AK88" s="55"/>
      <c r="AL88" s="55"/>
      <c r="AM88" s="55"/>
      <c r="AN88" s="55"/>
      <c r="AO88" s="55"/>
      <c r="AP88" s="55"/>
      <c r="AQ88" s="55"/>
      <c r="AR88" s="55"/>
      <c r="AS88" s="55"/>
      <c r="AT88" s="55"/>
      <c r="AU88" s="55"/>
      <c r="AV88" s="55"/>
      <c r="AW88" s="55"/>
      <c r="AX88" s="55"/>
      <c r="AY88" s="55"/>
      <c r="AZ88" s="55"/>
      <c r="BA88" s="55"/>
      <c r="BB88" s="55"/>
      <c r="BC88" s="55"/>
      <c r="BD88" s="55"/>
      <c r="BE88" s="55"/>
      <c r="BF88" s="55"/>
      <c r="BG88" s="55"/>
      <c r="BH88" s="55"/>
      <c r="BI88" s="55"/>
      <c r="BJ88" s="55"/>
      <c r="BK88" s="55"/>
      <c r="BL88" s="55"/>
      <c r="BM88" s="55"/>
      <c r="BN88" s="55"/>
    </row>
    <row r="89" spans="1:66" hidden="1" x14ac:dyDescent="0.25">
      <c r="A89" s="201"/>
      <c r="B89" s="135"/>
      <c r="C89" s="55"/>
      <c r="D89" s="55"/>
      <c r="E89" s="55"/>
      <c r="F89" s="55"/>
      <c r="G89" s="203"/>
      <c r="H89" s="201"/>
      <c r="I89" s="55"/>
      <c r="J89" s="55"/>
      <c r="K89" s="55"/>
      <c r="L89" s="55"/>
      <c r="M89" s="55"/>
      <c r="N89" s="55"/>
      <c r="O89" s="55"/>
      <c r="P89" s="55"/>
      <c r="Q89" s="55"/>
      <c r="R89" s="55"/>
      <c r="S89" s="55"/>
      <c r="T89" s="55"/>
      <c r="U89" s="202"/>
      <c r="V89" s="55"/>
      <c r="W89" s="55"/>
      <c r="X89" s="55"/>
      <c r="Y89" s="55"/>
      <c r="Z89" s="55"/>
      <c r="AA89" s="55"/>
      <c r="AB89" s="55"/>
      <c r="AC89" s="55"/>
      <c r="AD89" s="55"/>
      <c r="AE89" s="55"/>
      <c r="AF89" s="55"/>
      <c r="AG89" s="55"/>
      <c r="AH89" s="55"/>
      <c r="AI89" s="55"/>
      <c r="AJ89" s="55"/>
      <c r="AK89" s="55"/>
      <c r="AL89" s="55"/>
      <c r="AM89" s="55"/>
      <c r="AN89" s="55"/>
      <c r="AO89" s="55"/>
      <c r="AP89" s="55"/>
      <c r="AQ89" s="55"/>
      <c r="AR89" s="55"/>
      <c r="AS89" s="55"/>
      <c r="AT89" s="55"/>
      <c r="AU89" s="55"/>
      <c r="AV89" s="55"/>
      <c r="AW89" s="55"/>
      <c r="AX89" s="55"/>
      <c r="AY89" s="55"/>
      <c r="AZ89" s="55"/>
      <c r="BA89" s="55"/>
      <c r="BB89" s="55"/>
      <c r="BC89" s="55"/>
      <c r="BD89" s="55"/>
      <c r="BE89" s="55"/>
      <c r="BF89" s="55"/>
      <c r="BG89" s="55"/>
      <c r="BH89" s="55"/>
      <c r="BI89" s="55"/>
      <c r="BJ89" s="55"/>
      <c r="BK89" s="55"/>
      <c r="BL89" s="55"/>
      <c r="BM89" s="55"/>
      <c r="BN89" s="55"/>
    </row>
    <row r="90" spans="1:66" hidden="1" x14ac:dyDescent="0.25">
      <c r="A90" s="201"/>
      <c r="B90" s="135"/>
      <c r="C90" s="55"/>
      <c r="D90" s="55"/>
      <c r="E90" s="55"/>
      <c r="F90" s="55"/>
      <c r="G90" s="203"/>
      <c r="H90" s="201"/>
      <c r="I90" s="55"/>
      <c r="J90" s="55"/>
      <c r="K90" s="55"/>
      <c r="L90" s="55"/>
      <c r="M90" s="55"/>
      <c r="N90" s="55"/>
      <c r="O90" s="55"/>
      <c r="P90" s="55"/>
      <c r="Q90" s="55"/>
      <c r="R90" s="55"/>
      <c r="S90" s="55"/>
      <c r="T90" s="55"/>
      <c r="U90" s="202"/>
      <c r="V90" s="55"/>
      <c r="W90" s="55"/>
      <c r="X90" s="55"/>
      <c r="Y90" s="55"/>
      <c r="Z90" s="55"/>
      <c r="AA90" s="55"/>
      <c r="AB90" s="55"/>
      <c r="AC90" s="55"/>
      <c r="AD90" s="55"/>
      <c r="AE90" s="55"/>
      <c r="AF90" s="55"/>
      <c r="AG90" s="55"/>
      <c r="AH90" s="55"/>
      <c r="AI90" s="55"/>
      <c r="AJ90" s="55"/>
      <c r="AK90" s="55"/>
      <c r="AL90" s="55"/>
      <c r="AM90" s="55"/>
      <c r="AN90" s="55"/>
      <c r="AO90" s="55"/>
      <c r="AP90" s="55"/>
      <c r="AQ90" s="55"/>
      <c r="AR90" s="55"/>
      <c r="AS90" s="55"/>
      <c r="AT90" s="55"/>
      <c r="AU90" s="55"/>
      <c r="AV90" s="55"/>
      <c r="AW90" s="55"/>
      <c r="AX90" s="55"/>
      <c r="AY90" s="55"/>
      <c r="AZ90" s="55"/>
      <c r="BA90" s="55"/>
      <c r="BB90" s="55"/>
      <c r="BC90" s="55"/>
      <c r="BD90" s="55"/>
      <c r="BE90" s="55"/>
      <c r="BF90" s="55"/>
      <c r="BG90" s="55"/>
      <c r="BH90" s="55"/>
      <c r="BI90" s="55"/>
      <c r="BJ90" s="55"/>
      <c r="BK90" s="55"/>
      <c r="BL90" s="55"/>
      <c r="BM90" s="55"/>
      <c r="BN90" s="55"/>
    </row>
    <row r="91" spans="1:66" hidden="1" x14ac:dyDescent="0.25">
      <c r="A91" s="201"/>
      <c r="B91" s="135"/>
      <c r="C91" s="55"/>
      <c r="D91" s="55"/>
      <c r="E91" s="55"/>
      <c r="F91" s="55"/>
      <c r="G91" s="203"/>
      <c r="H91" s="201"/>
      <c r="I91" s="55"/>
      <c r="J91" s="55"/>
      <c r="K91" s="55"/>
      <c r="L91" s="55"/>
      <c r="M91" s="55"/>
      <c r="N91" s="55"/>
      <c r="O91" s="55"/>
      <c r="P91" s="55"/>
      <c r="Q91" s="55"/>
      <c r="R91" s="55"/>
      <c r="S91" s="55"/>
      <c r="T91" s="55"/>
      <c r="U91" s="202"/>
      <c r="V91" s="55"/>
      <c r="W91" s="55"/>
      <c r="X91" s="55"/>
      <c r="Y91" s="55"/>
      <c r="Z91" s="55"/>
      <c r="AA91" s="55"/>
      <c r="AB91" s="55"/>
      <c r="AC91" s="55"/>
      <c r="AD91" s="55"/>
      <c r="AE91" s="55"/>
      <c r="AF91" s="55"/>
      <c r="AG91" s="55"/>
      <c r="AH91" s="55"/>
      <c r="AI91" s="55"/>
      <c r="AJ91" s="55"/>
      <c r="AK91" s="55"/>
      <c r="AL91" s="55"/>
      <c r="AM91" s="55"/>
      <c r="AN91" s="55"/>
      <c r="AO91" s="55"/>
      <c r="AP91" s="55"/>
      <c r="AQ91" s="55"/>
      <c r="AR91" s="55"/>
      <c r="AS91" s="55"/>
      <c r="AT91" s="55"/>
      <c r="AU91" s="55"/>
      <c r="AV91" s="55"/>
      <c r="AW91" s="55"/>
      <c r="AX91" s="55"/>
      <c r="AY91" s="55"/>
      <c r="AZ91" s="55"/>
      <c r="BA91" s="55"/>
      <c r="BB91" s="55"/>
      <c r="BC91" s="55"/>
      <c r="BD91" s="55"/>
      <c r="BE91" s="55"/>
      <c r="BF91" s="55"/>
      <c r="BG91" s="55"/>
      <c r="BH91" s="55"/>
      <c r="BI91" s="55"/>
      <c r="BJ91" s="55"/>
      <c r="BK91" s="55"/>
      <c r="BL91" s="55"/>
      <c r="BM91" s="55"/>
      <c r="BN91" s="55"/>
    </row>
    <row r="92" spans="1:66" hidden="1" x14ac:dyDescent="0.25">
      <c r="A92" s="201"/>
      <c r="B92" s="135"/>
      <c r="C92" s="55"/>
      <c r="D92" s="55"/>
      <c r="E92" s="55"/>
      <c r="F92" s="55"/>
      <c r="G92" s="203"/>
      <c r="H92" s="201"/>
      <c r="I92" s="55"/>
      <c r="J92" s="55"/>
      <c r="K92" s="55"/>
      <c r="L92" s="55"/>
      <c r="M92" s="55"/>
      <c r="N92" s="55"/>
      <c r="O92" s="55"/>
      <c r="P92" s="55"/>
      <c r="Q92" s="55"/>
      <c r="R92" s="55"/>
      <c r="S92" s="55"/>
      <c r="T92" s="55"/>
      <c r="U92" s="202"/>
      <c r="V92" s="55"/>
      <c r="W92" s="55"/>
      <c r="X92" s="55"/>
      <c r="Y92" s="55"/>
      <c r="Z92" s="55"/>
      <c r="AA92" s="55"/>
      <c r="AB92" s="55"/>
      <c r="AC92" s="55"/>
      <c r="AD92" s="55"/>
      <c r="AE92" s="55"/>
      <c r="AF92" s="55"/>
      <c r="AG92" s="55"/>
      <c r="AH92" s="55"/>
      <c r="AI92" s="55"/>
      <c r="AJ92" s="55"/>
      <c r="AK92" s="55"/>
      <c r="AL92" s="55"/>
      <c r="AM92" s="55"/>
      <c r="AN92" s="55"/>
      <c r="AO92" s="55"/>
      <c r="AP92" s="55"/>
      <c r="AQ92" s="55"/>
      <c r="AR92" s="55"/>
      <c r="AS92" s="55"/>
      <c r="AT92" s="55"/>
      <c r="AU92" s="55"/>
      <c r="AV92" s="55"/>
      <c r="AW92" s="55"/>
      <c r="AX92" s="55"/>
      <c r="AY92" s="55"/>
      <c r="AZ92" s="55"/>
      <c r="BA92" s="55"/>
      <c r="BB92" s="55"/>
      <c r="BC92" s="55"/>
      <c r="BD92" s="55"/>
      <c r="BE92" s="55"/>
      <c r="BF92" s="55"/>
      <c r="BG92" s="55"/>
      <c r="BH92" s="55"/>
      <c r="BI92" s="55"/>
      <c r="BJ92" s="55"/>
      <c r="BK92" s="55"/>
      <c r="BL92" s="55"/>
      <c r="BM92" s="55"/>
      <c r="BN92" s="55"/>
    </row>
    <row r="93" spans="1:66" hidden="1" x14ac:dyDescent="0.25">
      <c r="A93" s="201"/>
      <c r="B93" s="135"/>
      <c r="C93" s="55"/>
      <c r="D93" s="55"/>
      <c r="E93" s="55"/>
      <c r="F93" s="55"/>
      <c r="G93" s="203"/>
      <c r="H93" s="201"/>
      <c r="I93" s="55"/>
      <c r="J93" s="55"/>
      <c r="K93" s="55"/>
      <c r="L93" s="55"/>
      <c r="M93" s="55"/>
      <c r="N93" s="55"/>
      <c r="O93" s="55"/>
      <c r="P93" s="55"/>
      <c r="Q93" s="55"/>
      <c r="R93" s="55"/>
      <c r="S93" s="55"/>
      <c r="T93" s="55"/>
      <c r="U93" s="202"/>
      <c r="V93" s="55"/>
      <c r="W93" s="55"/>
      <c r="X93" s="55"/>
      <c r="Y93" s="55"/>
      <c r="Z93" s="55"/>
      <c r="AA93" s="55"/>
      <c r="AB93" s="55"/>
      <c r="AC93" s="55"/>
      <c r="AD93" s="55"/>
      <c r="AE93" s="55"/>
      <c r="AF93" s="55"/>
      <c r="AG93" s="55"/>
      <c r="AH93" s="55"/>
      <c r="AI93" s="55"/>
      <c r="AJ93" s="55"/>
      <c r="AK93" s="55"/>
      <c r="AL93" s="55"/>
      <c r="AM93" s="55"/>
      <c r="AN93" s="55"/>
      <c r="AO93" s="55"/>
      <c r="AP93" s="55"/>
      <c r="AQ93" s="55"/>
      <c r="AR93" s="55"/>
      <c r="AS93" s="55"/>
      <c r="AT93" s="55"/>
      <c r="AU93" s="55"/>
      <c r="AV93" s="55"/>
      <c r="AW93" s="55"/>
      <c r="AX93" s="55"/>
      <c r="AY93" s="55"/>
      <c r="AZ93" s="55"/>
      <c r="BA93" s="55"/>
      <c r="BB93" s="55"/>
      <c r="BC93" s="55"/>
      <c r="BD93" s="55"/>
      <c r="BE93" s="55"/>
      <c r="BF93" s="55"/>
      <c r="BG93" s="55"/>
      <c r="BH93" s="55"/>
      <c r="BI93" s="55"/>
      <c r="BJ93" s="55"/>
      <c r="BK93" s="55"/>
      <c r="BL93" s="55"/>
      <c r="BM93" s="55"/>
      <c r="BN93" s="55"/>
    </row>
    <row r="94" spans="1:66" hidden="1" x14ac:dyDescent="0.25">
      <c r="A94" s="201"/>
      <c r="B94" s="135"/>
      <c r="C94" s="55"/>
      <c r="D94" s="55"/>
      <c r="E94" s="55"/>
      <c r="F94" s="55"/>
      <c r="G94" s="203"/>
      <c r="H94" s="201"/>
      <c r="I94" s="55"/>
      <c r="J94" s="55"/>
      <c r="K94" s="55"/>
      <c r="L94" s="55"/>
      <c r="M94" s="55"/>
      <c r="N94" s="55"/>
      <c r="O94" s="55"/>
      <c r="P94" s="55"/>
      <c r="Q94" s="55"/>
      <c r="R94" s="55"/>
      <c r="S94" s="55"/>
      <c r="T94" s="55"/>
      <c r="U94" s="202"/>
      <c r="V94" s="55"/>
      <c r="W94" s="55"/>
      <c r="X94" s="55"/>
      <c r="Y94" s="55"/>
      <c r="Z94" s="55"/>
      <c r="AA94" s="55"/>
      <c r="AB94" s="55"/>
      <c r="AC94" s="55"/>
      <c r="AD94" s="55"/>
      <c r="AE94" s="55"/>
      <c r="AF94" s="55"/>
      <c r="AG94" s="55"/>
      <c r="AH94" s="55"/>
      <c r="AI94" s="55"/>
      <c r="AJ94" s="55"/>
      <c r="AK94" s="55"/>
      <c r="AL94" s="55"/>
      <c r="AM94" s="55"/>
      <c r="AN94" s="55"/>
      <c r="AO94" s="55"/>
      <c r="AP94" s="55"/>
      <c r="AQ94" s="55"/>
      <c r="AR94" s="55"/>
      <c r="AS94" s="55"/>
      <c r="AT94" s="55"/>
      <c r="AU94" s="55"/>
      <c r="AV94" s="55"/>
      <c r="AW94" s="55"/>
      <c r="AX94" s="55"/>
      <c r="AY94" s="55"/>
      <c r="AZ94" s="55"/>
      <c r="BA94" s="55"/>
      <c r="BB94" s="55"/>
      <c r="BC94" s="55"/>
      <c r="BD94" s="55"/>
      <c r="BE94" s="55"/>
      <c r="BF94" s="55"/>
      <c r="BG94" s="55"/>
      <c r="BH94" s="55"/>
      <c r="BI94" s="55"/>
      <c r="BJ94" s="55"/>
      <c r="BK94" s="55"/>
      <c r="BL94" s="55"/>
      <c r="BM94" s="55"/>
      <c r="BN94" s="55"/>
    </row>
    <row r="95" spans="1:66" hidden="1" x14ac:dyDescent="0.25">
      <c r="A95" s="201"/>
      <c r="B95" s="135"/>
      <c r="C95" s="55"/>
      <c r="D95" s="55"/>
      <c r="E95" s="55"/>
      <c r="F95" s="55"/>
      <c r="G95" s="203"/>
      <c r="H95" s="201"/>
      <c r="I95" s="55"/>
      <c r="J95" s="55"/>
      <c r="K95" s="55"/>
      <c r="L95" s="55"/>
      <c r="M95" s="55"/>
      <c r="N95" s="55"/>
      <c r="O95" s="55"/>
      <c r="P95" s="55"/>
      <c r="Q95" s="55"/>
      <c r="R95" s="55"/>
      <c r="S95" s="55"/>
      <c r="T95" s="55"/>
      <c r="U95" s="202"/>
      <c r="V95" s="55"/>
      <c r="W95" s="55"/>
      <c r="X95" s="55"/>
      <c r="Y95" s="55"/>
      <c r="Z95" s="55"/>
      <c r="AA95" s="55"/>
      <c r="AB95" s="55"/>
      <c r="AC95" s="55"/>
      <c r="AD95" s="55"/>
      <c r="AE95" s="55"/>
      <c r="AF95" s="55"/>
      <c r="AG95" s="55"/>
      <c r="AH95" s="55"/>
      <c r="AI95" s="55"/>
      <c r="AJ95" s="55"/>
      <c r="AK95" s="55"/>
      <c r="AL95" s="55"/>
      <c r="AM95" s="55"/>
      <c r="AN95" s="55"/>
      <c r="AO95" s="55"/>
      <c r="AP95" s="55"/>
      <c r="AQ95" s="55"/>
      <c r="AR95" s="55"/>
      <c r="AS95" s="55"/>
      <c r="AT95" s="55"/>
      <c r="AU95" s="55"/>
      <c r="AV95" s="55"/>
      <c r="AW95" s="55"/>
      <c r="AX95" s="55"/>
      <c r="AY95" s="55"/>
      <c r="AZ95" s="55"/>
      <c r="BA95" s="55"/>
      <c r="BB95" s="55"/>
      <c r="BC95" s="55"/>
      <c r="BD95" s="55"/>
      <c r="BE95" s="55"/>
      <c r="BF95" s="55"/>
      <c r="BG95" s="55"/>
      <c r="BH95" s="55"/>
      <c r="BI95" s="55"/>
      <c r="BJ95" s="55"/>
      <c r="BK95" s="55"/>
      <c r="BL95" s="55"/>
      <c r="BM95" s="55"/>
      <c r="BN95" s="55"/>
    </row>
    <row r="96" spans="1:66" hidden="1" x14ac:dyDescent="0.25">
      <c r="A96" s="201"/>
      <c r="B96" s="135"/>
      <c r="C96" s="55"/>
      <c r="D96" s="55"/>
      <c r="E96" s="55"/>
      <c r="F96" s="55"/>
      <c r="G96" s="203"/>
      <c r="H96" s="201"/>
      <c r="I96" s="55"/>
      <c r="J96" s="55"/>
      <c r="K96" s="55"/>
      <c r="L96" s="55"/>
      <c r="M96" s="55"/>
      <c r="N96" s="55"/>
      <c r="O96" s="55"/>
      <c r="P96" s="55"/>
      <c r="Q96" s="55"/>
      <c r="R96" s="55"/>
      <c r="S96" s="55"/>
      <c r="T96" s="55"/>
      <c r="U96" s="202"/>
      <c r="V96" s="55"/>
      <c r="W96" s="55"/>
      <c r="X96" s="55"/>
      <c r="Y96" s="55"/>
      <c r="Z96" s="55"/>
      <c r="AA96" s="55"/>
      <c r="AB96" s="55"/>
      <c r="AC96" s="55"/>
      <c r="AD96" s="55"/>
      <c r="AE96" s="55"/>
      <c r="AF96" s="55"/>
      <c r="AG96" s="55"/>
      <c r="AH96" s="55"/>
      <c r="AI96" s="55"/>
      <c r="AJ96" s="55"/>
      <c r="AK96" s="55"/>
      <c r="AL96" s="55"/>
      <c r="AM96" s="55"/>
      <c r="AN96" s="55"/>
      <c r="AO96" s="55"/>
      <c r="AP96" s="55"/>
      <c r="AQ96" s="55"/>
      <c r="AR96" s="55"/>
      <c r="AS96" s="55"/>
      <c r="AT96" s="55"/>
      <c r="AU96" s="55"/>
      <c r="AV96" s="55"/>
      <c r="AW96" s="55"/>
      <c r="AX96" s="55"/>
      <c r="AY96" s="55"/>
      <c r="AZ96" s="55"/>
      <c r="BA96" s="55"/>
      <c r="BB96" s="55"/>
      <c r="BC96" s="55"/>
      <c r="BD96" s="55"/>
      <c r="BE96" s="55"/>
      <c r="BF96" s="55"/>
      <c r="BG96" s="55"/>
      <c r="BH96" s="55"/>
      <c r="BI96" s="55"/>
      <c r="BJ96" s="55"/>
      <c r="BK96" s="55"/>
      <c r="BL96" s="55"/>
      <c r="BM96" s="55"/>
      <c r="BN96" s="55"/>
    </row>
    <row r="97" spans="1:66" hidden="1" x14ac:dyDescent="0.25">
      <c r="A97" s="201"/>
      <c r="B97" s="135"/>
      <c r="C97" s="55"/>
      <c r="D97" s="55"/>
      <c r="E97" s="55"/>
      <c r="F97" s="55"/>
      <c r="G97" s="203"/>
      <c r="H97" s="201"/>
      <c r="I97" s="55"/>
      <c r="J97" s="55"/>
      <c r="K97" s="55"/>
      <c r="L97" s="55"/>
      <c r="M97" s="55"/>
      <c r="N97" s="55"/>
      <c r="O97" s="55"/>
      <c r="P97" s="55"/>
      <c r="Q97" s="55"/>
      <c r="R97" s="55"/>
      <c r="S97" s="55"/>
      <c r="T97" s="55"/>
      <c r="U97" s="202"/>
      <c r="V97" s="55"/>
      <c r="W97" s="55"/>
      <c r="X97" s="55"/>
      <c r="Y97" s="55"/>
      <c r="Z97" s="55"/>
      <c r="AA97" s="55"/>
      <c r="AB97" s="55"/>
      <c r="AC97" s="55"/>
      <c r="AD97" s="55"/>
      <c r="AE97" s="55"/>
      <c r="AF97" s="55"/>
      <c r="AG97" s="55"/>
      <c r="AH97" s="55"/>
      <c r="AI97" s="55"/>
      <c r="AJ97" s="55"/>
      <c r="AK97" s="55"/>
      <c r="AL97" s="55"/>
      <c r="AM97" s="55"/>
      <c r="AN97" s="55"/>
      <c r="AO97" s="55"/>
      <c r="AP97" s="55"/>
      <c r="AQ97" s="55"/>
      <c r="AR97" s="55"/>
      <c r="AS97" s="55"/>
      <c r="AT97" s="55"/>
      <c r="AU97" s="55"/>
      <c r="AV97" s="55"/>
      <c r="AW97" s="55"/>
      <c r="AX97" s="55"/>
      <c r="AY97" s="55"/>
      <c r="AZ97" s="55"/>
      <c r="BA97" s="55"/>
      <c r="BB97" s="55"/>
      <c r="BC97" s="55"/>
      <c r="BD97" s="55"/>
      <c r="BE97" s="55"/>
      <c r="BF97" s="55"/>
      <c r="BG97" s="55"/>
      <c r="BH97" s="55"/>
      <c r="BI97" s="55"/>
      <c r="BJ97" s="55"/>
      <c r="BK97" s="55"/>
      <c r="BL97" s="55"/>
      <c r="BM97" s="55"/>
      <c r="BN97" s="55"/>
    </row>
    <row r="98" spans="1:66" hidden="1" x14ac:dyDescent="0.25">
      <c r="A98" s="201"/>
      <c r="B98" s="135"/>
      <c r="C98" s="55"/>
      <c r="D98" s="55"/>
      <c r="E98" s="55"/>
      <c r="F98" s="55"/>
      <c r="G98" s="203"/>
      <c r="H98" s="201"/>
      <c r="I98" s="55"/>
      <c r="J98" s="55"/>
      <c r="K98" s="55"/>
      <c r="L98" s="55"/>
      <c r="M98" s="55"/>
      <c r="N98" s="55"/>
      <c r="O98" s="55"/>
      <c r="P98" s="55"/>
      <c r="Q98" s="55"/>
      <c r="R98" s="55"/>
      <c r="S98" s="55"/>
      <c r="T98" s="55"/>
      <c r="U98" s="202"/>
      <c r="V98" s="55"/>
      <c r="W98" s="55"/>
      <c r="X98" s="55"/>
      <c r="Y98" s="55"/>
      <c r="Z98" s="55"/>
      <c r="AA98" s="55"/>
      <c r="AB98" s="55"/>
      <c r="AC98" s="55"/>
      <c r="AD98" s="55"/>
      <c r="AE98" s="55"/>
      <c r="AF98" s="55"/>
      <c r="AG98" s="55"/>
      <c r="AH98" s="55"/>
      <c r="AI98" s="55"/>
      <c r="AJ98" s="55"/>
      <c r="AK98" s="55"/>
      <c r="AL98" s="55"/>
      <c r="AM98" s="55"/>
      <c r="AN98" s="55"/>
      <c r="AO98" s="55"/>
      <c r="AP98" s="55"/>
      <c r="AQ98" s="55"/>
      <c r="AR98" s="55"/>
      <c r="AS98" s="55"/>
      <c r="AT98" s="55"/>
      <c r="AU98" s="55"/>
      <c r="AV98" s="55"/>
      <c r="AW98" s="55"/>
      <c r="AX98" s="55"/>
      <c r="AY98" s="55"/>
      <c r="AZ98" s="55"/>
      <c r="BA98" s="55"/>
      <c r="BB98" s="55"/>
      <c r="BC98" s="55"/>
      <c r="BD98" s="55"/>
      <c r="BE98" s="55"/>
      <c r="BF98" s="55"/>
      <c r="BG98" s="55"/>
      <c r="BH98" s="55"/>
      <c r="BI98" s="55"/>
      <c r="BJ98" s="55"/>
      <c r="BK98" s="55"/>
      <c r="BL98" s="55"/>
      <c r="BM98" s="55"/>
      <c r="BN98" s="55"/>
    </row>
    <row r="99" spans="1:66" hidden="1" x14ac:dyDescent="0.25">
      <c r="A99" s="201"/>
      <c r="B99" s="135"/>
      <c r="C99" s="55"/>
      <c r="D99" s="55"/>
      <c r="E99" s="55"/>
      <c r="F99" s="55"/>
      <c r="G99" s="203"/>
      <c r="H99" s="201"/>
      <c r="I99" s="55"/>
      <c r="J99" s="55"/>
      <c r="K99" s="55"/>
      <c r="L99" s="55"/>
      <c r="M99" s="55"/>
      <c r="N99" s="55"/>
      <c r="O99" s="55"/>
      <c r="P99" s="55"/>
      <c r="Q99" s="55"/>
      <c r="R99" s="55"/>
      <c r="S99" s="55"/>
      <c r="T99" s="55"/>
      <c r="U99" s="202"/>
      <c r="V99" s="55"/>
      <c r="W99" s="55"/>
      <c r="X99" s="55"/>
      <c r="Y99" s="55"/>
      <c r="Z99" s="55"/>
      <c r="AA99" s="55"/>
      <c r="AB99" s="55"/>
      <c r="AC99" s="55"/>
      <c r="AD99" s="55"/>
      <c r="AE99" s="55"/>
      <c r="AF99" s="55"/>
      <c r="AG99" s="55"/>
      <c r="AH99" s="55"/>
      <c r="AI99" s="55"/>
      <c r="AJ99" s="55"/>
      <c r="AK99" s="55"/>
      <c r="AL99" s="55"/>
      <c r="AM99" s="55"/>
      <c r="AN99" s="55"/>
      <c r="AO99" s="55"/>
      <c r="AP99" s="55"/>
      <c r="AQ99" s="55"/>
      <c r="AR99" s="55"/>
      <c r="AS99" s="55"/>
      <c r="AT99" s="55"/>
      <c r="AU99" s="55"/>
      <c r="AV99" s="55"/>
      <c r="AW99" s="55"/>
      <c r="AX99" s="55"/>
      <c r="AY99" s="55"/>
      <c r="AZ99" s="55"/>
      <c r="BA99" s="55"/>
      <c r="BB99" s="55"/>
      <c r="BC99" s="55"/>
      <c r="BD99" s="55"/>
      <c r="BE99" s="55"/>
      <c r="BF99" s="55"/>
      <c r="BG99" s="55"/>
      <c r="BH99" s="55"/>
      <c r="BI99" s="55"/>
      <c r="BJ99" s="55"/>
      <c r="BK99" s="55"/>
      <c r="BL99" s="55"/>
      <c r="BM99" s="55"/>
      <c r="BN99" s="55"/>
    </row>
    <row r="100" spans="1:66" hidden="1" x14ac:dyDescent="0.25">
      <c r="A100" s="201"/>
      <c r="B100" s="135"/>
      <c r="C100" s="55"/>
      <c r="D100" s="55"/>
      <c r="E100" s="55"/>
      <c r="F100" s="55"/>
      <c r="G100" s="203"/>
      <c r="H100" s="201"/>
      <c r="I100" s="55"/>
      <c r="J100" s="55"/>
      <c r="K100" s="55"/>
      <c r="L100" s="55"/>
      <c r="M100" s="55"/>
      <c r="N100" s="55"/>
      <c r="O100" s="55"/>
      <c r="P100" s="55"/>
      <c r="Q100" s="55"/>
      <c r="R100" s="55"/>
      <c r="S100" s="55"/>
      <c r="T100" s="55"/>
      <c r="U100" s="202"/>
      <c r="V100" s="55"/>
      <c r="W100" s="55"/>
      <c r="X100" s="55"/>
      <c r="Y100" s="55"/>
      <c r="Z100" s="55"/>
      <c r="AA100" s="55"/>
      <c r="AB100" s="55"/>
      <c r="AC100" s="55"/>
      <c r="AD100" s="55"/>
      <c r="AE100" s="55"/>
      <c r="AF100" s="55"/>
      <c r="AG100" s="55"/>
      <c r="AH100" s="55"/>
      <c r="AI100" s="55"/>
      <c r="AJ100" s="55"/>
      <c r="AK100" s="55"/>
      <c r="AL100" s="55"/>
      <c r="AM100" s="55"/>
      <c r="AN100" s="55"/>
      <c r="AO100" s="55"/>
      <c r="AP100" s="55"/>
      <c r="AQ100" s="55"/>
      <c r="AR100" s="55"/>
      <c r="AS100" s="55"/>
      <c r="AT100" s="55"/>
      <c r="AU100" s="55"/>
      <c r="AV100" s="55"/>
      <c r="AW100" s="55"/>
      <c r="AX100" s="55"/>
      <c r="AY100" s="55"/>
      <c r="AZ100" s="55"/>
      <c r="BA100" s="55"/>
      <c r="BB100" s="55"/>
      <c r="BC100" s="55"/>
      <c r="BD100" s="55"/>
      <c r="BE100" s="55"/>
      <c r="BF100" s="55"/>
      <c r="BG100" s="55"/>
      <c r="BH100" s="55"/>
      <c r="BI100" s="55"/>
      <c r="BJ100" s="55"/>
      <c r="BK100" s="55"/>
      <c r="BL100" s="55"/>
      <c r="BM100" s="55"/>
      <c r="BN100" s="55"/>
    </row>
    <row r="101" spans="1:66" hidden="1" x14ac:dyDescent="0.25">
      <c r="A101" s="201"/>
      <c r="B101" s="135"/>
      <c r="C101" s="55"/>
      <c r="D101" s="55"/>
      <c r="E101" s="55"/>
      <c r="F101" s="55"/>
      <c r="G101" s="203"/>
      <c r="H101" s="201"/>
      <c r="I101" s="55"/>
      <c r="J101" s="55"/>
      <c r="K101" s="55"/>
      <c r="L101" s="55"/>
      <c r="M101" s="55"/>
      <c r="N101" s="55"/>
      <c r="O101" s="55"/>
      <c r="P101" s="55"/>
      <c r="Q101" s="55"/>
      <c r="R101" s="55"/>
      <c r="S101" s="55"/>
      <c r="T101" s="55"/>
      <c r="U101" s="202"/>
      <c r="V101" s="55"/>
      <c r="W101" s="55"/>
      <c r="X101" s="55"/>
      <c r="Y101" s="55"/>
      <c r="Z101" s="55"/>
      <c r="AA101" s="55"/>
      <c r="AB101" s="55"/>
      <c r="AC101" s="55"/>
      <c r="AD101" s="55"/>
      <c r="AE101" s="55"/>
      <c r="AF101" s="55"/>
      <c r="AG101" s="55"/>
      <c r="AH101" s="55"/>
      <c r="AI101" s="55"/>
      <c r="AJ101" s="55"/>
      <c r="AK101" s="55"/>
      <c r="AL101" s="55"/>
      <c r="AM101" s="55"/>
      <c r="AN101" s="55"/>
      <c r="AO101" s="55"/>
      <c r="AP101" s="55"/>
      <c r="AQ101" s="55"/>
      <c r="AR101" s="55"/>
      <c r="AS101" s="55"/>
      <c r="AT101" s="55"/>
      <c r="AU101" s="55"/>
      <c r="AV101" s="55"/>
      <c r="AW101" s="55"/>
      <c r="AX101" s="55"/>
      <c r="AY101" s="55"/>
      <c r="AZ101" s="55"/>
      <c r="BA101" s="55"/>
      <c r="BB101" s="55"/>
      <c r="BC101" s="55"/>
      <c r="BD101" s="55"/>
      <c r="BE101" s="55"/>
      <c r="BF101" s="55"/>
      <c r="BG101" s="55"/>
      <c r="BH101" s="55"/>
      <c r="BI101" s="55"/>
      <c r="BJ101" s="55"/>
      <c r="BK101" s="55"/>
      <c r="BL101" s="55"/>
      <c r="BM101" s="55"/>
      <c r="BN101" s="55"/>
    </row>
    <row r="102" spans="1:66" hidden="1" x14ac:dyDescent="0.25">
      <c r="A102" s="201"/>
      <c r="B102" s="135"/>
      <c r="C102" s="55"/>
      <c r="D102" s="55"/>
      <c r="E102" s="55"/>
      <c r="F102" s="55"/>
      <c r="G102" s="203"/>
      <c r="H102" s="201"/>
      <c r="I102" s="55"/>
      <c r="J102" s="55"/>
      <c r="K102" s="55"/>
      <c r="L102" s="55"/>
      <c r="M102" s="55"/>
      <c r="N102" s="55"/>
      <c r="O102" s="55"/>
      <c r="P102" s="55"/>
      <c r="Q102" s="55"/>
      <c r="R102" s="55"/>
      <c r="S102" s="55"/>
      <c r="T102" s="55"/>
      <c r="U102" s="202"/>
      <c r="V102" s="55"/>
      <c r="W102" s="55"/>
      <c r="X102" s="55"/>
      <c r="Y102" s="55"/>
      <c r="Z102" s="55"/>
      <c r="AA102" s="55"/>
      <c r="AB102" s="55"/>
      <c r="AC102" s="55"/>
      <c r="AD102" s="55"/>
      <c r="AE102" s="55"/>
      <c r="AF102" s="55"/>
      <c r="AG102" s="55"/>
      <c r="AH102" s="55"/>
      <c r="AI102" s="55"/>
      <c r="AJ102" s="55"/>
      <c r="AK102" s="55"/>
      <c r="AL102" s="55"/>
      <c r="AM102" s="55"/>
      <c r="AN102" s="55"/>
      <c r="AO102" s="55"/>
      <c r="AP102" s="55"/>
      <c r="AQ102" s="55"/>
      <c r="AR102" s="55"/>
      <c r="AS102" s="55"/>
      <c r="AT102" s="55"/>
      <c r="AU102" s="55"/>
      <c r="AV102" s="55"/>
      <c r="AW102" s="55"/>
      <c r="AX102" s="55"/>
      <c r="AY102" s="55"/>
      <c r="AZ102" s="55"/>
      <c r="BA102" s="55"/>
      <c r="BB102" s="55"/>
      <c r="BC102" s="55"/>
      <c r="BD102" s="55"/>
      <c r="BE102" s="55"/>
      <c r="BF102" s="55"/>
      <c r="BG102" s="55"/>
      <c r="BH102" s="55"/>
      <c r="BI102" s="55"/>
      <c r="BJ102" s="55"/>
      <c r="BK102" s="55"/>
      <c r="BL102" s="55"/>
      <c r="BM102" s="55"/>
      <c r="BN102" s="55"/>
    </row>
    <row r="103" spans="1:66" hidden="1" x14ac:dyDescent="0.25">
      <c r="A103" s="201"/>
      <c r="B103" s="135"/>
      <c r="C103" s="55"/>
      <c r="D103" s="55"/>
      <c r="E103" s="55"/>
      <c r="F103" s="55"/>
      <c r="G103" s="203"/>
      <c r="H103" s="201"/>
      <c r="I103" s="55"/>
      <c r="J103" s="55"/>
      <c r="K103" s="55"/>
      <c r="L103" s="55"/>
      <c r="M103" s="55"/>
      <c r="N103" s="55"/>
      <c r="O103" s="55"/>
      <c r="P103" s="55"/>
      <c r="Q103" s="55"/>
      <c r="R103" s="55"/>
      <c r="S103" s="55"/>
      <c r="T103" s="55"/>
      <c r="U103" s="202"/>
      <c r="V103" s="55"/>
      <c r="W103" s="55"/>
      <c r="X103" s="55"/>
      <c r="Y103" s="55"/>
      <c r="Z103" s="55"/>
      <c r="AA103" s="55"/>
      <c r="AB103" s="55"/>
      <c r="AC103" s="55"/>
      <c r="AD103" s="55"/>
      <c r="AE103" s="55"/>
      <c r="AF103" s="55"/>
      <c r="AG103" s="55"/>
      <c r="AH103" s="55"/>
      <c r="AI103" s="55"/>
      <c r="AJ103" s="55"/>
      <c r="AK103" s="55"/>
      <c r="AL103" s="55"/>
      <c r="AM103" s="55"/>
      <c r="AN103" s="55"/>
      <c r="AO103" s="55"/>
      <c r="AP103" s="55"/>
      <c r="AQ103" s="55"/>
      <c r="AR103" s="55"/>
      <c r="AS103" s="55"/>
      <c r="AT103" s="55"/>
      <c r="AU103" s="55"/>
      <c r="AV103" s="55"/>
      <c r="AW103" s="55"/>
      <c r="AX103" s="55"/>
      <c r="AY103" s="55"/>
      <c r="AZ103" s="55"/>
      <c r="BA103" s="55"/>
      <c r="BB103" s="55"/>
      <c r="BC103" s="55"/>
      <c r="BD103" s="55"/>
      <c r="BE103" s="55"/>
      <c r="BF103" s="55"/>
      <c r="BG103" s="55"/>
      <c r="BH103" s="55"/>
      <c r="BI103" s="55"/>
      <c r="BJ103" s="55"/>
      <c r="BK103" s="55"/>
      <c r="BL103" s="55"/>
      <c r="BM103" s="55"/>
      <c r="BN103" s="55"/>
    </row>
    <row r="104" spans="1:66" hidden="1" x14ac:dyDescent="0.25">
      <c r="A104" s="201"/>
      <c r="B104" s="135"/>
      <c r="C104" s="55"/>
      <c r="D104" s="55"/>
      <c r="E104" s="55"/>
      <c r="F104" s="55"/>
      <c r="G104" s="203"/>
      <c r="H104" s="201"/>
      <c r="I104" s="55"/>
      <c r="J104" s="55"/>
      <c r="K104" s="55"/>
      <c r="L104" s="55"/>
      <c r="M104" s="55"/>
      <c r="N104" s="55"/>
      <c r="O104" s="55"/>
      <c r="P104" s="55"/>
      <c r="Q104" s="55"/>
      <c r="R104" s="55"/>
      <c r="S104" s="55"/>
      <c r="T104" s="55"/>
      <c r="U104" s="202"/>
      <c r="V104" s="55"/>
      <c r="W104" s="55"/>
      <c r="X104" s="55"/>
      <c r="Y104" s="55"/>
      <c r="Z104" s="55"/>
      <c r="AA104" s="55"/>
      <c r="AB104" s="55"/>
      <c r="AC104" s="55"/>
      <c r="AD104" s="55"/>
      <c r="AE104" s="55"/>
      <c r="AF104" s="55"/>
      <c r="AG104" s="55"/>
      <c r="AH104" s="55"/>
      <c r="AI104" s="55"/>
      <c r="AJ104" s="55"/>
      <c r="AK104" s="55"/>
      <c r="AL104" s="55"/>
      <c r="AM104" s="55"/>
      <c r="AN104" s="55"/>
      <c r="AO104" s="55"/>
      <c r="AP104" s="55"/>
      <c r="AQ104" s="55"/>
      <c r="AR104" s="55"/>
      <c r="AS104" s="55"/>
      <c r="AT104" s="55"/>
      <c r="AU104" s="55"/>
      <c r="AV104" s="55"/>
      <c r="AW104" s="55"/>
      <c r="AX104" s="55"/>
      <c r="AY104" s="55"/>
      <c r="AZ104" s="55"/>
      <c r="BA104" s="55"/>
      <c r="BB104" s="55"/>
      <c r="BC104" s="55"/>
      <c r="BD104" s="55"/>
      <c r="BE104" s="55"/>
      <c r="BF104" s="55"/>
      <c r="BG104" s="55"/>
      <c r="BH104" s="55"/>
      <c r="BI104" s="55"/>
      <c r="BJ104" s="55"/>
      <c r="BK104" s="55"/>
      <c r="BL104" s="55"/>
      <c r="BM104" s="55"/>
      <c r="BN104" s="55"/>
    </row>
    <row r="105" spans="1:66" ht="14.4" hidden="1" thickBot="1" x14ac:dyDescent="0.3">
      <c r="A105" s="204"/>
      <c r="B105" s="205"/>
      <c r="C105" s="206"/>
      <c r="D105" s="206"/>
      <c r="E105" s="206"/>
      <c r="F105" s="206"/>
      <c r="G105" s="207"/>
      <c r="H105" s="204"/>
      <c r="I105" s="206"/>
      <c r="J105" s="206"/>
      <c r="K105" s="206"/>
      <c r="L105" s="206"/>
      <c r="M105" s="206"/>
      <c r="N105" s="206"/>
      <c r="O105" s="206"/>
      <c r="P105" s="206"/>
      <c r="Q105" s="206"/>
      <c r="R105" s="206"/>
      <c r="S105" s="206"/>
      <c r="T105" s="206"/>
      <c r="U105" s="210"/>
      <c r="V105" s="55"/>
      <c r="W105" s="55"/>
      <c r="X105" s="55"/>
      <c r="Y105" s="55"/>
      <c r="Z105" s="55"/>
      <c r="AA105" s="55"/>
      <c r="AB105" s="55"/>
      <c r="AC105" s="55"/>
      <c r="AD105" s="55"/>
      <c r="AE105" s="55"/>
      <c r="AF105" s="55"/>
      <c r="AG105" s="55"/>
      <c r="AH105" s="55"/>
      <c r="AI105" s="55"/>
      <c r="AJ105" s="55"/>
      <c r="AK105" s="55"/>
      <c r="AL105" s="55"/>
      <c r="AM105" s="55"/>
      <c r="AN105" s="55"/>
      <c r="AO105" s="55"/>
      <c r="AP105" s="55"/>
      <c r="AQ105" s="55"/>
      <c r="AR105" s="55"/>
      <c r="AS105" s="55"/>
      <c r="AT105" s="55"/>
      <c r="AU105" s="55"/>
      <c r="AV105" s="55"/>
      <c r="AW105" s="55"/>
      <c r="AX105" s="55"/>
      <c r="AY105" s="55"/>
      <c r="AZ105" s="55"/>
      <c r="BA105" s="55"/>
      <c r="BB105" s="55"/>
      <c r="BC105" s="55"/>
      <c r="BD105" s="55"/>
      <c r="BE105" s="55"/>
      <c r="BF105" s="55"/>
      <c r="BG105" s="55"/>
      <c r="BH105" s="55"/>
      <c r="BI105" s="55"/>
      <c r="BJ105" s="55"/>
      <c r="BK105" s="55"/>
      <c r="BL105" s="55"/>
      <c r="BM105" s="55"/>
      <c r="BN105" s="55"/>
    </row>
    <row r="106" spans="1:66" hidden="1" x14ac:dyDescent="0.25">
      <c r="A106" s="55"/>
      <c r="B106" s="135"/>
      <c r="C106" s="55"/>
      <c r="D106" s="55"/>
      <c r="E106" s="55"/>
      <c r="F106" s="55"/>
      <c r="G106" s="136"/>
      <c r="H106" s="55"/>
      <c r="I106" s="55"/>
      <c r="J106" s="55"/>
      <c r="K106" s="55"/>
      <c r="L106" s="55"/>
      <c r="M106" s="55"/>
      <c r="N106" s="55"/>
      <c r="O106" s="55"/>
      <c r="P106" s="55"/>
      <c r="Q106" s="55"/>
      <c r="R106" s="55"/>
      <c r="S106" s="55"/>
      <c r="T106" s="55"/>
      <c r="U106" s="55"/>
      <c r="V106" s="55"/>
      <c r="W106" s="55"/>
      <c r="X106" s="55"/>
      <c r="Y106" s="55"/>
      <c r="Z106" s="55"/>
      <c r="AA106" s="55"/>
      <c r="AB106" s="55"/>
      <c r="AC106" s="55"/>
      <c r="AD106" s="55"/>
      <c r="AE106" s="55"/>
      <c r="AF106" s="55"/>
      <c r="AG106" s="55"/>
      <c r="AH106" s="55"/>
      <c r="AI106" s="55"/>
      <c r="AJ106" s="55"/>
      <c r="AK106" s="55"/>
      <c r="AL106" s="55"/>
      <c r="AM106" s="55"/>
      <c r="AN106" s="55"/>
      <c r="AO106" s="55"/>
      <c r="AP106" s="55"/>
      <c r="AQ106" s="55"/>
      <c r="AR106" s="55"/>
      <c r="AS106" s="55"/>
      <c r="AT106" s="55"/>
      <c r="AU106" s="55"/>
      <c r="AV106" s="55"/>
      <c r="AW106" s="55"/>
      <c r="AX106" s="55"/>
      <c r="AY106" s="55"/>
      <c r="AZ106" s="55"/>
      <c r="BA106" s="55"/>
      <c r="BB106" s="55"/>
      <c r="BC106" s="55"/>
      <c r="BD106" s="55"/>
      <c r="BE106" s="55"/>
      <c r="BF106" s="55"/>
      <c r="BG106" s="55"/>
      <c r="BH106" s="55"/>
      <c r="BI106" s="55"/>
      <c r="BJ106" s="55"/>
      <c r="BK106" s="55"/>
      <c r="BL106" s="55"/>
      <c r="BM106" s="55"/>
      <c r="BN106" s="55"/>
    </row>
    <row r="107" spans="1:66" hidden="1" x14ac:dyDescent="0.25">
      <c r="A107" s="55"/>
      <c r="B107" s="135"/>
      <c r="C107" s="55"/>
      <c r="D107" s="55"/>
      <c r="E107" s="55"/>
      <c r="F107" s="55"/>
      <c r="G107" s="136"/>
      <c r="H107" s="55"/>
      <c r="I107" s="55"/>
      <c r="J107" s="55"/>
      <c r="K107" s="55"/>
      <c r="L107" s="55"/>
      <c r="M107" s="55"/>
      <c r="N107" s="55"/>
      <c r="O107" s="55"/>
      <c r="P107" s="55"/>
      <c r="Q107" s="55"/>
      <c r="R107" s="55"/>
      <c r="S107" s="55"/>
      <c r="T107" s="55"/>
      <c r="U107" s="55"/>
      <c r="V107" s="55"/>
      <c r="W107" s="55"/>
      <c r="X107" s="55"/>
      <c r="Y107" s="55"/>
      <c r="Z107" s="55"/>
      <c r="AA107" s="55"/>
      <c r="AB107" s="55"/>
      <c r="AC107" s="55"/>
      <c r="AD107" s="55"/>
      <c r="AE107" s="55"/>
      <c r="AF107" s="55"/>
      <c r="AG107" s="55"/>
      <c r="AH107" s="55"/>
      <c r="AI107" s="55"/>
      <c r="AJ107" s="55"/>
      <c r="AK107" s="55"/>
      <c r="AL107" s="55"/>
      <c r="AM107" s="55"/>
      <c r="AN107" s="55"/>
      <c r="AO107" s="55"/>
      <c r="AP107" s="55"/>
      <c r="AQ107" s="55"/>
      <c r="AR107" s="55"/>
      <c r="AS107" s="55"/>
      <c r="AT107" s="55"/>
      <c r="AU107" s="55"/>
      <c r="AV107" s="55"/>
      <c r="AW107" s="55"/>
      <c r="AX107" s="55"/>
      <c r="AY107" s="55"/>
      <c r="AZ107" s="55"/>
      <c r="BA107" s="55"/>
      <c r="BB107" s="55"/>
      <c r="BC107" s="55"/>
      <c r="BD107" s="55"/>
      <c r="BE107" s="55"/>
      <c r="BF107" s="55"/>
      <c r="BG107" s="55"/>
      <c r="BH107" s="55"/>
      <c r="BI107" s="55"/>
      <c r="BJ107" s="55"/>
      <c r="BK107" s="55"/>
      <c r="BL107" s="55"/>
      <c r="BM107" s="55"/>
      <c r="BN107" s="55"/>
    </row>
    <row r="108" spans="1:66" hidden="1" x14ac:dyDescent="0.25">
      <c r="A108" s="55"/>
      <c r="B108" s="135"/>
      <c r="C108" s="55"/>
      <c r="D108" s="55"/>
      <c r="E108" s="55"/>
      <c r="F108" s="57"/>
      <c r="G108" s="136"/>
      <c r="H108" s="55"/>
      <c r="I108" s="55"/>
      <c r="J108" s="55"/>
      <c r="K108" s="55"/>
      <c r="L108" s="55"/>
      <c r="M108" s="55"/>
      <c r="N108" s="55"/>
      <c r="O108" s="55"/>
      <c r="P108" s="55"/>
      <c r="Q108" s="55"/>
      <c r="R108" s="55"/>
      <c r="S108" s="55"/>
      <c r="T108" s="55"/>
      <c r="U108" s="55"/>
      <c r="V108" s="55"/>
      <c r="W108" s="55"/>
      <c r="X108" s="55"/>
      <c r="Y108" s="55"/>
      <c r="Z108" s="55"/>
      <c r="AA108" s="55"/>
      <c r="AB108" s="55"/>
      <c r="AC108" s="55"/>
      <c r="AD108" s="55"/>
      <c r="AE108" s="55"/>
      <c r="AF108" s="55"/>
      <c r="AG108" s="55"/>
      <c r="AH108" s="55"/>
      <c r="AI108" s="55"/>
      <c r="AJ108" s="55"/>
      <c r="AK108" s="55"/>
      <c r="AL108" s="55"/>
      <c r="AM108" s="55"/>
      <c r="AN108" s="55"/>
      <c r="AO108" s="55"/>
      <c r="AP108" s="55"/>
      <c r="AQ108" s="55"/>
      <c r="AR108" s="55"/>
      <c r="AS108" s="55"/>
      <c r="AT108" s="55"/>
      <c r="AU108" s="55"/>
      <c r="AV108" s="55"/>
      <c r="AW108" s="55"/>
      <c r="AX108" s="55"/>
      <c r="AY108" s="55"/>
      <c r="AZ108" s="55"/>
      <c r="BA108" s="55"/>
      <c r="BB108" s="55"/>
      <c r="BC108" s="55"/>
      <c r="BD108" s="55"/>
      <c r="BE108" s="55"/>
      <c r="BF108" s="55"/>
      <c r="BG108" s="55"/>
      <c r="BH108" s="55"/>
      <c r="BI108" s="55"/>
      <c r="BJ108" s="55"/>
      <c r="BK108" s="55"/>
      <c r="BL108" s="55"/>
      <c r="BM108" s="55"/>
      <c r="BN108" s="55"/>
    </row>
    <row r="109" spans="1:66" hidden="1" x14ac:dyDescent="0.25">
      <c r="A109" s="55"/>
      <c r="B109" s="135"/>
      <c r="C109" s="55"/>
      <c r="D109" s="55"/>
      <c r="E109" s="55"/>
      <c r="F109" s="55"/>
      <c r="G109" s="55"/>
      <c r="H109" s="136"/>
      <c r="I109" s="55"/>
      <c r="J109" s="55"/>
      <c r="K109" s="55"/>
      <c r="L109" s="55"/>
      <c r="M109" s="55"/>
      <c r="N109" s="55"/>
      <c r="O109" s="55"/>
      <c r="P109" s="55"/>
      <c r="Q109" s="55"/>
      <c r="R109" s="55"/>
      <c r="S109" s="55"/>
      <c r="T109" s="55"/>
      <c r="U109" s="55"/>
      <c r="V109" s="55"/>
      <c r="W109" s="55"/>
      <c r="X109" s="55"/>
      <c r="Y109" s="55"/>
      <c r="Z109" s="55"/>
      <c r="AA109" s="55"/>
      <c r="AB109" s="55"/>
      <c r="AC109" s="55"/>
      <c r="AD109" s="55"/>
      <c r="AE109" s="55"/>
      <c r="AF109" s="55"/>
      <c r="AG109" s="55"/>
      <c r="AH109" s="55"/>
      <c r="AI109" s="55"/>
      <c r="AJ109" s="55"/>
      <c r="AK109" s="55"/>
      <c r="AL109" s="55"/>
      <c r="AM109" s="55"/>
      <c r="AN109" s="55"/>
      <c r="AO109" s="55"/>
      <c r="AP109" s="55"/>
      <c r="AQ109" s="55"/>
      <c r="AR109" s="55"/>
      <c r="AS109" s="55"/>
      <c r="AT109" s="55"/>
      <c r="AU109" s="55"/>
      <c r="AV109" s="55"/>
      <c r="AW109" s="55"/>
      <c r="AX109" s="55"/>
      <c r="AY109" s="55"/>
      <c r="AZ109" s="55"/>
      <c r="BA109" s="55"/>
      <c r="BB109" s="55"/>
      <c r="BC109" s="55"/>
      <c r="BD109" s="55"/>
      <c r="BE109" s="55"/>
      <c r="BF109" s="55"/>
      <c r="BG109" s="55"/>
      <c r="BH109" s="55"/>
      <c r="BI109" s="55"/>
      <c r="BJ109" s="55"/>
      <c r="BK109" s="55"/>
      <c r="BL109" s="55"/>
      <c r="BM109" s="55"/>
      <c r="BN109" s="55"/>
    </row>
    <row r="110" spans="1:66" hidden="1" x14ac:dyDescent="0.25">
      <c r="A110" s="55"/>
      <c r="B110" s="135"/>
      <c r="C110" s="55"/>
      <c r="D110" s="55"/>
      <c r="E110" s="55"/>
      <c r="F110" s="55"/>
      <c r="G110" s="55"/>
      <c r="H110" s="136"/>
      <c r="I110" s="55"/>
      <c r="J110" s="55"/>
      <c r="K110" s="55"/>
      <c r="L110" s="55"/>
      <c r="M110" s="55"/>
      <c r="N110" s="55"/>
      <c r="O110" s="55"/>
      <c r="P110" s="55"/>
      <c r="Q110" s="55"/>
      <c r="R110" s="55"/>
      <c r="S110" s="55"/>
      <c r="T110" s="55"/>
      <c r="U110" s="55"/>
      <c r="V110" s="55"/>
      <c r="W110" s="55"/>
      <c r="X110" s="55"/>
      <c r="Y110" s="55"/>
      <c r="Z110" s="55"/>
      <c r="AA110" s="55"/>
      <c r="AB110" s="55"/>
      <c r="AC110" s="55"/>
      <c r="AD110" s="55"/>
      <c r="AE110" s="55"/>
      <c r="AF110" s="55"/>
      <c r="AG110" s="55"/>
      <c r="AH110" s="55"/>
      <c r="AI110" s="55"/>
      <c r="AJ110" s="55"/>
      <c r="AK110" s="55"/>
      <c r="AL110" s="55"/>
      <c r="AM110" s="55"/>
      <c r="AN110" s="55"/>
      <c r="AO110" s="55"/>
      <c r="AP110" s="55"/>
      <c r="AQ110" s="55"/>
      <c r="AR110" s="55"/>
      <c r="AS110" s="55"/>
      <c r="AT110" s="55"/>
      <c r="AU110" s="55"/>
      <c r="AV110" s="55"/>
      <c r="AW110" s="55"/>
      <c r="AX110" s="55"/>
      <c r="AY110" s="55"/>
      <c r="AZ110" s="55"/>
      <c r="BA110" s="55"/>
      <c r="BB110" s="55"/>
      <c r="BC110" s="55"/>
      <c r="BD110" s="55"/>
      <c r="BE110" s="55"/>
      <c r="BF110" s="55"/>
      <c r="BG110" s="55"/>
      <c r="BH110" s="55"/>
      <c r="BI110" s="55"/>
      <c r="BJ110" s="55"/>
      <c r="BK110" s="55"/>
      <c r="BL110" s="55"/>
      <c r="BM110" s="55"/>
      <c r="BN110" s="55"/>
    </row>
    <row r="111" spans="1:66" ht="14.4" hidden="1" x14ac:dyDescent="0.3">
      <c r="A111" s="55"/>
      <c r="B111" s="135"/>
      <c r="C111" s="55"/>
      <c r="D111" s="55"/>
      <c r="E111" s="55"/>
      <c r="F111" s="55"/>
      <c r="G111"/>
      <c r="H111" s="136"/>
      <c r="I111" s="55"/>
      <c r="J111" s="55"/>
      <c r="K111" s="55"/>
      <c r="L111" s="55"/>
      <c r="M111" s="55"/>
      <c r="N111" s="55"/>
      <c r="O111" s="55"/>
      <c r="P111" s="55"/>
      <c r="Q111" s="55"/>
      <c r="R111" s="55"/>
      <c r="S111" s="55"/>
      <c r="T111" s="55"/>
      <c r="U111" s="55"/>
      <c r="V111" s="55"/>
      <c r="W111" s="55"/>
      <c r="X111" s="55"/>
      <c r="Y111" s="55"/>
      <c r="Z111" s="55"/>
      <c r="AA111" s="55"/>
      <c r="AB111" s="55"/>
      <c r="AC111" s="55"/>
      <c r="AD111" s="55"/>
      <c r="AE111" s="55"/>
      <c r="AF111" s="55"/>
      <c r="AG111" s="55"/>
      <c r="AH111" s="55"/>
      <c r="AI111" s="55"/>
      <c r="AJ111" s="55"/>
      <c r="AK111" s="55"/>
      <c r="AL111" s="55"/>
      <c r="AM111" s="55"/>
      <c r="AN111" s="55"/>
      <c r="AO111" s="55"/>
      <c r="AP111" s="55"/>
      <c r="AQ111" s="55"/>
      <c r="AR111" s="55"/>
      <c r="AS111" s="55"/>
      <c r="AT111" s="55"/>
      <c r="AU111" s="55"/>
      <c r="AV111" s="55"/>
      <c r="AW111" s="55"/>
      <c r="AX111" s="55"/>
      <c r="AY111" s="55"/>
      <c r="AZ111" s="55"/>
      <c r="BA111" s="55"/>
      <c r="BB111" s="55"/>
      <c r="BC111" s="55"/>
      <c r="BD111" s="55"/>
      <c r="BE111" s="55"/>
      <c r="BF111" s="55"/>
      <c r="BG111" s="55"/>
      <c r="BH111" s="55"/>
      <c r="BI111" s="55"/>
      <c r="BJ111" s="55"/>
      <c r="BK111" s="55"/>
      <c r="BL111" s="55"/>
      <c r="BM111" s="55"/>
      <c r="BN111" s="55"/>
    </row>
    <row r="112" spans="1:66" x14ac:dyDescent="0.25">
      <c r="A112" s="55"/>
      <c r="B112" s="135"/>
      <c r="C112" s="55"/>
      <c r="D112" s="55"/>
      <c r="E112" s="55"/>
      <c r="F112" s="55"/>
      <c r="G112" s="55"/>
      <c r="H112" s="136"/>
      <c r="I112" s="55"/>
      <c r="J112" s="55"/>
      <c r="K112" s="55"/>
      <c r="L112" s="55"/>
      <c r="M112" s="55"/>
      <c r="N112" s="55"/>
      <c r="O112" s="55"/>
      <c r="P112" s="55"/>
      <c r="Q112" s="55"/>
      <c r="R112" s="55"/>
      <c r="S112" s="55"/>
      <c r="T112" s="211"/>
      <c r="U112" s="211"/>
      <c r="V112" s="211"/>
      <c r="W112" s="211"/>
      <c r="X112" s="211"/>
      <c r="Y112" s="55"/>
      <c r="Z112" s="55"/>
      <c r="AA112" s="55"/>
      <c r="AB112" s="55"/>
      <c r="AC112" s="55"/>
      <c r="AD112" s="55"/>
      <c r="AE112" s="55"/>
      <c r="AF112" s="55"/>
      <c r="AG112" s="55"/>
      <c r="AH112" s="55"/>
      <c r="AI112" s="55"/>
      <c r="AJ112" s="55"/>
      <c r="AK112" s="55"/>
      <c r="AL112" s="55"/>
      <c r="AM112" s="55"/>
      <c r="AN112" s="55"/>
      <c r="AO112" s="55"/>
      <c r="AP112" s="55"/>
      <c r="AQ112" s="55"/>
      <c r="AR112" s="55"/>
      <c r="AS112" s="55"/>
      <c r="AT112" s="55"/>
      <c r="AU112" s="55"/>
      <c r="AV112" s="55"/>
      <c r="AW112" s="55"/>
      <c r="AX112" s="55"/>
      <c r="AY112" s="55"/>
      <c r="AZ112" s="55"/>
      <c r="BA112" s="55"/>
      <c r="BB112" s="55"/>
      <c r="BC112" s="55"/>
      <c r="BD112" s="55"/>
      <c r="BE112" s="55"/>
      <c r="BF112" s="55"/>
      <c r="BG112" s="55"/>
      <c r="BH112" s="55"/>
      <c r="BI112" s="55"/>
      <c r="BJ112" s="55"/>
      <c r="BK112" s="55"/>
      <c r="BL112" s="55"/>
      <c r="BM112" s="55"/>
      <c r="BN112" s="55"/>
    </row>
    <row r="113" spans="1:66" x14ac:dyDescent="0.25">
      <c r="A113" s="55"/>
      <c r="B113" s="135"/>
      <c r="C113" s="55"/>
      <c r="D113" s="55"/>
      <c r="E113" s="55"/>
      <c r="F113" s="55"/>
      <c r="G113" s="55"/>
      <c r="H113" s="136"/>
      <c r="I113" s="55"/>
      <c r="J113" s="55"/>
      <c r="K113" s="55"/>
      <c r="L113" s="55"/>
      <c r="M113" s="55"/>
      <c r="N113" s="55"/>
      <c r="O113" s="55"/>
      <c r="P113" s="55"/>
      <c r="Q113" s="55"/>
      <c r="R113" s="55"/>
      <c r="S113" s="55"/>
      <c r="T113" s="55"/>
      <c r="U113" s="55"/>
      <c r="V113" s="55"/>
      <c r="W113" s="55"/>
      <c r="X113" s="55"/>
      <c r="Y113" s="55"/>
      <c r="Z113" s="55"/>
      <c r="AA113" s="55"/>
      <c r="AB113" s="55"/>
      <c r="AC113" s="55"/>
      <c r="AD113" s="55"/>
      <c r="AE113" s="55"/>
      <c r="AF113" s="55"/>
      <c r="AG113" s="55"/>
      <c r="AH113" s="55"/>
      <c r="AI113" s="55"/>
      <c r="AJ113" s="55"/>
      <c r="AK113" s="55"/>
      <c r="AL113" s="55"/>
      <c r="AM113" s="55"/>
      <c r="AN113" s="55"/>
      <c r="AO113" s="55"/>
      <c r="AP113" s="55"/>
      <c r="AQ113" s="55"/>
      <c r="AR113" s="55"/>
      <c r="AS113" s="55"/>
      <c r="AT113" s="55"/>
      <c r="AU113" s="55"/>
      <c r="AV113" s="55"/>
      <c r="AW113" s="55"/>
      <c r="AX113" s="55"/>
      <c r="AY113" s="55"/>
      <c r="AZ113" s="55"/>
      <c r="BA113" s="55"/>
      <c r="BB113" s="55"/>
      <c r="BC113" s="55"/>
      <c r="BD113" s="55"/>
      <c r="BE113" s="55"/>
      <c r="BF113" s="55"/>
      <c r="BG113" s="55"/>
      <c r="BH113" s="55"/>
      <c r="BI113" s="55"/>
      <c r="BJ113" s="55"/>
      <c r="BK113" s="55"/>
      <c r="BL113" s="55"/>
      <c r="BM113" s="55"/>
      <c r="BN113" s="55"/>
    </row>
    <row r="114" spans="1:66" x14ac:dyDescent="0.25">
      <c r="A114" s="55"/>
      <c r="B114" s="135"/>
      <c r="C114" s="55"/>
      <c r="D114" s="55"/>
      <c r="E114" s="55"/>
      <c r="F114" s="55"/>
      <c r="G114" s="55"/>
      <c r="H114" s="136"/>
      <c r="I114" s="55"/>
      <c r="J114" s="55"/>
      <c r="K114" s="55"/>
      <c r="L114" s="55"/>
      <c r="M114" s="55"/>
      <c r="N114" s="55"/>
      <c r="O114" s="55"/>
      <c r="P114" s="55"/>
      <c r="Q114" s="55"/>
      <c r="R114" s="55"/>
      <c r="S114" s="55"/>
      <c r="T114" s="55"/>
      <c r="U114" s="55"/>
      <c r="V114" s="55"/>
      <c r="W114" s="55"/>
      <c r="X114" s="55"/>
      <c r="Y114" s="55"/>
      <c r="Z114" s="55"/>
      <c r="AA114" s="55"/>
      <c r="AB114" s="55"/>
      <c r="AC114" s="55"/>
      <c r="AD114" s="55"/>
      <c r="AE114" s="55"/>
      <c r="AF114" s="55"/>
      <c r="AG114" s="55"/>
      <c r="AH114" s="55"/>
      <c r="AI114" s="55"/>
      <c r="AJ114" s="55"/>
      <c r="AK114" s="55"/>
      <c r="AL114" s="55"/>
      <c r="AM114" s="55"/>
      <c r="AN114" s="55"/>
      <c r="AO114" s="55"/>
      <c r="AP114" s="55"/>
      <c r="AQ114" s="55"/>
      <c r="AR114" s="55"/>
      <c r="AS114" s="55"/>
      <c r="AT114" s="55"/>
      <c r="AU114" s="55"/>
      <c r="AV114" s="55"/>
      <c r="AW114" s="55"/>
      <c r="AX114" s="55"/>
      <c r="AY114" s="55"/>
      <c r="AZ114" s="55"/>
      <c r="BA114" s="55"/>
      <c r="BB114" s="55"/>
      <c r="BC114" s="55"/>
      <c r="BD114" s="55"/>
      <c r="BE114" s="55"/>
      <c r="BF114" s="55"/>
      <c r="BG114" s="55"/>
      <c r="BH114" s="55"/>
      <c r="BI114" s="55"/>
      <c r="BJ114" s="55"/>
      <c r="BK114" s="55"/>
      <c r="BL114" s="55"/>
      <c r="BM114" s="55"/>
      <c r="BN114" s="55"/>
    </row>
    <row r="115" spans="1:66" x14ac:dyDescent="0.25">
      <c r="A115" s="55"/>
      <c r="B115" s="135"/>
      <c r="C115" s="55"/>
      <c r="D115" s="55"/>
      <c r="E115" s="55"/>
      <c r="F115" s="55"/>
      <c r="G115" s="55"/>
      <c r="H115" s="136"/>
      <c r="I115" s="55"/>
      <c r="J115" s="55"/>
      <c r="K115" s="55"/>
      <c r="L115" s="55"/>
      <c r="M115" s="55"/>
      <c r="N115" s="55"/>
      <c r="O115" s="55"/>
      <c r="P115" s="55"/>
      <c r="Q115" s="55"/>
      <c r="R115" s="55"/>
      <c r="S115" s="55"/>
      <c r="T115" s="55"/>
      <c r="U115" s="55"/>
      <c r="V115" s="55"/>
      <c r="W115" s="55"/>
      <c r="X115" s="55"/>
      <c r="Y115" s="55"/>
      <c r="Z115" s="55"/>
      <c r="AA115" s="55"/>
      <c r="AB115" s="55"/>
      <c r="AC115" s="55"/>
      <c r="AD115" s="55"/>
      <c r="AE115" s="55"/>
      <c r="AF115" s="55"/>
      <c r="AG115" s="55"/>
      <c r="AH115" s="55"/>
      <c r="AI115" s="55"/>
      <c r="AJ115" s="55"/>
      <c r="AK115" s="55"/>
      <c r="AL115" s="55"/>
      <c r="AM115" s="55"/>
      <c r="AN115" s="55"/>
      <c r="AO115" s="55"/>
      <c r="AP115" s="55"/>
      <c r="AQ115" s="55"/>
      <c r="AR115" s="55"/>
      <c r="AS115" s="55"/>
      <c r="AT115" s="55"/>
      <c r="AU115" s="55"/>
      <c r="AV115" s="55"/>
      <c r="AW115" s="55"/>
      <c r="AX115" s="55"/>
      <c r="AY115" s="55"/>
      <c r="AZ115" s="55"/>
      <c r="BA115" s="55"/>
      <c r="BB115" s="55"/>
      <c r="BC115" s="55"/>
      <c r="BD115" s="55"/>
      <c r="BE115" s="55"/>
      <c r="BF115" s="55"/>
      <c r="BG115" s="55"/>
      <c r="BH115" s="55"/>
      <c r="BI115" s="55"/>
      <c r="BJ115" s="55"/>
      <c r="BK115" s="55"/>
      <c r="BL115" s="55"/>
      <c r="BM115" s="55"/>
      <c r="BN115" s="55"/>
    </row>
    <row r="116" spans="1:66" x14ac:dyDescent="0.25">
      <c r="A116" s="55"/>
      <c r="B116" s="135"/>
      <c r="C116" s="55"/>
      <c r="D116" s="55"/>
      <c r="E116" s="55"/>
      <c r="F116" s="55"/>
      <c r="G116" s="55"/>
      <c r="H116" s="55"/>
      <c r="I116" s="136"/>
      <c r="J116" s="55"/>
      <c r="K116" s="55"/>
      <c r="L116" s="55"/>
      <c r="M116" s="55"/>
      <c r="N116" s="55"/>
      <c r="O116" s="55"/>
      <c r="P116" s="55"/>
      <c r="Q116" s="55"/>
      <c r="R116" s="55"/>
      <c r="S116" s="55"/>
      <c r="T116" s="55"/>
      <c r="U116" s="55"/>
      <c r="V116" s="55"/>
      <c r="W116" s="55"/>
      <c r="X116" s="55"/>
      <c r="Y116" s="55"/>
      <c r="Z116" s="55"/>
      <c r="AA116" s="55"/>
      <c r="AB116" s="55"/>
      <c r="AC116" s="55"/>
      <c r="AD116" s="55"/>
      <c r="AE116" s="55"/>
      <c r="AF116" s="55"/>
      <c r="AG116" s="55"/>
      <c r="AH116" s="55"/>
      <c r="AI116" s="55"/>
      <c r="AJ116" s="55"/>
      <c r="AK116" s="55"/>
      <c r="AL116" s="55"/>
      <c r="AM116" s="55"/>
      <c r="AN116" s="55"/>
      <c r="AO116" s="55"/>
      <c r="AP116" s="55"/>
      <c r="AQ116" s="55"/>
      <c r="AR116" s="55"/>
      <c r="AS116" s="55"/>
      <c r="AT116" s="55"/>
      <c r="AU116" s="55"/>
      <c r="AV116" s="55"/>
      <c r="AW116" s="55"/>
      <c r="AX116" s="55"/>
      <c r="AY116" s="55"/>
      <c r="AZ116" s="55"/>
      <c r="BA116" s="55"/>
      <c r="BB116" s="55"/>
      <c r="BC116" s="55"/>
      <c r="BD116" s="55"/>
      <c r="BE116" s="55"/>
      <c r="BF116" s="55"/>
      <c r="BG116" s="55"/>
      <c r="BH116" s="55"/>
      <c r="BI116" s="55"/>
      <c r="BJ116" s="55"/>
      <c r="BK116" s="55"/>
      <c r="BL116" s="55"/>
      <c r="BM116" s="55"/>
      <c r="BN116" s="55"/>
    </row>
    <row r="117" spans="1:66" x14ac:dyDescent="0.25">
      <c r="A117" s="55"/>
      <c r="B117" s="135"/>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c r="AA117" s="55"/>
      <c r="AB117" s="55"/>
      <c r="AC117" s="55"/>
      <c r="AD117" s="55"/>
      <c r="AE117" s="55"/>
      <c r="AF117" s="55"/>
      <c r="AG117" s="55"/>
      <c r="AH117" s="55"/>
      <c r="AI117" s="55"/>
      <c r="AJ117" s="55"/>
      <c r="AK117" s="55"/>
      <c r="AL117" s="55"/>
      <c r="AM117" s="55"/>
      <c r="AN117" s="55"/>
      <c r="AO117" s="55"/>
      <c r="AP117" s="55"/>
      <c r="AQ117" s="55"/>
      <c r="AR117" s="55"/>
      <c r="AS117" s="55"/>
      <c r="AT117" s="55"/>
      <c r="AU117" s="55"/>
      <c r="AV117" s="55"/>
      <c r="AW117" s="55"/>
      <c r="AX117" s="55"/>
      <c r="AY117" s="55"/>
      <c r="AZ117" s="55"/>
      <c r="BA117" s="55"/>
      <c r="BB117" s="55"/>
      <c r="BC117" s="55"/>
      <c r="BD117" s="55"/>
      <c r="BE117" s="55"/>
      <c r="BF117" s="55"/>
      <c r="BG117" s="55"/>
      <c r="BH117" s="55"/>
      <c r="BI117" s="55"/>
      <c r="BJ117" s="55"/>
      <c r="BK117" s="55"/>
      <c r="BL117" s="55"/>
      <c r="BM117" s="55"/>
      <c r="BN117" s="55"/>
    </row>
    <row r="118" spans="1:66" x14ac:dyDescent="0.25">
      <c r="A118" s="55"/>
      <c r="B118" s="135"/>
      <c r="C118" s="55"/>
      <c r="D118" s="55"/>
      <c r="E118" s="55"/>
      <c r="F118" s="55"/>
      <c r="G118" s="136"/>
      <c r="H118" s="55"/>
      <c r="I118" s="55"/>
      <c r="J118" s="55"/>
      <c r="K118" s="55"/>
      <c r="L118" s="55"/>
      <c r="M118" s="55"/>
      <c r="N118" s="55"/>
      <c r="O118" s="55"/>
      <c r="P118" s="55"/>
      <c r="Q118" s="55"/>
      <c r="R118" s="55"/>
      <c r="S118" s="55"/>
      <c r="T118" s="55"/>
      <c r="U118" s="55"/>
      <c r="V118" s="55"/>
      <c r="W118" s="55"/>
      <c r="X118" s="55"/>
      <c r="Y118" s="55"/>
      <c r="Z118" s="55"/>
      <c r="AA118" s="55"/>
      <c r="AB118" s="55"/>
      <c r="AC118" s="55"/>
      <c r="AD118" s="55"/>
      <c r="AE118" s="55"/>
      <c r="AF118" s="55"/>
      <c r="AG118" s="55"/>
      <c r="AH118" s="55"/>
      <c r="AI118" s="55"/>
      <c r="AJ118" s="55"/>
      <c r="AK118" s="55"/>
      <c r="AL118" s="55"/>
      <c r="AM118" s="55"/>
      <c r="AN118" s="55"/>
      <c r="AO118" s="55"/>
      <c r="AP118" s="55"/>
      <c r="AQ118" s="55"/>
      <c r="AR118" s="55"/>
      <c r="AS118" s="55"/>
      <c r="AT118" s="55"/>
      <c r="AU118" s="55"/>
      <c r="AV118" s="55"/>
      <c r="AW118" s="55"/>
      <c r="AX118" s="55"/>
      <c r="AY118" s="55"/>
      <c r="AZ118" s="55"/>
      <c r="BA118" s="55"/>
      <c r="BB118" s="55"/>
      <c r="BC118" s="55"/>
      <c r="BD118" s="55"/>
      <c r="BE118" s="55"/>
      <c r="BF118" s="55"/>
      <c r="BG118" s="55"/>
      <c r="BH118" s="55"/>
      <c r="BI118" s="55"/>
      <c r="BJ118" s="55"/>
      <c r="BK118" s="55"/>
      <c r="BL118" s="55"/>
      <c r="BM118" s="55"/>
      <c r="BN118" s="55"/>
    </row>
  </sheetData>
  <mergeCells count="48">
    <mergeCell ref="A48:Z48"/>
    <mergeCell ref="I35:X35"/>
    <mergeCell ref="I29:X29"/>
    <mergeCell ref="E30:E35"/>
    <mergeCell ref="I31:X31"/>
    <mergeCell ref="I32:X32"/>
    <mergeCell ref="I33:X33"/>
    <mergeCell ref="I30:X30"/>
    <mergeCell ref="C30:C35"/>
    <mergeCell ref="D30:D35"/>
    <mergeCell ref="I34:X34"/>
    <mergeCell ref="I43:X43"/>
    <mergeCell ref="A40:A43"/>
    <mergeCell ref="B40:B43"/>
    <mergeCell ref="C40:C43"/>
    <mergeCell ref="D40:D43"/>
    <mergeCell ref="H15:H16"/>
    <mergeCell ref="H21:H22"/>
    <mergeCell ref="D23:D26"/>
    <mergeCell ref="A9:A14"/>
    <mergeCell ref="B9:B14"/>
    <mergeCell ref="E9:E14"/>
    <mergeCell ref="E15:E20"/>
    <mergeCell ref="D9:D14"/>
    <mergeCell ref="D15:D16"/>
    <mergeCell ref="B15:B26"/>
    <mergeCell ref="C15:C26"/>
    <mergeCell ref="AU32:AX32"/>
    <mergeCell ref="AG32:AK32"/>
    <mergeCell ref="AB32:AF32"/>
    <mergeCell ref="AL32:AP32"/>
    <mergeCell ref="A1:X1"/>
    <mergeCell ref="D21:D22"/>
    <mergeCell ref="E21:E26"/>
    <mergeCell ref="A15:A26"/>
    <mergeCell ref="E3:E8"/>
    <mergeCell ref="B3:B8"/>
    <mergeCell ref="A3:A8"/>
    <mergeCell ref="D3:D8"/>
    <mergeCell ref="C3:C8"/>
    <mergeCell ref="C9:C14"/>
    <mergeCell ref="H9:H10"/>
    <mergeCell ref="D17:D20"/>
    <mergeCell ref="E40:E43"/>
    <mergeCell ref="F40:F43"/>
    <mergeCell ref="G40:G43"/>
    <mergeCell ref="C28:J28"/>
    <mergeCell ref="AQ32:AT32"/>
  </mergeCells>
  <phoneticPr fontId="6" type="noConversion"/>
  <hyperlinks>
    <hyperlink ref="H30" r:id="rId1" xr:uid="{9153F47E-FCBB-42B5-A7E2-9AE58445F5C5}"/>
    <hyperlink ref="H31:H32" r:id="rId2" display="2022 CASE report (Table 38)" xr:uid="{AB6FEC5D-A312-48E5-9443-3858096808B6}"/>
    <hyperlink ref="E37" r:id="rId3" xr:uid="{25C90A1D-2413-41E3-8163-A6D94106D91D}"/>
  </hyperlinks>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C1672-9EE3-40E4-AB75-7F6046861D1F}">
  <sheetPr codeName="Sheet6"/>
  <dimension ref="A1:AM97"/>
  <sheetViews>
    <sheetView zoomScale="85" zoomScaleNormal="85" workbookViewId="0">
      <selection sqref="A1:G1"/>
    </sheetView>
  </sheetViews>
  <sheetFormatPr defaultColWidth="8.6640625" defaultRowHeight="13.2" x14ac:dyDescent="0.25"/>
  <cols>
    <col min="1" max="1" width="26" style="57" customWidth="1"/>
    <col min="2" max="2" width="23.109375" style="57" customWidth="1"/>
    <col min="3" max="3" width="31.109375" style="57" customWidth="1"/>
    <col min="4" max="4" width="31.44140625" style="57" customWidth="1"/>
    <col min="5" max="5" width="30.33203125" style="57" customWidth="1"/>
    <col min="6" max="6" width="46.44140625" style="57" customWidth="1"/>
    <col min="7" max="7" width="42" style="57" customWidth="1"/>
    <col min="8" max="8" width="41" style="57" customWidth="1"/>
    <col min="9" max="12" width="12.6640625" style="57" customWidth="1"/>
    <col min="13" max="20" width="15.33203125" style="57" customWidth="1"/>
    <col min="21" max="21" width="14.6640625" style="57" customWidth="1"/>
    <col min="22" max="22" width="13.5546875" style="57" customWidth="1"/>
    <col min="23" max="23" width="15.6640625" style="57" customWidth="1"/>
    <col min="24" max="30" width="11" style="57" customWidth="1"/>
    <col min="31" max="39" width="6.5546875" style="57" customWidth="1"/>
    <col min="40" max="40" width="8.6640625" style="57" customWidth="1"/>
    <col min="41" max="16384" width="8.6640625" style="57"/>
  </cols>
  <sheetData>
    <row r="1" spans="1:13" ht="27" customHeight="1" x14ac:dyDescent="0.25">
      <c r="A1" s="849" t="str">
        <f>"HVAC system - "&amp;Prototype!A2</f>
        <v>HVAC system - RestaurantFastFood</v>
      </c>
      <c r="B1" s="849"/>
      <c r="C1" s="849"/>
      <c r="D1" s="849"/>
      <c r="E1" s="849"/>
      <c r="F1" s="849"/>
      <c r="G1" s="849"/>
      <c r="H1" s="59"/>
    </row>
    <row r="2" spans="1:13" ht="22.2" customHeight="1" x14ac:dyDescent="0.25">
      <c r="A2" s="770" t="s">
        <v>234</v>
      </c>
      <c r="B2" s="770" t="s">
        <v>204</v>
      </c>
      <c r="C2" s="770" t="s">
        <v>322</v>
      </c>
      <c r="D2" s="770" t="s">
        <v>323</v>
      </c>
      <c r="E2" s="770" t="s">
        <v>324</v>
      </c>
      <c r="F2" s="770" t="s">
        <v>325</v>
      </c>
      <c r="G2" s="770" t="s">
        <v>288</v>
      </c>
    </row>
    <row r="3" spans="1:13" ht="30.6" customHeight="1" x14ac:dyDescent="0.25">
      <c r="A3" s="852" t="s">
        <v>326</v>
      </c>
      <c r="B3" s="669" t="s">
        <v>107</v>
      </c>
      <c r="C3" s="260" t="s">
        <v>327</v>
      </c>
      <c r="D3" s="367" t="s">
        <v>328</v>
      </c>
      <c r="E3" s="367" t="s">
        <v>329</v>
      </c>
      <c r="F3" s="260" t="s">
        <v>330</v>
      </c>
      <c r="G3" s="852" t="s">
        <v>331</v>
      </c>
    </row>
    <row r="4" spans="1:13" ht="39.6" x14ac:dyDescent="0.25">
      <c r="A4" s="861"/>
      <c r="B4" s="669" t="s">
        <v>108</v>
      </c>
      <c r="C4" s="750" t="s">
        <v>327</v>
      </c>
      <c r="D4" s="381" t="s">
        <v>328</v>
      </c>
      <c r="E4" s="381" t="s">
        <v>329</v>
      </c>
      <c r="F4" s="260" t="s">
        <v>332</v>
      </c>
      <c r="G4" s="853"/>
    </row>
    <row r="5" spans="1:13" ht="30.6" customHeight="1" x14ac:dyDescent="0.25">
      <c r="A5" s="852" t="s">
        <v>333</v>
      </c>
      <c r="B5" s="669" t="s">
        <v>107</v>
      </c>
      <c r="C5" s="750" t="s">
        <v>327</v>
      </c>
      <c r="D5" s="381" t="s">
        <v>328</v>
      </c>
      <c r="E5" s="381" t="s">
        <v>329</v>
      </c>
      <c r="F5" s="617" t="s">
        <v>334</v>
      </c>
      <c r="G5" s="850" t="s">
        <v>335</v>
      </c>
      <c r="H5" s="57" t="s">
        <v>336</v>
      </c>
    </row>
    <row r="6" spans="1:13" ht="47.4" customHeight="1" x14ac:dyDescent="0.25">
      <c r="A6" s="853"/>
      <c r="B6" s="669" t="s">
        <v>108</v>
      </c>
      <c r="C6" s="750" t="s">
        <v>327</v>
      </c>
      <c r="D6" s="381" t="s">
        <v>328</v>
      </c>
      <c r="E6" s="381" t="s">
        <v>329</v>
      </c>
      <c r="F6" s="617" t="s">
        <v>337</v>
      </c>
      <c r="G6" s="851"/>
      <c r="H6" s="745"/>
      <c r="I6" s="745"/>
      <c r="J6" s="59"/>
      <c r="K6" s="59"/>
      <c r="L6" s="59"/>
      <c r="M6" s="59"/>
    </row>
    <row r="7" spans="1:13" x14ac:dyDescent="0.25">
      <c r="H7" s="59"/>
      <c r="I7" s="59"/>
      <c r="J7" s="59"/>
      <c r="K7" s="59"/>
      <c r="L7" s="59"/>
      <c r="M7" s="59"/>
    </row>
    <row r="8" spans="1:13" x14ac:dyDescent="0.25">
      <c r="K8" s="59"/>
      <c r="L8" s="59"/>
      <c r="M8" s="59"/>
    </row>
    <row r="9" spans="1:13" x14ac:dyDescent="0.25">
      <c r="K9" s="59"/>
      <c r="L9" s="59"/>
      <c r="M9" s="59"/>
    </row>
    <row r="11" spans="1:13" x14ac:dyDescent="0.25">
      <c r="A11" s="59"/>
      <c r="B11" s="59"/>
      <c r="C11" s="59"/>
      <c r="D11" s="59"/>
      <c r="E11" s="59"/>
      <c r="F11" s="59"/>
    </row>
    <row r="12" spans="1:13" ht="45" customHeight="1" x14ac:dyDescent="0.25">
      <c r="A12" s="849" t="s">
        <v>338</v>
      </c>
      <c r="B12" s="849"/>
      <c r="C12" s="849"/>
      <c r="D12" s="849"/>
      <c r="E12" s="849"/>
      <c r="F12" s="849"/>
      <c r="G12" s="849"/>
    </row>
    <row r="13" spans="1:13" ht="52.2" customHeight="1" x14ac:dyDescent="0.25">
      <c r="A13" s="82" t="s">
        <v>234</v>
      </c>
      <c r="B13" s="112" t="s">
        <v>339</v>
      </c>
      <c r="C13" s="112" t="s">
        <v>340</v>
      </c>
      <c r="D13" s="112" t="s">
        <v>341</v>
      </c>
      <c r="E13" s="341" t="s">
        <v>342</v>
      </c>
      <c r="F13" s="770" t="s">
        <v>288</v>
      </c>
      <c r="G13" s="770" t="s">
        <v>343</v>
      </c>
    </row>
    <row r="14" spans="1:13" ht="34.200000000000003" customHeight="1" x14ac:dyDescent="0.3">
      <c r="A14" s="260" t="s">
        <v>256</v>
      </c>
      <c r="B14" s="854">
        <v>2008</v>
      </c>
      <c r="C14" s="854" t="s">
        <v>344</v>
      </c>
      <c r="D14" s="854" t="s">
        <v>345</v>
      </c>
      <c r="E14" s="854" t="s">
        <v>346</v>
      </c>
      <c r="F14" s="854" t="s">
        <v>347</v>
      </c>
      <c r="G14" s="854" t="s">
        <v>348</v>
      </c>
      <c r="H14"/>
    </row>
    <row r="15" spans="1:13" ht="34.200000000000003" customHeight="1" x14ac:dyDescent="0.25">
      <c r="A15" s="260" t="s">
        <v>258</v>
      </c>
      <c r="B15" s="855"/>
      <c r="C15" s="855"/>
      <c r="D15" s="855"/>
      <c r="E15" s="855"/>
      <c r="F15" s="855"/>
      <c r="G15" s="855"/>
    </row>
    <row r="16" spans="1:13" ht="34.200000000000003" customHeight="1" x14ac:dyDescent="0.25">
      <c r="A16" s="260" t="s">
        <v>260</v>
      </c>
      <c r="B16" s="856"/>
      <c r="C16" s="856"/>
      <c r="D16" s="856"/>
      <c r="E16" s="856"/>
      <c r="F16" s="856"/>
      <c r="G16" s="856"/>
    </row>
    <row r="17" spans="1:9" ht="39.75" customHeight="1" x14ac:dyDescent="0.25">
      <c r="A17" s="260" t="s">
        <v>262</v>
      </c>
      <c r="B17" s="260">
        <v>2013</v>
      </c>
      <c r="C17" s="260" t="s">
        <v>344</v>
      </c>
      <c r="D17" s="260" t="s">
        <v>349</v>
      </c>
      <c r="E17" s="260" t="s">
        <v>350</v>
      </c>
      <c r="F17" s="260" t="s">
        <v>351</v>
      </c>
      <c r="G17" s="260" t="s">
        <v>352</v>
      </c>
    </row>
    <row r="18" spans="1:9" ht="51" customHeight="1" x14ac:dyDescent="0.25">
      <c r="A18" s="260" t="s">
        <v>333</v>
      </c>
      <c r="B18" s="260">
        <v>2025</v>
      </c>
      <c r="C18" s="260" t="s">
        <v>344</v>
      </c>
      <c r="D18" s="260" t="s">
        <v>353</v>
      </c>
      <c r="E18" s="260" t="s">
        <v>350</v>
      </c>
      <c r="F18" s="260" t="s">
        <v>354</v>
      </c>
      <c r="G18" s="342" t="s">
        <v>355</v>
      </c>
    </row>
    <row r="19" spans="1:9" x14ac:dyDescent="0.25">
      <c r="C19" s="60"/>
      <c r="D19" s="60"/>
      <c r="E19" s="60"/>
    </row>
    <row r="20" spans="1:9" x14ac:dyDescent="0.25">
      <c r="C20" s="60"/>
      <c r="D20" s="60"/>
      <c r="E20" s="83"/>
      <c r="F20" s="60"/>
    </row>
    <row r="21" spans="1:9" x14ac:dyDescent="0.25">
      <c r="C21" s="60"/>
      <c r="D21" s="60"/>
      <c r="E21" s="83"/>
      <c r="F21" s="60"/>
    </row>
    <row r="22" spans="1:9" ht="27" customHeight="1" x14ac:dyDescent="0.25">
      <c r="A22" s="857" t="s">
        <v>356</v>
      </c>
      <c r="B22" s="857"/>
      <c r="C22" s="857"/>
      <c r="D22" s="858"/>
      <c r="E22" s="858"/>
      <c r="F22" s="858"/>
      <c r="G22" s="858"/>
      <c r="H22" s="858"/>
    </row>
    <row r="23" spans="1:9" ht="27.6" customHeight="1" x14ac:dyDescent="0.25">
      <c r="A23" s="769" t="s">
        <v>234</v>
      </c>
      <c r="B23" s="671" t="s">
        <v>357</v>
      </c>
      <c r="C23" s="671" t="s">
        <v>358</v>
      </c>
      <c r="D23" s="670" t="s">
        <v>359</v>
      </c>
      <c r="E23" s="670" t="s">
        <v>360</v>
      </c>
      <c r="F23" s="670" t="s">
        <v>361</v>
      </c>
      <c r="G23" s="670" t="s">
        <v>362</v>
      </c>
      <c r="H23" s="672" t="s">
        <v>363</v>
      </c>
    </row>
    <row r="24" spans="1:9" ht="54" customHeight="1" x14ac:dyDescent="0.25">
      <c r="A24" s="864" t="s">
        <v>264</v>
      </c>
      <c r="B24" s="865" t="s">
        <v>364</v>
      </c>
      <c r="C24" s="753" t="s">
        <v>365</v>
      </c>
      <c r="D24" s="753">
        <v>2.5</v>
      </c>
      <c r="E24" s="860">
        <v>0.65</v>
      </c>
      <c r="F24" s="859" t="s">
        <v>366</v>
      </c>
      <c r="G24" s="863"/>
      <c r="H24" s="859" t="s">
        <v>1011</v>
      </c>
    </row>
    <row r="25" spans="1:9" ht="54" customHeight="1" x14ac:dyDescent="0.25">
      <c r="A25" s="864"/>
      <c r="B25" s="865"/>
      <c r="C25" s="753" t="s">
        <v>367</v>
      </c>
      <c r="D25" s="753">
        <v>2.5</v>
      </c>
      <c r="E25" s="860"/>
      <c r="F25" s="859"/>
      <c r="G25" s="863"/>
      <c r="H25" s="859"/>
    </row>
    <row r="26" spans="1:9" ht="16.2" customHeight="1" x14ac:dyDescent="0.25">
      <c r="A26" s="618" t="s">
        <v>368</v>
      </c>
      <c r="B26" s="673"/>
      <c r="C26" s="214"/>
      <c r="D26" s="214"/>
      <c r="E26" s="674"/>
      <c r="F26" s="214"/>
      <c r="G26" s="214"/>
      <c r="H26" s="236"/>
      <c r="I26" s="130"/>
    </row>
    <row r="27" spans="1:9" ht="15.6" customHeight="1" x14ac:dyDescent="0.25">
      <c r="A27" s="618" t="s">
        <v>369</v>
      </c>
      <c r="B27" s="132"/>
      <c r="C27" s="132"/>
      <c r="D27" s="213"/>
      <c r="E27" s="132"/>
      <c r="F27" s="214"/>
      <c r="G27" s="214"/>
      <c r="H27" s="236"/>
    </row>
    <row r="28" spans="1:9" ht="31.5" customHeight="1" x14ac:dyDescent="0.25">
      <c r="A28" s="864" t="s">
        <v>333</v>
      </c>
      <c r="B28" s="867" t="s">
        <v>370</v>
      </c>
      <c r="C28" s="752" t="s">
        <v>371</v>
      </c>
      <c r="D28" s="752" t="s">
        <v>372</v>
      </c>
      <c r="E28" s="859">
        <v>0.65</v>
      </c>
      <c r="F28" s="859" t="s">
        <v>373</v>
      </c>
      <c r="G28" s="752">
        <v>0.8</v>
      </c>
      <c r="H28" s="868" t="s">
        <v>374</v>
      </c>
      <c r="I28" s="250"/>
    </row>
    <row r="29" spans="1:9" ht="31.5" customHeight="1" x14ac:dyDescent="0.25">
      <c r="A29" s="864"/>
      <c r="B29" s="867"/>
      <c r="C29" s="752" t="s">
        <v>375</v>
      </c>
      <c r="D29" s="752" t="s">
        <v>372</v>
      </c>
      <c r="E29" s="859"/>
      <c r="F29" s="859"/>
      <c r="G29" s="752">
        <v>0.8</v>
      </c>
      <c r="H29" s="869"/>
      <c r="I29" s="250"/>
    </row>
    <row r="30" spans="1:9" ht="26.4" x14ac:dyDescent="0.25">
      <c r="A30" s="864"/>
      <c r="B30" s="867"/>
      <c r="C30" s="752" t="s">
        <v>376</v>
      </c>
      <c r="D30" s="752" t="s">
        <v>372</v>
      </c>
      <c r="E30" s="859"/>
      <c r="F30" s="859"/>
      <c r="G30" s="752">
        <v>0.78</v>
      </c>
      <c r="H30" s="870"/>
      <c r="I30" s="250"/>
    </row>
    <row r="31" spans="1:9" ht="31.5" customHeight="1" x14ac:dyDescent="0.25">
      <c r="A31" s="862" t="s">
        <v>377</v>
      </c>
      <c r="B31" s="866"/>
      <c r="C31" s="866"/>
      <c r="D31" s="866"/>
      <c r="E31" s="866"/>
      <c r="F31" s="866"/>
      <c r="G31" s="866"/>
      <c r="H31" s="866"/>
      <c r="I31" s="250"/>
    </row>
    <row r="32" spans="1:9" ht="57" customHeight="1" x14ac:dyDescent="0.25">
      <c r="A32" s="862" t="s">
        <v>378</v>
      </c>
      <c r="B32" s="862"/>
      <c r="C32" s="862"/>
      <c r="D32" s="862"/>
      <c r="E32" s="862"/>
      <c r="F32" s="862"/>
      <c r="G32" s="862"/>
      <c r="H32" s="862"/>
      <c r="I32" s="250"/>
    </row>
    <row r="33" spans="1:9" ht="19.350000000000001" customHeight="1" x14ac:dyDescent="0.25">
      <c r="A33" s="677"/>
      <c r="B33" s="677"/>
      <c r="C33" s="677"/>
      <c r="D33" s="677"/>
      <c r="E33" s="677"/>
      <c r="F33" s="677"/>
      <c r="G33" s="677"/>
      <c r="H33" s="677"/>
      <c r="I33" s="183"/>
    </row>
    <row r="34" spans="1:9" ht="63.75" customHeight="1" x14ac:dyDescent="0.25">
      <c r="A34" s="677"/>
      <c r="B34" s="677"/>
      <c r="C34" s="677"/>
      <c r="D34" s="677"/>
      <c r="E34" s="677"/>
      <c r="F34" s="677"/>
      <c r="G34" s="677"/>
      <c r="H34" s="677"/>
      <c r="I34" s="183"/>
    </row>
    <row r="35" spans="1:9" ht="12.75" customHeight="1" x14ac:dyDescent="0.25">
      <c r="A35" s="677"/>
      <c r="B35" s="677"/>
      <c r="C35" s="677"/>
      <c r="D35" s="677"/>
      <c r="E35" s="677"/>
      <c r="F35" s="677"/>
      <c r="G35" s="677"/>
      <c r="H35" s="677"/>
      <c r="I35" s="183"/>
    </row>
    <row r="36" spans="1:9" ht="13.95" customHeight="1" x14ac:dyDescent="0.25">
      <c r="A36" s="60"/>
      <c r="B36" s="675"/>
      <c r="E36" s="676"/>
    </row>
    <row r="37" spans="1:9" ht="13.95" customHeight="1" x14ac:dyDescent="0.25">
      <c r="A37" s="60"/>
      <c r="B37" s="675"/>
      <c r="E37" s="676"/>
    </row>
    <row r="38" spans="1:9" ht="13.95" customHeight="1" x14ac:dyDescent="0.25">
      <c r="A38" s="60"/>
      <c r="B38" s="675"/>
      <c r="E38" s="676"/>
    </row>
    <row r="39" spans="1:9" ht="13.95" customHeight="1" x14ac:dyDescent="0.25">
      <c r="A39" s="60"/>
      <c r="B39" s="675"/>
      <c r="E39" s="676"/>
    </row>
    <row r="40" spans="1:9" ht="13.95" customHeight="1" x14ac:dyDescent="0.25">
      <c r="A40" s="675"/>
      <c r="B40" s="675"/>
      <c r="E40" s="676"/>
    </row>
    <row r="41" spans="1:9" ht="13.95" customHeight="1" x14ac:dyDescent="0.25">
      <c r="E41" s="676"/>
    </row>
    <row r="42" spans="1:9" ht="13.95" customHeight="1" x14ac:dyDescent="0.25">
      <c r="E42" s="676"/>
    </row>
    <row r="43" spans="1:9" ht="13.95" customHeight="1" x14ac:dyDescent="0.25">
      <c r="E43" s="676"/>
    </row>
    <row r="44" spans="1:9" ht="13.95" customHeight="1" x14ac:dyDescent="0.25">
      <c r="E44" s="676"/>
    </row>
    <row r="45" spans="1:9" ht="13.95" customHeight="1" x14ac:dyDescent="0.25">
      <c r="E45" s="676"/>
    </row>
    <row r="46" spans="1:9" ht="13.95" customHeight="1" x14ac:dyDescent="0.25">
      <c r="E46" s="676"/>
    </row>
    <row r="47" spans="1:9" ht="13.95" customHeight="1" x14ac:dyDescent="0.25">
      <c r="E47" s="676"/>
    </row>
    <row r="48" spans="1:9" ht="13.95" customHeight="1" x14ac:dyDescent="0.25">
      <c r="A48" s="129"/>
      <c r="E48" s="676"/>
    </row>
    <row r="49" spans="1:39" s="71" customFormat="1" ht="13.2" hidden="1" customHeight="1" x14ac:dyDescent="0.25">
      <c r="A49" s="71" t="s">
        <v>88</v>
      </c>
    </row>
    <row r="50" spans="1:39" ht="13.2" hidden="1" customHeight="1" x14ac:dyDescent="0.25">
      <c r="V50" s="78"/>
      <c r="W50" s="98"/>
      <c r="X50" s="99"/>
      <c r="Y50" s="99"/>
      <c r="Z50" s="99"/>
      <c r="AA50" s="99"/>
      <c r="AB50" s="99"/>
      <c r="AC50" s="99"/>
      <c r="AD50" s="99"/>
      <c r="AE50" s="99"/>
      <c r="AF50" s="99"/>
      <c r="AG50" s="99"/>
      <c r="AH50" s="99"/>
      <c r="AI50" s="99"/>
      <c r="AJ50" s="99"/>
      <c r="AK50" s="99"/>
      <c r="AL50" s="99"/>
      <c r="AM50" s="99"/>
    </row>
    <row r="51" spans="1:39" ht="15.6" hidden="1" x14ac:dyDescent="0.25">
      <c r="A51" s="182" t="s">
        <v>379</v>
      </c>
      <c r="B51" s="116"/>
      <c r="V51" s="78"/>
      <c r="W51" s="98"/>
      <c r="X51" s="99"/>
      <c r="Y51" s="99"/>
      <c r="Z51" s="99"/>
      <c r="AA51" s="99"/>
      <c r="AB51" s="99"/>
      <c r="AC51" s="99"/>
      <c r="AD51" s="99"/>
      <c r="AE51" s="99"/>
      <c r="AF51" s="99"/>
      <c r="AG51" s="99"/>
      <c r="AH51" s="99"/>
      <c r="AI51" s="99"/>
      <c r="AJ51" s="99"/>
      <c r="AK51" s="99"/>
      <c r="AL51" s="99"/>
      <c r="AM51" s="99"/>
    </row>
    <row r="52" spans="1:39" hidden="1" x14ac:dyDescent="0.25">
      <c r="A52" s="837"/>
      <c r="B52" s="842" t="s">
        <v>322</v>
      </c>
      <c r="C52" s="843"/>
      <c r="D52" s="844"/>
      <c r="E52" s="835" t="s">
        <v>323</v>
      </c>
      <c r="F52" s="836"/>
      <c r="G52" s="179" t="s">
        <v>324</v>
      </c>
      <c r="H52" s="180" t="s">
        <v>380</v>
      </c>
      <c r="T52" s="78"/>
      <c r="U52" s="80"/>
    </row>
    <row r="53" spans="1:39" ht="14.4" hidden="1" customHeight="1" x14ac:dyDescent="0.25">
      <c r="A53" s="838"/>
      <c r="B53" s="840" t="s">
        <v>381</v>
      </c>
      <c r="C53" s="840" t="s">
        <v>382</v>
      </c>
      <c r="D53" s="840" t="s">
        <v>383</v>
      </c>
      <c r="E53" s="847" t="s">
        <v>384</v>
      </c>
      <c r="F53" s="847" t="s">
        <v>385</v>
      </c>
      <c r="G53" s="845" t="s">
        <v>386</v>
      </c>
      <c r="H53" s="833" t="s">
        <v>383</v>
      </c>
      <c r="T53" s="78"/>
      <c r="U53" s="80"/>
    </row>
    <row r="54" spans="1:39" ht="37.950000000000003" hidden="1" customHeight="1" x14ac:dyDescent="0.25">
      <c r="A54" s="839"/>
      <c r="B54" s="841"/>
      <c r="C54" s="841"/>
      <c r="D54" s="841"/>
      <c r="E54" s="848"/>
      <c r="F54" s="848"/>
      <c r="G54" s="846"/>
      <c r="H54" s="834"/>
      <c r="T54" s="78"/>
      <c r="U54" s="80"/>
    </row>
    <row r="55" spans="1:39" ht="26.4" hidden="1" x14ac:dyDescent="0.25">
      <c r="A55" s="177" t="s">
        <v>50</v>
      </c>
      <c r="B55" s="277">
        <v>0.89706104559612265</v>
      </c>
      <c r="C55" s="669" t="s">
        <v>387</v>
      </c>
      <c r="D55" s="178" t="s">
        <v>388</v>
      </c>
      <c r="E55" s="278">
        <v>0.91014945678856884</v>
      </c>
      <c r="F55" s="669" t="s">
        <v>389</v>
      </c>
      <c r="G55" s="279" t="s">
        <v>390</v>
      </c>
      <c r="H55" s="181" t="s">
        <v>391</v>
      </c>
      <c r="T55" s="78"/>
      <c r="U55" s="80"/>
    </row>
    <row r="56" spans="1:39" ht="14.4" hidden="1" x14ac:dyDescent="0.25">
      <c r="A56" s="306"/>
      <c r="B56" s="307"/>
      <c r="C56" s="61"/>
      <c r="D56" s="308"/>
      <c r="E56" s="309"/>
      <c r="F56" s="61"/>
      <c r="G56" s="61"/>
      <c r="H56" s="308"/>
      <c r="T56" s="78"/>
      <c r="U56" s="80"/>
    </row>
    <row r="57" spans="1:39" ht="14.4" hidden="1" x14ac:dyDescent="0.25">
      <c r="A57" s="306"/>
      <c r="B57" s="307"/>
      <c r="C57" s="61"/>
      <c r="D57" s="308"/>
      <c r="E57" s="309"/>
      <c r="F57" s="61"/>
      <c r="G57" s="61"/>
      <c r="H57" s="308"/>
      <c r="T57" s="78"/>
      <c r="U57" s="80"/>
    </row>
    <row r="58" spans="1:39" ht="14.4" hidden="1" x14ac:dyDescent="0.25">
      <c r="A58" s="306"/>
      <c r="B58" s="307"/>
      <c r="C58" s="61"/>
      <c r="D58" s="308"/>
      <c r="E58" s="309"/>
      <c r="F58" s="61"/>
      <c r="G58" s="61"/>
      <c r="H58" s="308"/>
      <c r="T58" s="78"/>
      <c r="U58" s="80"/>
    </row>
    <row r="59" spans="1:39" ht="14.4" hidden="1" x14ac:dyDescent="0.25">
      <c r="A59" s="373" t="s">
        <v>392</v>
      </c>
      <c r="B59" s="307"/>
      <c r="C59" s="61"/>
      <c r="D59" s="308"/>
      <c r="E59" s="309"/>
      <c r="F59" s="61"/>
      <c r="G59" s="61"/>
      <c r="H59" s="308"/>
      <c r="T59" s="78"/>
      <c r="U59" s="80"/>
    </row>
    <row r="60" spans="1:39" ht="14.4" hidden="1" x14ac:dyDescent="0.3">
      <c r="A60" s="310" t="s">
        <v>393</v>
      </c>
      <c r="C60" s="240"/>
      <c r="D60" s="240"/>
      <c r="E60" s="240"/>
      <c r="F60" s="59"/>
      <c r="G60" s="61"/>
      <c r="H60" s="308"/>
      <c r="T60" s="78"/>
      <c r="U60" s="80"/>
    </row>
    <row r="61" spans="1:39" hidden="1" x14ac:dyDescent="0.25">
      <c r="A61" s="745"/>
      <c r="B61" s="745"/>
      <c r="C61" s="59"/>
      <c r="D61" s="59"/>
      <c r="E61" s="59"/>
      <c r="F61" s="59"/>
      <c r="V61" s="79"/>
      <c r="X61" s="78"/>
      <c r="Y61" s="78"/>
      <c r="Z61" s="78"/>
      <c r="AA61" s="78"/>
      <c r="AB61" s="78"/>
      <c r="AC61" s="78"/>
      <c r="AD61" s="78"/>
      <c r="AE61" s="78"/>
      <c r="AF61" s="78"/>
      <c r="AG61" s="78"/>
      <c r="AH61" s="78"/>
      <c r="AI61" s="78"/>
      <c r="AJ61" s="78"/>
      <c r="AK61" s="78"/>
      <c r="AL61" s="78"/>
      <c r="AM61" s="78"/>
    </row>
    <row r="62" spans="1:39" hidden="1" x14ac:dyDescent="0.25">
      <c r="A62" s="745"/>
      <c r="B62" s="745"/>
      <c r="C62" s="59"/>
      <c r="D62" s="59"/>
      <c r="E62" s="59"/>
      <c r="F62" s="59"/>
      <c r="V62" s="78"/>
    </row>
    <row r="63" spans="1:39" hidden="1" x14ac:dyDescent="0.25">
      <c r="V63" s="78"/>
      <c r="W63" s="80"/>
    </row>
    <row r="64" spans="1:39" hidden="1" x14ac:dyDescent="0.25"/>
    <row r="65" spans="1:6" hidden="1" x14ac:dyDescent="0.25"/>
    <row r="66" spans="1:6" hidden="1" x14ac:dyDescent="0.25"/>
    <row r="67" spans="1:6" hidden="1" x14ac:dyDescent="0.25">
      <c r="A67" s="59"/>
      <c r="B67" s="59"/>
      <c r="C67" s="59"/>
      <c r="D67" s="59"/>
      <c r="E67" s="59"/>
      <c r="F67" s="59"/>
    </row>
    <row r="68" spans="1:6" hidden="1" x14ac:dyDescent="0.25">
      <c r="A68" s="59"/>
      <c r="B68" s="59"/>
      <c r="C68" s="59"/>
      <c r="D68" s="59"/>
      <c r="E68" s="59"/>
      <c r="F68" s="59"/>
    </row>
    <row r="69" spans="1:6" s="58" customFormat="1" hidden="1" x14ac:dyDescent="0.25">
      <c r="A69" s="58" t="s">
        <v>394</v>
      </c>
      <c r="B69" s="189"/>
      <c r="C69" s="58" t="s">
        <v>395</v>
      </c>
      <c r="D69" s="280"/>
      <c r="F69" s="58" t="s">
        <v>396</v>
      </c>
    </row>
    <row r="70" spans="1:6" ht="14.4" hidden="1" x14ac:dyDescent="0.3">
      <c r="C70"/>
      <c r="F70"/>
    </row>
    <row r="71" spans="1:6" hidden="1" x14ac:dyDescent="0.25"/>
    <row r="72" spans="1:6" hidden="1" x14ac:dyDescent="0.25"/>
    <row r="73" spans="1:6" hidden="1" x14ac:dyDescent="0.25"/>
    <row r="74" spans="1:6" hidden="1" x14ac:dyDescent="0.25"/>
    <row r="75" spans="1:6" hidden="1" x14ac:dyDescent="0.25"/>
    <row r="76" spans="1:6" hidden="1" x14ac:dyDescent="0.25"/>
    <row r="77" spans="1:6" hidden="1" x14ac:dyDescent="0.25"/>
    <row r="78" spans="1:6" hidden="1" x14ac:dyDescent="0.25"/>
    <row r="79" spans="1:6" hidden="1" x14ac:dyDescent="0.25"/>
    <row r="80" spans="1:6" hidden="1" x14ac:dyDescent="0.25"/>
    <row r="81" hidden="1" x14ac:dyDescent="0.25"/>
    <row r="82" hidden="1" x14ac:dyDescent="0.25"/>
    <row r="83" hidden="1" x14ac:dyDescent="0.25"/>
    <row r="84" hidden="1" x14ac:dyDescent="0.25"/>
    <row r="85" hidden="1" x14ac:dyDescent="0.25"/>
    <row r="86" hidden="1" x14ac:dyDescent="0.25"/>
    <row r="87" hidden="1" x14ac:dyDescent="0.25"/>
    <row r="88" hidden="1" x14ac:dyDescent="0.25"/>
    <row r="89" hidden="1" x14ac:dyDescent="0.25"/>
    <row r="90" hidden="1" x14ac:dyDescent="0.25"/>
    <row r="97" spans="1:6" x14ac:dyDescent="0.25">
      <c r="A97" s="59"/>
      <c r="B97" s="59"/>
      <c r="C97" s="59"/>
      <c r="D97" s="59"/>
      <c r="E97" s="59"/>
      <c r="F97" s="59"/>
    </row>
  </sheetData>
  <mergeCells count="36">
    <mergeCell ref="A32:H32"/>
    <mergeCell ref="F24:F25"/>
    <mergeCell ref="G24:G25"/>
    <mergeCell ref="A24:A25"/>
    <mergeCell ref="B24:B25"/>
    <mergeCell ref="A31:H31"/>
    <mergeCell ref="B28:B30"/>
    <mergeCell ref="A28:A30"/>
    <mergeCell ref="E28:E30"/>
    <mergeCell ref="F28:F30"/>
    <mergeCell ref="H28:H30"/>
    <mergeCell ref="A22:H22"/>
    <mergeCell ref="H24:H25"/>
    <mergeCell ref="E24:E25"/>
    <mergeCell ref="A3:A4"/>
    <mergeCell ref="A5:A6"/>
    <mergeCell ref="C14:C16"/>
    <mergeCell ref="A1:G1"/>
    <mergeCell ref="G5:G6"/>
    <mergeCell ref="G3:G4"/>
    <mergeCell ref="D14:D16"/>
    <mergeCell ref="F14:F16"/>
    <mergeCell ref="G14:G16"/>
    <mergeCell ref="B14:B16"/>
    <mergeCell ref="E14:E16"/>
    <mergeCell ref="A12:G12"/>
    <mergeCell ref="H53:H54"/>
    <mergeCell ref="E52:F52"/>
    <mergeCell ref="A52:A54"/>
    <mergeCell ref="D53:D54"/>
    <mergeCell ref="B52:D52"/>
    <mergeCell ref="G53:G54"/>
    <mergeCell ref="F53:F54"/>
    <mergeCell ref="E53:E54"/>
    <mergeCell ref="C53:C54"/>
    <mergeCell ref="B53:B54"/>
  </mergeCells>
  <phoneticPr fontId="6" type="noConversion"/>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CF2B8-D81A-4739-B3FD-7DE124AB8529}">
  <sheetPr codeName="Sheet7"/>
  <dimension ref="A1:S13"/>
  <sheetViews>
    <sheetView workbookViewId="0">
      <selection sqref="A1:S1"/>
    </sheetView>
  </sheetViews>
  <sheetFormatPr defaultRowHeight="14.4" x14ac:dyDescent="0.3"/>
  <cols>
    <col min="1" max="1" width="21.33203125" customWidth="1"/>
    <col min="2" max="2" width="26.109375" customWidth="1"/>
    <col min="19" max="19" width="24.6640625" customWidth="1"/>
  </cols>
  <sheetData>
    <row r="1" spans="1:19" ht="24" customHeight="1" x14ac:dyDescent="0.3">
      <c r="A1" s="810" t="str">
        <f>"Thermostat Setpoints - "&amp;Prototype!A2</f>
        <v>Thermostat Setpoints - RestaurantFastFood</v>
      </c>
      <c r="B1" s="810"/>
      <c r="C1" s="810"/>
      <c r="D1" s="810"/>
      <c r="E1" s="810"/>
      <c r="F1" s="810"/>
      <c r="G1" s="810"/>
      <c r="H1" s="810"/>
      <c r="I1" s="810"/>
      <c r="J1" s="810"/>
      <c r="K1" s="810"/>
      <c r="L1" s="810"/>
      <c r="M1" s="810"/>
      <c r="N1" s="810"/>
      <c r="O1" s="810"/>
      <c r="P1" s="810"/>
      <c r="Q1" s="810"/>
      <c r="R1" s="810"/>
      <c r="S1" s="810"/>
    </row>
    <row r="2" spans="1:19" ht="27.6" customHeight="1" x14ac:dyDescent="0.3">
      <c r="A2" s="114" t="s">
        <v>204</v>
      </c>
      <c r="B2" s="114" t="s">
        <v>397</v>
      </c>
      <c r="C2" s="115" t="s">
        <v>236</v>
      </c>
      <c r="D2" s="115" t="s">
        <v>237</v>
      </c>
      <c r="E2" s="115" t="s">
        <v>238</v>
      </c>
      <c r="F2" s="115" t="s">
        <v>239</v>
      </c>
      <c r="G2" s="115" t="s">
        <v>240</v>
      </c>
      <c r="H2" s="115" t="s">
        <v>241</v>
      </c>
      <c r="I2" s="115" t="s">
        <v>242</v>
      </c>
      <c r="J2" s="115" t="s">
        <v>243</v>
      </c>
      <c r="K2" s="115" t="s">
        <v>244</v>
      </c>
      <c r="L2" s="115" t="s">
        <v>245</v>
      </c>
      <c r="M2" s="115" t="s">
        <v>246</v>
      </c>
      <c r="N2" s="115" t="s">
        <v>247</v>
      </c>
      <c r="O2" s="115" t="s">
        <v>248</v>
      </c>
      <c r="P2" s="115" t="s">
        <v>249</v>
      </c>
      <c r="Q2" s="115" t="s">
        <v>250</v>
      </c>
      <c r="R2" s="115" t="s">
        <v>251</v>
      </c>
      <c r="S2" s="169" t="s">
        <v>288</v>
      </c>
    </row>
    <row r="3" spans="1:19" ht="20.399999999999999" customHeight="1" x14ac:dyDescent="0.3">
      <c r="A3" s="871" t="s">
        <v>107</v>
      </c>
      <c r="B3" s="744" t="s">
        <v>398</v>
      </c>
      <c r="C3" s="81">
        <v>70</v>
      </c>
      <c r="D3" s="81">
        <v>70</v>
      </c>
      <c r="E3" s="81">
        <v>70</v>
      </c>
      <c r="F3" s="81">
        <v>70</v>
      </c>
      <c r="G3" s="81">
        <v>70</v>
      </c>
      <c r="H3" s="81">
        <v>70</v>
      </c>
      <c r="I3" s="81">
        <v>70</v>
      </c>
      <c r="J3" s="81">
        <v>70</v>
      </c>
      <c r="K3" s="81">
        <v>70</v>
      </c>
      <c r="L3" s="81">
        <v>70</v>
      </c>
      <c r="M3" s="81">
        <v>70</v>
      </c>
      <c r="N3" s="81">
        <v>70</v>
      </c>
      <c r="O3" s="81">
        <v>70</v>
      </c>
      <c r="P3" s="81">
        <v>70</v>
      </c>
      <c r="Q3" s="81">
        <v>70</v>
      </c>
      <c r="R3" s="81">
        <v>70</v>
      </c>
      <c r="S3" s="872" t="s">
        <v>399</v>
      </c>
    </row>
    <row r="4" spans="1:19" ht="20.399999999999999" customHeight="1" x14ac:dyDescent="0.3">
      <c r="A4" s="871"/>
      <c r="B4" s="744" t="s">
        <v>400</v>
      </c>
      <c r="C4" s="81">
        <v>60</v>
      </c>
      <c r="D4" s="81">
        <v>60</v>
      </c>
      <c r="E4" s="81">
        <v>60</v>
      </c>
      <c r="F4" s="81">
        <v>60</v>
      </c>
      <c r="G4" s="81">
        <v>60</v>
      </c>
      <c r="H4" s="81">
        <v>60</v>
      </c>
      <c r="I4" s="81">
        <v>60</v>
      </c>
      <c r="J4" s="81">
        <v>60</v>
      </c>
      <c r="K4" s="81">
        <v>60</v>
      </c>
      <c r="L4" s="81">
        <v>60</v>
      </c>
      <c r="M4" s="81">
        <v>60</v>
      </c>
      <c r="N4" s="81">
        <v>60</v>
      </c>
      <c r="O4" s="81">
        <v>60</v>
      </c>
      <c r="P4" s="81">
        <v>60</v>
      </c>
      <c r="Q4" s="81">
        <v>60</v>
      </c>
      <c r="R4" s="81">
        <v>60</v>
      </c>
      <c r="S4" s="872"/>
    </row>
    <row r="5" spans="1:19" ht="20.399999999999999" customHeight="1" x14ac:dyDescent="0.3">
      <c r="A5" s="871"/>
      <c r="B5" s="744" t="s">
        <v>401</v>
      </c>
      <c r="C5" s="81">
        <v>75</v>
      </c>
      <c r="D5" s="81">
        <v>75</v>
      </c>
      <c r="E5" s="81">
        <v>75</v>
      </c>
      <c r="F5" s="81">
        <v>75</v>
      </c>
      <c r="G5" s="81">
        <v>75</v>
      </c>
      <c r="H5" s="81">
        <v>75</v>
      </c>
      <c r="I5" s="81">
        <v>75</v>
      </c>
      <c r="J5" s="81">
        <v>75</v>
      </c>
      <c r="K5" s="81">
        <v>75</v>
      </c>
      <c r="L5" s="81">
        <v>75</v>
      </c>
      <c r="M5" s="81">
        <v>75</v>
      </c>
      <c r="N5" s="81">
        <v>75</v>
      </c>
      <c r="O5" s="81">
        <v>75</v>
      </c>
      <c r="P5" s="81">
        <v>75</v>
      </c>
      <c r="Q5" s="81">
        <v>75</v>
      </c>
      <c r="R5" s="81">
        <v>75</v>
      </c>
      <c r="S5" s="872"/>
    </row>
    <row r="6" spans="1:19" ht="20.399999999999999" customHeight="1" x14ac:dyDescent="0.3">
      <c r="A6" s="871"/>
      <c r="B6" s="744" t="s">
        <v>402</v>
      </c>
      <c r="C6" s="81">
        <v>85</v>
      </c>
      <c r="D6" s="81">
        <v>85</v>
      </c>
      <c r="E6" s="81">
        <v>85</v>
      </c>
      <c r="F6" s="81">
        <v>85</v>
      </c>
      <c r="G6" s="81">
        <v>85</v>
      </c>
      <c r="H6" s="81">
        <v>85</v>
      </c>
      <c r="I6" s="81">
        <v>85</v>
      </c>
      <c r="J6" s="81">
        <v>85</v>
      </c>
      <c r="K6" s="81">
        <v>85</v>
      </c>
      <c r="L6" s="81">
        <v>85</v>
      </c>
      <c r="M6" s="81">
        <v>85</v>
      </c>
      <c r="N6" s="81">
        <v>85</v>
      </c>
      <c r="O6" s="81">
        <v>85</v>
      </c>
      <c r="P6" s="81">
        <v>85</v>
      </c>
      <c r="Q6" s="81">
        <v>85</v>
      </c>
      <c r="R6" s="81">
        <v>85</v>
      </c>
      <c r="S6" s="872"/>
    </row>
    <row r="7" spans="1:19" ht="20.399999999999999" customHeight="1" x14ac:dyDescent="0.3">
      <c r="A7" s="871" t="s">
        <v>108</v>
      </c>
      <c r="B7" s="744" t="s">
        <v>398</v>
      </c>
      <c r="C7" s="81">
        <v>66</v>
      </c>
      <c r="D7" s="81">
        <v>66</v>
      </c>
      <c r="E7" s="81">
        <v>66</v>
      </c>
      <c r="F7" s="81">
        <v>66</v>
      </c>
      <c r="G7" s="81">
        <v>66</v>
      </c>
      <c r="H7" s="81">
        <v>66</v>
      </c>
      <c r="I7" s="81">
        <v>66</v>
      </c>
      <c r="J7" s="81">
        <v>66</v>
      </c>
      <c r="K7" s="81">
        <v>66</v>
      </c>
      <c r="L7" s="81">
        <v>66</v>
      </c>
      <c r="M7" s="81">
        <v>66</v>
      </c>
      <c r="N7" s="81">
        <v>66</v>
      </c>
      <c r="O7" s="81">
        <v>66</v>
      </c>
      <c r="P7" s="81">
        <v>66</v>
      </c>
      <c r="Q7" s="81">
        <v>66</v>
      </c>
      <c r="R7" s="81">
        <v>66</v>
      </c>
      <c r="S7" s="873" t="s">
        <v>403</v>
      </c>
    </row>
    <row r="8" spans="1:19" ht="20.399999999999999" customHeight="1" x14ac:dyDescent="0.3">
      <c r="A8" s="871"/>
      <c r="B8" s="744" t="s">
        <v>400</v>
      </c>
      <c r="C8" s="81">
        <v>60</v>
      </c>
      <c r="D8" s="81">
        <v>60</v>
      </c>
      <c r="E8" s="81">
        <v>60</v>
      </c>
      <c r="F8" s="81">
        <v>60</v>
      </c>
      <c r="G8" s="81">
        <v>60</v>
      </c>
      <c r="H8" s="81">
        <v>60</v>
      </c>
      <c r="I8" s="81">
        <v>60</v>
      </c>
      <c r="J8" s="81">
        <v>60</v>
      </c>
      <c r="K8" s="81">
        <v>60</v>
      </c>
      <c r="L8" s="81">
        <v>60</v>
      </c>
      <c r="M8" s="81">
        <v>60</v>
      </c>
      <c r="N8" s="81">
        <v>60</v>
      </c>
      <c r="O8" s="81">
        <v>60</v>
      </c>
      <c r="P8" s="81">
        <v>60</v>
      </c>
      <c r="Q8" s="81">
        <v>60</v>
      </c>
      <c r="R8" s="81">
        <v>60</v>
      </c>
      <c r="S8" s="873"/>
    </row>
    <row r="9" spans="1:19" ht="20.399999999999999" customHeight="1" x14ac:dyDescent="0.3">
      <c r="A9" s="871"/>
      <c r="B9" s="744" t="s">
        <v>401</v>
      </c>
      <c r="C9" s="81">
        <v>79</v>
      </c>
      <c r="D9" s="81">
        <v>79</v>
      </c>
      <c r="E9" s="81">
        <v>79</v>
      </c>
      <c r="F9" s="81">
        <v>79</v>
      </c>
      <c r="G9" s="81">
        <v>79</v>
      </c>
      <c r="H9" s="81">
        <v>79</v>
      </c>
      <c r="I9" s="81">
        <v>79</v>
      </c>
      <c r="J9" s="81">
        <v>79</v>
      </c>
      <c r="K9" s="81">
        <v>79</v>
      </c>
      <c r="L9" s="81">
        <v>79</v>
      </c>
      <c r="M9" s="81">
        <v>79</v>
      </c>
      <c r="N9" s="81">
        <v>79</v>
      </c>
      <c r="O9" s="81">
        <v>79</v>
      </c>
      <c r="P9" s="81">
        <v>79</v>
      </c>
      <c r="Q9" s="81">
        <v>79</v>
      </c>
      <c r="R9" s="81">
        <v>79</v>
      </c>
      <c r="S9" s="873"/>
    </row>
    <row r="10" spans="1:19" ht="20.399999999999999" customHeight="1" x14ac:dyDescent="0.3">
      <c r="A10" s="871"/>
      <c r="B10" s="744" t="s">
        <v>402</v>
      </c>
      <c r="C10" s="81">
        <v>86</v>
      </c>
      <c r="D10" s="81">
        <v>86</v>
      </c>
      <c r="E10" s="81">
        <v>86</v>
      </c>
      <c r="F10" s="81">
        <v>86</v>
      </c>
      <c r="G10" s="81">
        <v>86</v>
      </c>
      <c r="H10" s="81">
        <v>86</v>
      </c>
      <c r="I10" s="81">
        <v>86</v>
      </c>
      <c r="J10" s="81">
        <v>86</v>
      </c>
      <c r="K10" s="81">
        <v>86</v>
      </c>
      <c r="L10" s="81">
        <v>86</v>
      </c>
      <c r="M10" s="81">
        <v>86</v>
      </c>
      <c r="N10" s="81">
        <v>86</v>
      </c>
      <c r="O10" s="81">
        <v>86</v>
      </c>
      <c r="P10" s="81">
        <v>86</v>
      </c>
      <c r="Q10" s="81">
        <v>86</v>
      </c>
      <c r="R10" s="81">
        <v>86</v>
      </c>
      <c r="S10" s="873"/>
    </row>
    <row r="12" spans="1:19" x14ac:dyDescent="0.3">
      <c r="A12" s="310" t="s">
        <v>404</v>
      </c>
    </row>
    <row r="13" spans="1:19" x14ac:dyDescent="0.3">
      <c r="A13" t="s">
        <v>405</v>
      </c>
    </row>
  </sheetData>
  <mergeCells count="5">
    <mergeCell ref="A3:A6"/>
    <mergeCell ref="A1:S1"/>
    <mergeCell ref="S3:S6"/>
    <mergeCell ref="A7:A10"/>
    <mergeCell ref="S7:S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30C9-5C61-418E-9D38-D82374F9BCB6}">
  <sheetPr codeName="Sheet15"/>
  <dimension ref="A1:AA196"/>
  <sheetViews>
    <sheetView zoomScaleNormal="100" workbookViewId="0">
      <selection sqref="A1:K1"/>
    </sheetView>
  </sheetViews>
  <sheetFormatPr defaultColWidth="9.33203125" defaultRowHeight="13.8" x14ac:dyDescent="0.25"/>
  <cols>
    <col min="1" max="1" width="32.44140625" style="103" customWidth="1"/>
    <col min="2" max="2" width="15.33203125" style="103" customWidth="1"/>
    <col min="3" max="3" width="19.33203125" style="103" customWidth="1"/>
    <col min="4" max="4" width="34.44140625" style="103" customWidth="1"/>
    <col min="5" max="5" width="27.33203125" style="103" customWidth="1"/>
    <col min="6" max="6" width="32.33203125" style="103" customWidth="1"/>
    <col min="7" max="7" width="16" style="103" customWidth="1"/>
    <col min="8" max="8" width="15.33203125" style="103" customWidth="1"/>
    <col min="9" max="9" width="16.88671875" style="103" customWidth="1"/>
    <col min="10" max="10" width="13.6640625" style="103" customWidth="1"/>
    <col min="11" max="11" width="30.5546875" style="103" customWidth="1"/>
    <col min="12" max="12" width="13.6640625" style="103" customWidth="1"/>
    <col min="13" max="13" width="11.6640625" style="103" customWidth="1"/>
    <col min="14" max="14" width="13.6640625" style="103" customWidth="1"/>
    <col min="15" max="15" width="12.33203125" style="103" customWidth="1"/>
    <col min="16" max="16" width="13.6640625" style="103" customWidth="1"/>
    <col min="17" max="17" width="12.33203125" style="103" customWidth="1"/>
    <col min="18" max="18" width="13.6640625" style="103" customWidth="1"/>
    <col min="19" max="19" width="11.6640625" style="103" customWidth="1"/>
    <col min="20" max="21" width="10.6640625" style="103" customWidth="1"/>
    <col min="22" max="22" width="9.33203125" style="103"/>
    <col min="23" max="27" width="11.33203125" style="103" customWidth="1"/>
    <col min="28" max="16384" width="9.33203125" style="103"/>
  </cols>
  <sheetData>
    <row r="1" spans="1:27" ht="24.6" customHeight="1" x14ac:dyDescent="0.25">
      <c r="A1" s="810" t="str">
        <f>"Outdoor Airflow Rate - "&amp;Prototype!A2</f>
        <v>Outdoor Airflow Rate - RestaurantFastFood</v>
      </c>
      <c r="B1" s="810"/>
      <c r="C1" s="810"/>
      <c r="D1" s="810"/>
      <c r="E1" s="810"/>
      <c r="F1" s="810"/>
      <c r="G1" s="810"/>
      <c r="H1" s="810"/>
      <c r="I1" s="810"/>
      <c r="J1" s="810"/>
      <c r="K1" s="810"/>
      <c r="L1" s="55"/>
      <c r="M1" s="55"/>
      <c r="N1" s="55"/>
      <c r="O1" s="55"/>
      <c r="P1" s="55"/>
      <c r="Q1" s="55"/>
      <c r="R1" s="55"/>
      <c r="S1" s="55"/>
      <c r="T1" s="55"/>
      <c r="U1" s="55"/>
      <c r="V1" s="55"/>
      <c r="W1" s="55"/>
      <c r="X1" s="55"/>
      <c r="Y1" s="55"/>
      <c r="Z1" s="55"/>
      <c r="AA1" s="55"/>
    </row>
    <row r="2" spans="1:27" ht="43.2" customHeight="1" x14ac:dyDescent="0.25">
      <c r="A2" s="215" t="s">
        <v>204</v>
      </c>
      <c r="B2" s="227" t="s">
        <v>213</v>
      </c>
      <c r="C2" s="227" t="s">
        <v>406</v>
      </c>
      <c r="D2" s="222" t="s">
        <v>407</v>
      </c>
      <c r="E2" s="222" t="s">
        <v>408</v>
      </c>
      <c r="F2" s="222" t="s">
        <v>409</v>
      </c>
      <c r="G2" s="222" t="s">
        <v>410</v>
      </c>
      <c r="H2" s="222" t="s">
        <v>411</v>
      </c>
      <c r="I2" s="222" t="s">
        <v>412</v>
      </c>
      <c r="J2" s="215" t="s">
        <v>413</v>
      </c>
      <c r="K2" s="215" t="s">
        <v>49</v>
      </c>
      <c r="L2" s="55"/>
      <c r="M2" s="55"/>
      <c r="N2" s="55"/>
      <c r="O2" s="55"/>
      <c r="P2" s="55"/>
      <c r="Q2" s="55"/>
      <c r="R2" s="55"/>
      <c r="S2" s="55"/>
      <c r="T2" s="55"/>
      <c r="U2" s="55"/>
      <c r="V2" s="55"/>
      <c r="W2" s="55"/>
      <c r="X2" s="55"/>
      <c r="Y2" s="55"/>
      <c r="Z2" s="55"/>
      <c r="AA2" s="55"/>
    </row>
    <row r="3" spans="1:27" ht="28.95" customHeight="1" x14ac:dyDescent="0.25">
      <c r="A3" s="228" t="str">
        <f>Zones!B3</f>
        <v>Dining</v>
      </c>
      <c r="B3" s="221">
        <f>Zones!K3</f>
        <v>41.265180000000001</v>
      </c>
      <c r="C3" s="221">
        <f>Zones!H3</f>
        <v>1250.46</v>
      </c>
      <c r="D3" s="221">
        <v>15</v>
      </c>
      <c r="E3" s="741">
        <v>0.15</v>
      </c>
      <c r="F3" s="368" t="s">
        <v>414</v>
      </c>
      <c r="G3" s="224">
        <f t="shared" ref="G3:H4" si="0">B3*D3</f>
        <v>618.97770000000003</v>
      </c>
      <c r="H3" s="224">
        <f t="shared" si="0"/>
        <v>187.56899999999999</v>
      </c>
      <c r="I3" s="224">
        <f>2*50</f>
        <v>100</v>
      </c>
      <c r="J3" s="224">
        <f>MAX(G3:I3)</f>
        <v>618.97770000000003</v>
      </c>
      <c r="K3" s="289"/>
      <c r="L3" s="55"/>
      <c r="M3" s="55"/>
      <c r="N3" s="55"/>
      <c r="O3" s="55"/>
      <c r="P3" s="55"/>
      <c r="Q3" s="55"/>
      <c r="R3" s="55"/>
      <c r="S3" s="55"/>
      <c r="T3" s="55"/>
      <c r="U3" s="55"/>
      <c r="V3" s="55"/>
      <c r="W3" s="55"/>
      <c r="X3" s="55"/>
      <c r="Y3" s="55"/>
      <c r="Z3" s="55"/>
      <c r="AA3" s="55"/>
    </row>
    <row r="4" spans="1:27" ht="28.95" customHeight="1" x14ac:dyDescent="0.25">
      <c r="A4" s="228" t="str">
        <f>Zones!B4</f>
        <v>Kitchen</v>
      </c>
      <c r="B4" s="221">
        <f>Zones!K4</f>
        <v>3.7513800000000002</v>
      </c>
      <c r="C4" s="221">
        <f>Zones!H4</f>
        <v>1250.46</v>
      </c>
      <c r="D4" s="221">
        <v>15</v>
      </c>
      <c r="E4" s="741">
        <v>0.15</v>
      </c>
      <c r="F4" s="229" t="s">
        <v>415</v>
      </c>
      <c r="G4" s="224">
        <f t="shared" si="0"/>
        <v>56.270700000000005</v>
      </c>
      <c r="H4" s="224">
        <f t="shared" si="0"/>
        <v>187.56899999999999</v>
      </c>
      <c r="I4" s="224">
        <f>0.7*C4</f>
        <v>875.322</v>
      </c>
      <c r="J4" s="224">
        <f t="shared" ref="J4" si="1">MAX(G4:I4)</f>
        <v>875.322</v>
      </c>
      <c r="K4" s="289"/>
      <c r="L4" s="55"/>
      <c r="M4" s="55"/>
      <c r="N4" s="55"/>
      <c r="O4" s="55"/>
      <c r="P4" s="55"/>
      <c r="Q4" s="55"/>
      <c r="R4" s="55"/>
      <c r="S4" s="55"/>
      <c r="T4" s="55"/>
      <c r="U4" s="55"/>
      <c r="V4" s="55"/>
      <c r="W4" s="55"/>
      <c r="X4" s="55"/>
      <c r="Y4" s="55"/>
      <c r="Z4" s="55"/>
      <c r="AA4" s="55"/>
    </row>
    <row r="5" spans="1:27" ht="28.95" customHeight="1" x14ac:dyDescent="0.25">
      <c r="A5" s="228" t="str">
        <f>Zones!B5</f>
        <v>Attic</v>
      </c>
      <c r="B5" s="228"/>
      <c r="C5" s="228"/>
      <c r="D5" s="228"/>
      <c r="E5" s="228"/>
      <c r="F5" s="228"/>
      <c r="G5" s="228"/>
      <c r="H5" s="228"/>
      <c r="I5" s="228"/>
      <c r="J5" s="228"/>
      <c r="K5" s="228"/>
      <c r="L5" s="55"/>
      <c r="M5" s="55"/>
      <c r="N5" s="55"/>
      <c r="O5" s="55"/>
      <c r="P5" s="55"/>
      <c r="Q5" s="55"/>
      <c r="R5" s="55"/>
      <c r="S5" s="55"/>
      <c r="T5" s="55"/>
      <c r="U5" s="55"/>
      <c r="V5" s="55"/>
      <c r="W5" s="55"/>
      <c r="X5" s="55"/>
      <c r="Y5" s="55"/>
      <c r="Z5" s="55"/>
      <c r="AA5" s="55"/>
    </row>
    <row r="6" spans="1:27" x14ac:dyDescent="0.25">
      <c r="A6" s="55"/>
      <c r="B6" s="55"/>
      <c r="C6" s="55"/>
      <c r="D6" s="55"/>
      <c r="E6" s="55"/>
      <c r="F6" s="55"/>
      <c r="G6" s="55"/>
      <c r="H6" s="55"/>
      <c r="I6" s="55"/>
      <c r="J6" s="55"/>
      <c r="K6" s="55"/>
      <c r="L6" s="55"/>
      <c r="M6" s="55"/>
      <c r="N6" s="55"/>
      <c r="O6" s="55"/>
      <c r="P6" s="55"/>
      <c r="Q6" s="55"/>
      <c r="R6" s="55"/>
      <c r="S6" s="55"/>
      <c r="T6" s="55"/>
      <c r="U6" s="55"/>
      <c r="V6" s="55"/>
      <c r="W6" s="55"/>
      <c r="X6" s="55"/>
      <c r="Y6" s="55"/>
      <c r="Z6" s="55"/>
      <c r="AA6" s="55"/>
    </row>
    <row r="7" spans="1:27" x14ac:dyDescent="0.25">
      <c r="A7" s="141" t="s">
        <v>416</v>
      </c>
      <c r="B7" s="57"/>
      <c r="C7" s="57"/>
      <c r="D7" s="57"/>
      <c r="E7" s="57"/>
      <c r="F7" s="55"/>
      <c r="G7" s="55"/>
      <c r="H7" s="55"/>
      <c r="I7" s="55"/>
      <c r="J7" s="55"/>
      <c r="K7" s="55"/>
      <c r="L7" s="55"/>
      <c r="M7" s="55"/>
      <c r="N7" s="55"/>
      <c r="O7" s="55"/>
      <c r="P7" s="55"/>
      <c r="Q7" s="55"/>
      <c r="R7" s="55"/>
      <c r="S7" s="55"/>
      <c r="T7" s="55"/>
      <c r="U7" s="55"/>
      <c r="V7" s="55"/>
      <c r="W7" s="55"/>
      <c r="X7" s="55"/>
      <c r="Y7" s="55"/>
      <c r="Z7" s="55"/>
      <c r="AA7" s="55"/>
    </row>
    <row r="8" spans="1:27" x14ac:dyDescent="0.25">
      <c r="A8" s="57"/>
      <c r="B8" s="57"/>
      <c r="C8" s="57"/>
      <c r="D8" s="57"/>
      <c r="E8" s="57"/>
      <c r="F8" s="55"/>
      <c r="G8" s="55"/>
      <c r="H8" s="55"/>
      <c r="I8" s="55"/>
      <c r="J8" s="55"/>
      <c r="K8" s="55"/>
      <c r="L8" s="55"/>
      <c r="M8" s="55"/>
      <c r="N8" s="55"/>
      <c r="O8" s="55"/>
      <c r="P8" s="55"/>
      <c r="Q8" s="55"/>
      <c r="R8" s="55"/>
      <c r="S8" s="55"/>
      <c r="T8" s="55"/>
      <c r="U8" s="55"/>
      <c r="V8" s="55"/>
      <c r="W8" s="55"/>
      <c r="X8" s="55"/>
      <c r="Y8" s="55"/>
      <c r="Z8" s="55"/>
      <c r="AA8" s="55"/>
    </row>
    <row r="9" spans="1:27" x14ac:dyDescent="0.25">
      <c r="A9" s="55"/>
      <c r="B9" s="55"/>
      <c r="C9" s="55"/>
      <c r="D9" s="55"/>
      <c r="E9" s="55"/>
      <c r="F9" s="55"/>
      <c r="G9" s="55"/>
      <c r="H9" s="55"/>
      <c r="I9" s="55"/>
      <c r="J9" s="55"/>
      <c r="K9" s="55"/>
      <c r="L9" s="55"/>
      <c r="M9" s="55"/>
      <c r="N9" s="55"/>
      <c r="O9" s="55"/>
      <c r="P9" s="55"/>
      <c r="Q9" s="55"/>
      <c r="R9" s="55"/>
      <c r="S9" s="55"/>
      <c r="T9" s="55"/>
      <c r="U9" s="55"/>
      <c r="V9" s="55"/>
      <c r="W9" s="55"/>
      <c r="X9" s="55"/>
      <c r="Y9" s="55"/>
      <c r="Z9" s="55"/>
      <c r="AA9" s="55"/>
    </row>
    <row r="10" spans="1:27" ht="15.6" customHeight="1" x14ac:dyDescent="0.25">
      <c r="A10" s="877" t="s">
        <v>417</v>
      </c>
      <c r="B10" s="877"/>
      <c r="C10" s="877"/>
      <c r="D10" s="877"/>
      <c r="E10" s="877"/>
      <c r="F10" s="877"/>
      <c r="G10" s="275"/>
      <c r="H10" s="275"/>
      <c r="I10" s="275"/>
      <c r="J10" s="275"/>
      <c r="K10" s="55"/>
      <c r="L10" s="55"/>
      <c r="M10" s="55"/>
      <c r="N10" s="55"/>
      <c r="O10" s="55"/>
      <c r="P10" s="55"/>
      <c r="Q10" s="55"/>
      <c r="R10" s="55"/>
      <c r="S10" s="55"/>
      <c r="T10" s="55"/>
      <c r="U10" s="55"/>
      <c r="V10" s="55"/>
      <c r="W10" s="55"/>
      <c r="X10" s="55"/>
      <c r="Y10" s="55"/>
      <c r="Z10" s="55"/>
      <c r="AA10" s="55"/>
    </row>
    <row r="11" spans="1:27" ht="52.8" x14ac:dyDescent="0.25">
      <c r="A11" s="874" t="s">
        <v>418</v>
      </c>
      <c r="B11" s="875"/>
      <c r="C11" s="273" t="s">
        <v>419</v>
      </c>
      <c r="D11" s="273" t="s">
        <v>420</v>
      </c>
      <c r="E11" s="274" t="s">
        <v>421</v>
      </c>
      <c r="F11" s="274" t="s">
        <v>422</v>
      </c>
      <c r="G11" s="276"/>
      <c r="H11" s="730"/>
      <c r="I11" s="730"/>
      <c r="J11" s="730"/>
      <c r="K11" s="55"/>
      <c r="L11" s="55"/>
      <c r="M11" s="55"/>
      <c r="N11" s="55"/>
      <c r="O11" s="55"/>
      <c r="P11" s="55"/>
      <c r="Q11" s="55"/>
      <c r="R11" s="55"/>
      <c r="S11" s="55"/>
      <c r="T11" s="55"/>
      <c r="U11" s="55"/>
      <c r="V11" s="55"/>
      <c r="W11" s="55"/>
      <c r="X11" s="55"/>
      <c r="Y11" s="55"/>
      <c r="Z11" s="55"/>
      <c r="AA11" s="55"/>
    </row>
    <row r="12" spans="1:27" ht="22.2" customHeight="1" x14ac:dyDescent="0.25">
      <c r="A12" s="876" t="s">
        <v>423</v>
      </c>
      <c r="B12" s="876"/>
      <c r="C12" s="742">
        <v>210</v>
      </c>
      <c r="D12" s="370">
        <f>B24</f>
        <v>15.25</v>
      </c>
      <c r="E12" s="371">
        <f>D12*C12</f>
        <v>3202.5</v>
      </c>
      <c r="F12" s="372"/>
      <c r="G12" s="183"/>
      <c r="H12" s="183"/>
      <c r="I12" s="183"/>
      <c r="J12" s="730"/>
      <c r="K12" s="55"/>
      <c r="L12" s="55"/>
      <c r="M12" s="55"/>
      <c r="N12" s="55"/>
      <c r="O12" s="55"/>
      <c r="P12" s="55"/>
      <c r="Q12" s="55"/>
      <c r="R12" s="55"/>
      <c r="S12" s="55"/>
      <c r="T12" s="55"/>
      <c r="U12" s="55"/>
      <c r="V12" s="55"/>
      <c r="W12" s="55"/>
      <c r="X12" s="55"/>
      <c r="Y12" s="55"/>
      <c r="Z12" s="55"/>
      <c r="AA12" s="55"/>
    </row>
    <row r="13" spans="1:27" x14ac:dyDescent="0.25">
      <c r="A13" s="318"/>
      <c r="B13" s="318"/>
      <c r="C13" s="240"/>
      <c r="D13" s="319"/>
      <c r="E13" s="745"/>
      <c r="F13" s="299"/>
      <c r="G13" s="183"/>
      <c r="H13" s="183"/>
      <c r="I13" s="183"/>
      <c r="J13" s="730"/>
      <c r="K13" s="55"/>
      <c r="L13" s="55"/>
      <c r="M13" s="55"/>
      <c r="N13" s="55"/>
      <c r="O13" s="55"/>
      <c r="P13" s="55"/>
      <c r="Q13" s="55"/>
      <c r="R13" s="55"/>
      <c r="S13" s="55"/>
      <c r="T13" s="55"/>
      <c r="U13" s="55"/>
      <c r="V13" s="55"/>
      <c r="W13" s="55"/>
      <c r="X13" s="55"/>
      <c r="Y13" s="55"/>
      <c r="Z13" s="55"/>
      <c r="AA13" s="55"/>
    </row>
    <row r="14" spans="1:27" x14ac:dyDescent="0.25">
      <c r="A14" s="85" t="s">
        <v>424</v>
      </c>
      <c r="B14" s="730"/>
      <c r="C14" s="730"/>
      <c r="D14" s="730"/>
      <c r="E14" s="730"/>
      <c r="F14" s="730"/>
      <c r="G14" s="730"/>
      <c r="H14" s="730"/>
      <c r="I14" s="730"/>
      <c r="J14" s="730"/>
      <c r="K14" s="55"/>
      <c r="L14" s="55"/>
      <c r="M14" s="55"/>
      <c r="N14" s="55"/>
      <c r="O14" s="55"/>
      <c r="P14" s="55"/>
      <c r="Q14" s="55"/>
      <c r="R14" s="55"/>
      <c r="S14" s="55"/>
      <c r="T14" s="55"/>
      <c r="U14" s="55"/>
      <c r="V14" s="55"/>
      <c r="W14" s="55"/>
      <c r="X14" s="55"/>
      <c r="Y14" s="55"/>
      <c r="Z14" s="55"/>
      <c r="AA14" s="55"/>
    </row>
    <row r="15" spans="1:27" x14ac:dyDescent="0.25">
      <c r="A15" s="85"/>
      <c r="B15" s="183"/>
      <c r="C15" s="183"/>
      <c r="D15" s="730"/>
      <c r="E15" s="183"/>
      <c r="F15" s="183"/>
      <c r="G15" s="183"/>
      <c r="H15" s="183"/>
      <c r="I15" s="183"/>
      <c r="J15" s="730"/>
      <c r="K15" s="55"/>
      <c r="L15" s="55"/>
      <c r="M15" s="55"/>
      <c r="N15" s="55"/>
      <c r="O15" s="55"/>
      <c r="P15" s="55"/>
      <c r="Q15" s="55"/>
      <c r="R15" s="55"/>
      <c r="S15" s="55"/>
      <c r="T15" s="55"/>
      <c r="U15" s="55"/>
      <c r="V15" s="55"/>
      <c r="W15" s="55"/>
      <c r="X15" s="55"/>
      <c r="Y15" s="55"/>
      <c r="Z15" s="55"/>
      <c r="AA15" s="55"/>
    </row>
    <row r="16" spans="1:27" ht="19.2" customHeight="1" x14ac:dyDescent="0.25">
      <c r="A16" s="880" t="s">
        <v>425</v>
      </c>
      <c r="B16" s="880"/>
      <c r="C16" s="880"/>
      <c r="D16" s="880"/>
      <c r="E16" s="322"/>
      <c r="F16" s="183"/>
      <c r="G16" s="183"/>
      <c r="H16" s="183"/>
      <c r="I16" s="183"/>
      <c r="J16" s="730"/>
      <c r="K16" s="55"/>
      <c r="L16" s="55"/>
      <c r="M16" s="55"/>
      <c r="N16" s="55"/>
      <c r="O16" s="55"/>
      <c r="P16" s="55"/>
      <c r="Q16" s="55"/>
      <c r="R16" s="55"/>
      <c r="S16" s="55"/>
      <c r="T16" s="55"/>
      <c r="U16" s="55"/>
      <c r="V16" s="55"/>
      <c r="W16" s="55"/>
      <c r="X16" s="55"/>
      <c r="Y16" s="55"/>
      <c r="Z16" s="55"/>
      <c r="AA16" s="55"/>
    </row>
    <row r="17" spans="1:27" x14ac:dyDescent="0.25">
      <c r="A17" s="273" t="s">
        <v>426</v>
      </c>
      <c r="B17" s="273" t="s">
        <v>57</v>
      </c>
      <c r="C17" s="273" t="s">
        <v>427</v>
      </c>
      <c r="D17" s="273" t="s">
        <v>288</v>
      </c>
      <c r="E17" s="183"/>
      <c r="F17" s="183"/>
      <c r="G17" s="183"/>
      <c r="H17" s="183"/>
      <c r="I17" s="183"/>
      <c r="J17" s="730"/>
      <c r="K17" s="55"/>
      <c r="L17" s="55"/>
      <c r="M17" s="55"/>
      <c r="N17" s="55"/>
      <c r="O17" s="55"/>
      <c r="P17" s="55"/>
      <c r="Q17" s="55"/>
      <c r="R17" s="55"/>
      <c r="S17" s="55"/>
      <c r="T17" s="55"/>
      <c r="U17" s="55"/>
      <c r="V17" s="55"/>
      <c r="W17" s="55"/>
      <c r="X17" s="55"/>
      <c r="Y17" s="55"/>
      <c r="Z17" s="55"/>
      <c r="AA17" s="55"/>
    </row>
    <row r="18" spans="1:27" x14ac:dyDescent="0.25">
      <c r="A18" s="113" t="s">
        <v>428</v>
      </c>
      <c r="B18" s="314">
        <v>2</v>
      </c>
      <c r="C18" s="323">
        <v>2.5</v>
      </c>
      <c r="D18" s="881" t="s">
        <v>429</v>
      </c>
      <c r="E18" s="183"/>
      <c r="F18" s="183"/>
      <c r="G18" s="183"/>
      <c r="H18" s="183"/>
      <c r="I18" s="183"/>
      <c r="J18" s="730"/>
      <c r="K18" s="55"/>
      <c r="L18" s="55"/>
      <c r="M18" s="55"/>
      <c r="N18" s="55"/>
      <c r="O18" s="55"/>
      <c r="P18" s="55"/>
      <c r="Q18" s="55"/>
      <c r="R18" s="55"/>
      <c r="S18" s="55"/>
      <c r="T18" s="55"/>
      <c r="U18" s="55"/>
      <c r="V18" s="55"/>
      <c r="W18" s="55"/>
      <c r="X18" s="55"/>
      <c r="Y18" s="55"/>
      <c r="Z18" s="55"/>
      <c r="AA18" s="55"/>
    </row>
    <row r="19" spans="1:27" ht="26.4" customHeight="1" x14ac:dyDescent="0.25">
      <c r="A19" s="121" t="s">
        <v>430</v>
      </c>
      <c r="B19" s="56">
        <v>1</v>
      </c>
      <c r="C19" s="324">
        <v>1.25</v>
      </c>
      <c r="D19" s="881"/>
      <c r="E19" s="183"/>
      <c r="F19" s="183"/>
      <c r="G19" s="183"/>
      <c r="H19" s="183"/>
      <c r="I19" s="183"/>
      <c r="J19" s="55"/>
      <c r="K19" s="55"/>
      <c r="L19" s="55"/>
      <c r="M19" s="55"/>
      <c r="N19" s="55"/>
      <c r="O19" s="55"/>
      <c r="P19" s="55"/>
      <c r="Q19" s="55"/>
      <c r="R19" s="55"/>
      <c r="S19" s="55"/>
      <c r="T19" s="55"/>
      <c r="U19" s="55"/>
      <c r="V19" s="55"/>
      <c r="W19" s="55"/>
      <c r="X19" s="55"/>
      <c r="Y19" s="55"/>
      <c r="Z19" s="55"/>
      <c r="AA19" s="55"/>
    </row>
    <row r="20" spans="1:27" x14ac:dyDescent="0.25">
      <c r="A20" s="113" t="s">
        <v>431</v>
      </c>
      <c r="B20" s="315">
        <v>1</v>
      </c>
      <c r="C20" s="321">
        <v>4</v>
      </c>
      <c r="D20" s="881"/>
      <c r="E20" s="183"/>
      <c r="F20" s="183"/>
      <c r="G20" s="183"/>
      <c r="H20" s="183"/>
      <c r="I20" s="183"/>
      <c r="J20" s="55"/>
      <c r="K20" s="55"/>
      <c r="L20" s="55"/>
      <c r="M20" s="55"/>
      <c r="N20" s="55"/>
      <c r="O20" s="55"/>
      <c r="P20" s="55"/>
      <c r="Q20" s="55"/>
      <c r="R20" s="55"/>
      <c r="S20" s="55"/>
      <c r="T20" s="55"/>
      <c r="U20" s="55"/>
      <c r="V20" s="55"/>
      <c r="W20" s="55"/>
      <c r="X20" s="55"/>
      <c r="Y20" s="55"/>
      <c r="Z20" s="55"/>
      <c r="AA20" s="55"/>
    </row>
    <row r="21" spans="1:27" ht="13.95" customHeight="1" x14ac:dyDescent="0.25">
      <c r="A21" s="113" t="s">
        <v>432</v>
      </c>
      <c r="B21" s="315">
        <v>1</v>
      </c>
      <c r="C21" s="321">
        <v>2.5</v>
      </c>
      <c r="D21" s="881"/>
      <c r="E21" s="55"/>
      <c r="F21" s="55"/>
      <c r="G21" s="55"/>
      <c r="H21" s="55"/>
      <c r="I21" s="55"/>
      <c r="J21" s="55"/>
      <c r="K21" s="55"/>
      <c r="L21" s="55"/>
      <c r="M21" s="55"/>
      <c r="N21" s="55"/>
      <c r="O21" s="55"/>
      <c r="P21" s="55"/>
      <c r="Q21" s="55"/>
      <c r="R21" s="55"/>
      <c r="S21" s="55"/>
      <c r="T21" s="55"/>
      <c r="U21" s="55"/>
      <c r="V21" s="55"/>
      <c r="W21" s="55"/>
      <c r="X21" s="55"/>
      <c r="Y21" s="55"/>
      <c r="Z21" s="55"/>
      <c r="AA21" s="55"/>
    </row>
    <row r="22" spans="1:27" ht="58.2" customHeight="1" x14ac:dyDescent="0.25">
      <c r="A22" s="374" t="s">
        <v>433</v>
      </c>
      <c r="B22" s="375">
        <v>1</v>
      </c>
      <c r="C22" s="376">
        <v>4</v>
      </c>
      <c r="D22" s="377" t="s">
        <v>434</v>
      </c>
      <c r="E22" s="55"/>
      <c r="F22" s="55"/>
      <c r="G22" s="55"/>
      <c r="H22" s="55"/>
      <c r="I22" s="55"/>
      <c r="J22" s="55"/>
      <c r="K22" s="55"/>
      <c r="L22" s="55"/>
      <c r="M22" s="55"/>
      <c r="N22" s="55"/>
      <c r="O22" s="55"/>
      <c r="P22" s="55"/>
      <c r="Q22" s="55"/>
      <c r="R22" s="55"/>
      <c r="S22" s="55"/>
      <c r="T22" s="55"/>
      <c r="U22" s="55"/>
      <c r="V22" s="55"/>
      <c r="W22" s="55"/>
      <c r="X22" s="55"/>
      <c r="Y22" s="55"/>
      <c r="Z22" s="55"/>
      <c r="AA22" s="55"/>
    </row>
    <row r="23" spans="1:27" ht="13.95" customHeight="1" x14ac:dyDescent="0.25">
      <c r="A23" s="316" t="s">
        <v>435</v>
      </c>
      <c r="B23" s="878">
        <f>SUM(C18:C22)</f>
        <v>14.25</v>
      </c>
      <c r="C23" s="879"/>
      <c r="D23" s="55"/>
      <c r="E23" s="55"/>
      <c r="F23" s="55"/>
      <c r="G23" s="55"/>
      <c r="H23" s="55"/>
      <c r="I23" s="55"/>
      <c r="J23" s="55"/>
      <c r="K23" s="55"/>
      <c r="L23" s="55"/>
      <c r="M23" s="55"/>
      <c r="N23" s="55"/>
      <c r="O23" s="55"/>
      <c r="P23" s="55"/>
      <c r="Q23" s="55"/>
      <c r="R23" s="55"/>
      <c r="S23" s="55"/>
      <c r="T23" s="55"/>
      <c r="U23" s="55"/>
      <c r="V23" s="55"/>
      <c r="W23" s="55"/>
      <c r="X23" s="55"/>
      <c r="Y23" s="55"/>
      <c r="Z23" s="55"/>
      <c r="AA23" s="55"/>
    </row>
    <row r="24" spans="1:27" x14ac:dyDescent="0.25">
      <c r="A24" s="317" t="s">
        <v>436</v>
      </c>
      <c r="B24" s="878">
        <f>B23+1</f>
        <v>15.25</v>
      </c>
      <c r="C24" s="879"/>
      <c r="D24" s="55"/>
      <c r="E24" s="55"/>
      <c r="F24" s="55"/>
      <c r="G24" s="55"/>
      <c r="H24" s="55"/>
      <c r="I24" s="55"/>
      <c r="J24" s="55"/>
      <c r="K24" s="55"/>
      <c r="L24" s="55"/>
      <c r="M24" s="55"/>
      <c r="N24" s="55"/>
      <c r="O24" s="55"/>
      <c r="P24" s="55"/>
      <c r="Q24" s="55"/>
      <c r="R24" s="55"/>
      <c r="S24" s="55"/>
      <c r="T24" s="55"/>
      <c r="U24" s="55"/>
      <c r="V24" s="55"/>
      <c r="W24" s="55"/>
      <c r="X24" s="55"/>
      <c r="Y24" s="55"/>
      <c r="Z24" s="55"/>
      <c r="AA24" s="55"/>
    </row>
    <row r="25" spans="1:27" ht="13.95" customHeight="1" x14ac:dyDescent="0.25">
      <c r="A25" s="57"/>
      <c r="B25" s="57"/>
      <c r="C25" s="57"/>
      <c r="D25" s="55"/>
      <c r="E25" s="55"/>
      <c r="F25" s="55"/>
      <c r="G25" s="55"/>
      <c r="H25" s="55"/>
      <c r="I25" s="55"/>
      <c r="J25" s="55"/>
      <c r="K25" s="55"/>
      <c r="L25" s="55"/>
      <c r="M25" s="55"/>
      <c r="N25" s="55"/>
      <c r="O25" s="55"/>
      <c r="P25" s="55"/>
      <c r="Q25" s="55"/>
      <c r="R25" s="55"/>
      <c r="S25" s="55"/>
      <c r="T25" s="55"/>
      <c r="U25" s="55"/>
      <c r="V25" s="55"/>
      <c r="W25" s="55"/>
      <c r="X25" s="55"/>
      <c r="Y25" s="55"/>
      <c r="Z25" s="55"/>
      <c r="AA25" s="55"/>
    </row>
    <row r="26" spans="1:27" x14ac:dyDescent="0.25">
      <c r="A26" s="55"/>
      <c r="B26" s="55"/>
      <c r="C26" s="55"/>
      <c r="D26" s="55"/>
      <c r="E26" s="55"/>
      <c r="F26" s="55"/>
      <c r="G26" s="55"/>
      <c r="H26" s="55"/>
      <c r="I26" s="55"/>
      <c r="J26" s="55"/>
      <c r="K26" s="55"/>
      <c r="L26" s="55"/>
      <c r="M26" s="55"/>
      <c r="N26" s="55"/>
      <c r="O26" s="55"/>
      <c r="P26" s="55"/>
      <c r="Q26" s="55"/>
      <c r="R26" s="55"/>
      <c r="S26" s="55"/>
      <c r="T26" s="55"/>
      <c r="U26" s="55"/>
      <c r="V26" s="55"/>
      <c r="W26" s="55"/>
      <c r="X26" s="55"/>
      <c r="Y26" s="55"/>
      <c r="Z26" s="55"/>
      <c r="AA26" s="55"/>
    </row>
    <row r="27" spans="1:27" ht="15.6" customHeight="1" x14ac:dyDescent="0.25">
      <c r="A27" s="57"/>
      <c r="B27" s="740"/>
      <c r="C27" s="740"/>
      <c r="D27" s="55"/>
      <c r="E27" s="55"/>
      <c r="F27" s="55"/>
      <c r="G27" s="55"/>
      <c r="H27" s="55"/>
      <c r="I27" s="55"/>
      <c r="J27" s="55"/>
      <c r="K27" s="55"/>
      <c r="L27" s="55"/>
      <c r="M27" s="55"/>
      <c r="N27" s="55"/>
      <c r="O27" s="55"/>
      <c r="P27" s="55"/>
      <c r="Q27" s="55"/>
      <c r="R27" s="55"/>
      <c r="S27" s="55"/>
      <c r="T27" s="55"/>
      <c r="U27" s="55"/>
      <c r="V27" s="55"/>
      <c r="W27" s="55"/>
      <c r="X27" s="55"/>
      <c r="Y27" s="55"/>
      <c r="Z27" s="55"/>
      <c r="AA27" s="55"/>
    </row>
    <row r="29" spans="1:27" ht="22.95" customHeight="1" x14ac:dyDescent="0.25">
      <c r="A29" s="55"/>
      <c r="B29" s="55"/>
      <c r="C29" s="55"/>
      <c r="D29" s="55"/>
      <c r="E29" s="55"/>
      <c r="F29" s="55"/>
      <c r="G29" s="55"/>
      <c r="H29" s="55"/>
      <c r="I29" s="55"/>
      <c r="J29" s="55"/>
      <c r="K29" s="55"/>
      <c r="L29" s="55"/>
      <c r="M29" s="55"/>
      <c r="N29" s="55"/>
      <c r="O29" s="55"/>
      <c r="P29" s="55"/>
      <c r="Q29" s="55"/>
      <c r="R29" s="55"/>
      <c r="S29" s="55"/>
      <c r="T29" s="55"/>
      <c r="U29" s="55"/>
      <c r="V29" s="55"/>
      <c r="W29" s="55"/>
      <c r="X29" s="55"/>
      <c r="Y29" s="55"/>
      <c r="Z29" s="55"/>
      <c r="AA29" s="55"/>
    </row>
    <row r="30" spans="1:27" s="57" customFormat="1" ht="12" hidden="1" customHeight="1" x14ac:dyDescent="0.25"/>
    <row r="31" spans="1:27" s="71" customFormat="1" ht="18" hidden="1" customHeight="1" x14ac:dyDescent="0.25">
      <c r="A31" s="71" t="s">
        <v>88</v>
      </c>
    </row>
    <row r="32" spans="1:27" s="57" customFormat="1" ht="13.2" hidden="1" x14ac:dyDescent="0.25"/>
    <row r="33" spans="1:27" hidden="1" x14ac:dyDescent="0.25">
      <c r="A33" s="320" t="s">
        <v>437</v>
      </c>
      <c r="B33" s="55"/>
      <c r="C33" s="55"/>
      <c r="D33" s="55"/>
      <c r="E33" s="55"/>
      <c r="F33" s="55"/>
      <c r="G33" s="55"/>
      <c r="H33" s="55"/>
      <c r="I33" s="55"/>
      <c r="J33" s="55"/>
      <c r="K33" s="55"/>
      <c r="L33" s="55"/>
      <c r="M33" s="55"/>
      <c r="N33" s="55"/>
      <c r="O33" s="55"/>
      <c r="P33" s="55"/>
      <c r="Q33" s="55"/>
      <c r="R33" s="55"/>
      <c r="S33" s="55"/>
      <c r="T33" s="55"/>
      <c r="U33" s="55"/>
      <c r="V33" s="55"/>
      <c r="W33" s="55"/>
      <c r="X33" s="55"/>
      <c r="Y33" s="55"/>
      <c r="Z33" s="55"/>
      <c r="AA33" s="55"/>
    </row>
    <row r="34" spans="1:27" hidden="1" x14ac:dyDescent="0.25">
      <c r="A34" s="55"/>
      <c r="B34" s="55"/>
      <c r="C34" s="55"/>
      <c r="D34" s="55"/>
      <c r="E34" s="320" t="s">
        <v>438</v>
      </c>
      <c r="F34" s="55"/>
      <c r="G34" s="55"/>
      <c r="H34" s="55"/>
      <c r="I34" s="55"/>
      <c r="J34" s="55"/>
      <c r="K34" s="55"/>
      <c r="L34" s="55"/>
      <c r="M34" s="55"/>
      <c r="N34" s="55"/>
      <c r="O34" s="55"/>
      <c r="P34" s="55"/>
      <c r="Q34" s="55"/>
      <c r="R34" s="55"/>
      <c r="S34" s="55"/>
      <c r="T34" s="55"/>
      <c r="U34" s="55"/>
      <c r="V34" s="55"/>
      <c r="W34" s="55"/>
      <c r="X34" s="55"/>
      <c r="Y34" s="55"/>
      <c r="Z34" s="55"/>
      <c r="AA34" s="55"/>
    </row>
    <row r="35" spans="1:27" hidden="1" x14ac:dyDescent="0.25">
      <c r="A35" s="55"/>
      <c r="B35" s="55"/>
      <c r="C35" s="55"/>
      <c r="D35" s="55"/>
      <c r="E35" s="55"/>
      <c r="F35" s="55"/>
      <c r="G35" s="55"/>
      <c r="H35" s="55"/>
      <c r="I35" s="55"/>
      <c r="J35" s="55"/>
      <c r="K35" s="55"/>
      <c r="L35" s="55"/>
      <c r="M35" s="55"/>
      <c r="N35" s="55"/>
      <c r="O35" s="55"/>
      <c r="P35" s="55"/>
      <c r="Q35" s="55"/>
      <c r="R35" s="55"/>
      <c r="S35" s="55"/>
      <c r="T35" s="55"/>
      <c r="U35" s="55"/>
      <c r="V35" s="55"/>
      <c r="W35" s="55"/>
      <c r="X35" s="55"/>
      <c r="Y35" s="55"/>
      <c r="Z35" s="55"/>
      <c r="AA35" s="55"/>
    </row>
    <row r="36" spans="1:27" hidden="1" x14ac:dyDescent="0.25">
      <c r="A36" s="55"/>
      <c r="B36" s="55"/>
      <c r="C36" s="55"/>
      <c r="D36" s="55"/>
      <c r="E36" s="55"/>
      <c r="F36" s="55"/>
      <c r="G36" s="55"/>
      <c r="H36" s="55"/>
      <c r="I36" s="55"/>
      <c r="J36" s="55"/>
      <c r="K36" s="55"/>
      <c r="L36" s="55"/>
      <c r="M36" s="55"/>
      <c r="N36" s="55"/>
      <c r="O36" s="55"/>
      <c r="P36" s="55"/>
      <c r="Q36" s="55"/>
      <c r="R36" s="55"/>
      <c r="S36" s="55"/>
      <c r="T36" s="55"/>
      <c r="U36" s="55"/>
      <c r="V36" s="55"/>
      <c r="W36" s="55"/>
      <c r="X36" s="55"/>
      <c r="Y36" s="55"/>
      <c r="Z36" s="55"/>
      <c r="AA36" s="55"/>
    </row>
    <row r="37" spans="1:27" hidden="1" x14ac:dyDescent="0.25">
      <c r="A37" s="55"/>
      <c r="B37" s="55"/>
      <c r="C37" s="55"/>
      <c r="D37" s="55"/>
      <c r="E37" s="55"/>
      <c r="F37" s="55"/>
      <c r="G37" s="55"/>
      <c r="H37" s="55"/>
      <c r="I37" s="55"/>
      <c r="J37" s="55"/>
      <c r="K37" s="55"/>
      <c r="L37" s="55"/>
      <c r="M37" s="55"/>
      <c r="N37" s="55"/>
      <c r="O37" s="55"/>
      <c r="P37" s="55"/>
      <c r="Q37" s="55"/>
      <c r="R37" s="55"/>
      <c r="S37" s="55"/>
      <c r="T37" s="55"/>
      <c r="U37" s="55"/>
      <c r="V37" s="55"/>
      <c r="W37" s="55"/>
      <c r="X37" s="55"/>
      <c r="Y37" s="55"/>
      <c r="Z37" s="55"/>
      <c r="AA37" s="55"/>
    </row>
    <row r="38" spans="1:27" hidden="1" x14ac:dyDescent="0.25">
      <c r="A38" s="55"/>
      <c r="B38" s="55"/>
      <c r="C38" s="55"/>
      <c r="D38" s="55"/>
      <c r="E38" s="55"/>
      <c r="F38" s="55"/>
      <c r="G38" s="55"/>
      <c r="H38" s="55"/>
      <c r="I38" s="55"/>
      <c r="J38" s="55"/>
      <c r="K38" s="55"/>
      <c r="L38" s="55"/>
      <c r="M38" s="55"/>
      <c r="N38" s="55"/>
      <c r="O38" s="55"/>
      <c r="P38" s="55"/>
      <c r="Q38" s="55"/>
      <c r="R38" s="55"/>
      <c r="S38" s="55"/>
      <c r="T38" s="55"/>
      <c r="U38" s="55"/>
      <c r="V38" s="55"/>
      <c r="W38" s="55"/>
      <c r="X38" s="55"/>
      <c r="Y38" s="55"/>
      <c r="Z38" s="55"/>
      <c r="AA38" s="55"/>
    </row>
    <row r="39" spans="1:27" hidden="1" x14ac:dyDescent="0.25">
      <c r="A39" s="55"/>
      <c r="B39" s="55"/>
      <c r="C39" s="55"/>
      <c r="D39" s="55"/>
      <c r="E39" s="55"/>
      <c r="F39" s="55"/>
      <c r="G39" s="55"/>
      <c r="H39" s="55"/>
      <c r="I39" s="55"/>
      <c r="J39" s="55"/>
      <c r="K39" s="55"/>
      <c r="L39" s="55"/>
      <c r="M39" s="55"/>
      <c r="N39" s="55"/>
      <c r="O39" s="55"/>
      <c r="P39" s="55"/>
      <c r="Q39" s="55"/>
      <c r="R39" s="55"/>
      <c r="S39" s="55"/>
      <c r="T39" s="55"/>
      <c r="U39" s="55"/>
      <c r="V39" s="55"/>
      <c r="W39" s="55"/>
      <c r="X39" s="55"/>
      <c r="Y39" s="55"/>
      <c r="Z39" s="55"/>
      <c r="AA39" s="55"/>
    </row>
    <row r="40" spans="1:27" hidden="1" x14ac:dyDescent="0.25">
      <c r="A40" s="55"/>
      <c r="B40" s="55"/>
      <c r="C40" s="55"/>
      <c r="D40" s="55"/>
      <c r="E40" s="55"/>
      <c r="F40" s="55"/>
      <c r="G40" s="55"/>
      <c r="H40" s="55"/>
      <c r="I40" s="55"/>
      <c r="J40" s="55"/>
      <c r="K40" s="55"/>
      <c r="L40" s="55"/>
      <c r="M40" s="55"/>
      <c r="N40" s="55"/>
      <c r="O40" s="55"/>
      <c r="P40" s="55"/>
      <c r="Q40" s="55"/>
      <c r="R40" s="55"/>
      <c r="S40" s="55"/>
      <c r="T40" s="55"/>
      <c r="U40" s="55"/>
      <c r="V40" s="55"/>
      <c r="W40" s="55"/>
      <c r="X40" s="55"/>
      <c r="Y40" s="55"/>
      <c r="Z40" s="55"/>
      <c r="AA40" s="55"/>
    </row>
    <row r="41" spans="1:27" hidden="1" x14ac:dyDescent="0.25">
      <c r="A41" s="55"/>
      <c r="B41" s="55"/>
      <c r="C41" s="55"/>
      <c r="D41" s="55"/>
      <c r="E41" s="55"/>
      <c r="F41" s="55"/>
      <c r="G41" s="55"/>
      <c r="H41" s="55"/>
      <c r="I41" s="55"/>
      <c r="J41" s="55"/>
      <c r="K41" s="55"/>
      <c r="L41" s="55"/>
      <c r="M41" s="55"/>
      <c r="N41" s="55"/>
      <c r="O41" s="55"/>
      <c r="P41" s="55"/>
      <c r="Q41" s="55"/>
      <c r="R41" s="55"/>
      <c r="S41" s="55"/>
      <c r="T41" s="55"/>
      <c r="U41" s="55"/>
      <c r="V41" s="55"/>
      <c r="W41" s="55"/>
      <c r="X41" s="55"/>
      <c r="Y41" s="55"/>
      <c r="Z41" s="55"/>
      <c r="AA41" s="55"/>
    </row>
    <row r="42" spans="1:27" hidden="1" x14ac:dyDescent="0.25">
      <c r="A42" s="55"/>
      <c r="B42" s="55"/>
      <c r="C42" s="55"/>
      <c r="D42" s="55"/>
      <c r="E42" s="55"/>
      <c r="F42" s="55"/>
      <c r="G42" s="55"/>
      <c r="H42" s="55"/>
      <c r="I42" s="55"/>
      <c r="J42" s="55"/>
      <c r="K42" s="55"/>
      <c r="L42" s="55"/>
      <c r="M42" s="55"/>
      <c r="N42" s="55"/>
      <c r="O42" s="55"/>
      <c r="P42" s="55"/>
      <c r="Q42" s="55"/>
      <c r="R42" s="55"/>
      <c r="S42" s="55"/>
      <c r="T42" s="55"/>
      <c r="U42" s="55"/>
      <c r="V42" s="55"/>
      <c r="W42" s="55"/>
      <c r="X42" s="55"/>
      <c r="Y42" s="55"/>
      <c r="Z42" s="55"/>
      <c r="AA42" s="55"/>
    </row>
    <row r="43" spans="1:27" hidden="1" x14ac:dyDescent="0.25">
      <c r="A43" s="55"/>
      <c r="B43" s="55"/>
      <c r="C43" s="55"/>
      <c r="D43" s="55"/>
      <c r="E43" s="55"/>
      <c r="F43" s="55"/>
      <c r="G43" s="55"/>
      <c r="H43" s="55"/>
      <c r="I43" s="55"/>
      <c r="J43" s="55"/>
      <c r="K43" s="55"/>
      <c r="L43" s="55"/>
      <c r="M43" s="55"/>
      <c r="N43" s="55"/>
      <c r="O43" s="55"/>
      <c r="P43" s="55"/>
      <c r="Q43" s="55"/>
      <c r="R43" s="55"/>
      <c r="S43" s="55"/>
      <c r="T43" s="55"/>
      <c r="U43" s="55"/>
      <c r="V43" s="55"/>
      <c r="W43" s="55"/>
      <c r="X43" s="55"/>
      <c r="Y43" s="55"/>
      <c r="Z43" s="55"/>
      <c r="AA43" s="55"/>
    </row>
    <row r="44" spans="1:27" hidden="1" x14ac:dyDescent="0.25">
      <c r="A44" s="55"/>
      <c r="B44" s="55"/>
      <c r="C44" s="55"/>
      <c r="D44" s="55"/>
      <c r="E44" s="55"/>
      <c r="F44" s="55"/>
      <c r="G44" s="55"/>
      <c r="H44" s="55"/>
      <c r="I44" s="55"/>
      <c r="J44" s="55"/>
      <c r="K44" s="55"/>
      <c r="L44" s="55"/>
      <c r="M44" s="55"/>
      <c r="N44" s="55"/>
      <c r="O44" s="55"/>
      <c r="P44" s="55"/>
      <c r="Q44" s="55"/>
      <c r="R44" s="55"/>
      <c r="S44" s="55"/>
      <c r="T44" s="55"/>
      <c r="U44" s="55"/>
      <c r="V44" s="55"/>
      <c r="W44" s="55"/>
      <c r="X44" s="55"/>
      <c r="Y44" s="55"/>
      <c r="Z44" s="55"/>
      <c r="AA44" s="55"/>
    </row>
    <row r="45" spans="1:27" hidden="1" x14ac:dyDescent="0.25">
      <c r="A45" s="55"/>
      <c r="B45" s="55"/>
      <c r="C45" s="55"/>
      <c r="D45" s="55"/>
      <c r="E45" s="55"/>
      <c r="F45" s="55"/>
      <c r="G45" s="55"/>
      <c r="H45" s="55"/>
      <c r="I45" s="55"/>
      <c r="J45" s="55"/>
      <c r="K45" s="55"/>
      <c r="L45" s="55"/>
      <c r="M45" s="55"/>
      <c r="N45" s="55"/>
      <c r="O45" s="55"/>
      <c r="P45" s="55"/>
      <c r="Q45" s="55"/>
      <c r="R45" s="55"/>
      <c r="S45" s="55"/>
      <c r="T45" s="55"/>
      <c r="U45" s="55"/>
      <c r="V45" s="55"/>
      <c r="W45" s="55"/>
      <c r="X45" s="55"/>
      <c r="Y45" s="55"/>
      <c r="Z45" s="55"/>
      <c r="AA45" s="55"/>
    </row>
    <row r="46" spans="1:27" hidden="1" x14ac:dyDescent="0.25">
      <c r="A46" s="55"/>
      <c r="B46" s="55"/>
      <c r="C46" s="55"/>
      <c r="D46" s="55"/>
      <c r="E46" s="55"/>
      <c r="F46" s="55"/>
      <c r="G46" s="55"/>
      <c r="H46" s="55"/>
      <c r="I46" s="55"/>
      <c r="J46" s="55"/>
      <c r="K46" s="55"/>
      <c r="L46" s="55"/>
      <c r="M46" s="55"/>
      <c r="N46" s="55"/>
      <c r="O46" s="55"/>
      <c r="P46" s="55"/>
      <c r="Q46" s="55"/>
      <c r="R46" s="55"/>
      <c r="S46" s="55"/>
      <c r="T46" s="55"/>
      <c r="U46" s="55"/>
      <c r="V46" s="55"/>
      <c r="W46" s="55"/>
      <c r="X46" s="55"/>
      <c r="Y46" s="55"/>
      <c r="Z46" s="55"/>
      <c r="AA46" s="55"/>
    </row>
    <row r="47" spans="1:27" hidden="1" x14ac:dyDescent="0.25">
      <c r="A47" s="55"/>
      <c r="B47" s="55"/>
      <c r="C47" s="55"/>
      <c r="D47" s="55"/>
      <c r="E47" s="55"/>
      <c r="F47" s="55"/>
      <c r="G47" s="55"/>
      <c r="H47" s="55"/>
      <c r="I47" s="55"/>
      <c r="J47" s="55"/>
      <c r="K47" s="55"/>
      <c r="L47" s="55"/>
      <c r="M47" s="55"/>
      <c r="N47" s="55"/>
      <c r="O47" s="55"/>
      <c r="P47" s="55"/>
      <c r="Q47" s="55"/>
      <c r="R47" s="55"/>
      <c r="S47" s="55"/>
      <c r="T47" s="55"/>
      <c r="U47" s="55"/>
      <c r="V47" s="55"/>
      <c r="W47" s="55"/>
      <c r="X47" s="55"/>
      <c r="Y47" s="55"/>
      <c r="Z47" s="55"/>
      <c r="AA47" s="55"/>
    </row>
    <row r="48" spans="1:27" hidden="1" x14ac:dyDescent="0.25">
      <c r="A48" s="55"/>
      <c r="B48" s="55"/>
      <c r="C48" s="55"/>
      <c r="D48" s="55"/>
      <c r="E48" s="55"/>
      <c r="F48" s="55"/>
      <c r="G48" s="55"/>
      <c r="H48" s="55"/>
      <c r="I48" s="55"/>
      <c r="J48" s="55"/>
      <c r="K48" s="55"/>
      <c r="L48" s="55"/>
      <c r="M48" s="55"/>
      <c r="N48" s="55"/>
      <c r="O48" s="55"/>
      <c r="P48" s="55"/>
      <c r="Q48" s="55"/>
      <c r="R48" s="55"/>
      <c r="S48" s="55"/>
      <c r="T48" s="55"/>
      <c r="U48" s="55"/>
      <c r="V48" s="55"/>
      <c r="W48" s="55"/>
      <c r="X48" s="55"/>
      <c r="Y48" s="55"/>
      <c r="Z48" s="55"/>
      <c r="AA48" s="55"/>
    </row>
    <row r="49" spans="1:27" hidden="1" x14ac:dyDescent="0.25">
      <c r="A49" s="55"/>
      <c r="B49" s="55"/>
      <c r="C49" s="55"/>
      <c r="D49" s="55"/>
      <c r="E49" s="55"/>
      <c r="F49" s="55"/>
      <c r="G49" s="55"/>
      <c r="H49" s="55"/>
      <c r="I49" s="55"/>
      <c r="J49" s="55"/>
      <c r="K49" s="55"/>
      <c r="L49" s="55"/>
      <c r="M49" s="55"/>
      <c r="N49" s="55"/>
      <c r="O49" s="55"/>
      <c r="P49" s="55"/>
      <c r="Q49" s="55"/>
      <c r="R49" s="55"/>
      <c r="S49" s="55"/>
      <c r="T49" s="55"/>
      <c r="U49" s="55"/>
      <c r="V49" s="55"/>
      <c r="W49" s="55"/>
      <c r="X49" s="55"/>
      <c r="Y49" s="55"/>
      <c r="Z49" s="55"/>
      <c r="AA49" s="55"/>
    </row>
    <row r="50" spans="1:27" hidden="1" x14ac:dyDescent="0.25">
      <c r="A50" s="55"/>
      <c r="B50" s="55"/>
      <c r="C50" s="55"/>
      <c r="D50" s="55"/>
      <c r="E50" s="55"/>
      <c r="F50" s="55"/>
      <c r="G50" s="55"/>
      <c r="H50" s="55"/>
      <c r="I50" s="55"/>
      <c r="J50" s="55"/>
      <c r="K50" s="55"/>
      <c r="L50" s="55"/>
      <c r="M50" s="55"/>
      <c r="N50" s="55"/>
      <c r="O50" s="55"/>
      <c r="P50" s="55"/>
      <c r="Q50" s="55"/>
      <c r="R50" s="55"/>
      <c r="S50" s="55"/>
      <c r="T50" s="55"/>
      <c r="U50" s="55"/>
      <c r="V50" s="55"/>
      <c r="W50" s="55"/>
      <c r="X50" s="55"/>
      <c r="Y50" s="55"/>
      <c r="Z50" s="55"/>
      <c r="AA50" s="55"/>
    </row>
    <row r="51" spans="1:27" hidden="1" x14ac:dyDescent="0.25">
      <c r="A51" s="55"/>
      <c r="B51" s="55"/>
      <c r="C51" s="55"/>
      <c r="D51" s="55"/>
      <c r="E51" s="55"/>
      <c r="F51" s="55"/>
      <c r="G51" s="55"/>
      <c r="H51" s="55"/>
      <c r="I51" s="55"/>
      <c r="J51" s="55"/>
      <c r="K51" s="55"/>
      <c r="L51" s="55"/>
      <c r="M51" s="55"/>
      <c r="N51" s="55"/>
      <c r="O51" s="55"/>
      <c r="P51" s="55"/>
      <c r="Q51" s="55"/>
      <c r="R51" s="55"/>
      <c r="S51" s="55"/>
      <c r="T51" s="55"/>
      <c r="U51" s="55"/>
      <c r="V51" s="55"/>
      <c r="W51" s="55"/>
      <c r="X51" s="55"/>
      <c r="Y51" s="55"/>
      <c r="Z51" s="55"/>
      <c r="AA51" s="55"/>
    </row>
    <row r="52" spans="1:27" hidden="1" x14ac:dyDescent="0.25">
      <c r="A52" s="55"/>
      <c r="B52" s="55"/>
      <c r="C52" s="55"/>
      <c r="D52" s="55"/>
      <c r="E52" s="55"/>
      <c r="F52" s="55"/>
      <c r="G52" s="55"/>
      <c r="H52" s="55"/>
      <c r="I52" s="55"/>
      <c r="J52" s="55"/>
      <c r="K52" s="55"/>
      <c r="L52" s="55"/>
      <c r="M52" s="55"/>
      <c r="N52" s="55"/>
      <c r="O52" s="55"/>
      <c r="P52" s="55"/>
      <c r="Q52" s="55"/>
      <c r="R52" s="55"/>
      <c r="S52" s="55"/>
      <c r="T52" s="55"/>
      <c r="U52" s="55"/>
      <c r="V52" s="55"/>
      <c r="W52" s="55"/>
      <c r="X52" s="55"/>
      <c r="Y52" s="55"/>
      <c r="Z52" s="55"/>
      <c r="AA52" s="55"/>
    </row>
    <row r="53" spans="1:27" hidden="1" x14ac:dyDescent="0.25">
      <c r="A53" s="55"/>
      <c r="B53" s="55"/>
      <c r="C53" s="55"/>
      <c r="D53" s="55"/>
      <c r="E53" s="55"/>
      <c r="F53" s="55"/>
      <c r="G53" s="55"/>
      <c r="H53" s="55"/>
      <c r="I53" s="55"/>
      <c r="J53" s="55"/>
      <c r="K53" s="55"/>
      <c r="L53" s="55"/>
      <c r="M53" s="55"/>
      <c r="N53" s="55"/>
      <c r="O53" s="55"/>
      <c r="P53" s="55"/>
      <c r="Q53" s="55"/>
      <c r="R53" s="55"/>
      <c r="S53" s="55"/>
      <c r="T53" s="55"/>
      <c r="U53" s="55"/>
      <c r="V53" s="55"/>
      <c r="W53" s="55"/>
      <c r="X53" s="55"/>
      <c r="Y53" s="55"/>
      <c r="Z53" s="55"/>
      <c r="AA53" s="55"/>
    </row>
    <row r="54" spans="1:27" hidden="1" x14ac:dyDescent="0.25">
      <c r="A54" s="55"/>
      <c r="B54" s="55"/>
      <c r="C54" s="55"/>
      <c r="D54" s="55"/>
      <c r="E54" s="55"/>
      <c r="F54" s="55"/>
      <c r="G54" s="55"/>
      <c r="H54" s="55"/>
      <c r="I54" s="55"/>
      <c r="J54" s="55"/>
      <c r="K54" s="55"/>
      <c r="L54" s="55"/>
      <c r="M54" s="55"/>
      <c r="N54" s="55"/>
      <c r="O54" s="55"/>
      <c r="P54" s="55"/>
      <c r="Q54" s="55"/>
      <c r="R54" s="55"/>
      <c r="S54" s="55"/>
      <c r="T54" s="55"/>
      <c r="U54" s="55"/>
      <c r="V54" s="55"/>
      <c r="W54" s="55"/>
      <c r="X54" s="55"/>
      <c r="Y54" s="55"/>
      <c r="Z54" s="55"/>
      <c r="AA54" s="55"/>
    </row>
    <row r="55" spans="1:27" hidden="1" x14ac:dyDescent="0.25">
      <c r="A55" s="55"/>
      <c r="B55" s="55"/>
      <c r="C55" s="55"/>
      <c r="D55" s="55"/>
      <c r="E55" s="55"/>
      <c r="F55" s="55"/>
      <c r="G55" s="55"/>
      <c r="H55" s="55"/>
      <c r="I55" s="55"/>
      <c r="J55" s="55"/>
      <c r="K55" s="55"/>
      <c r="L55" s="55"/>
      <c r="M55" s="55"/>
      <c r="N55" s="55"/>
      <c r="O55" s="55"/>
      <c r="P55" s="55"/>
      <c r="Q55" s="55"/>
      <c r="R55" s="55"/>
      <c r="S55" s="55"/>
      <c r="T55" s="55"/>
      <c r="U55" s="55"/>
      <c r="V55" s="55"/>
      <c r="W55" s="55"/>
      <c r="X55" s="55"/>
      <c r="Y55" s="55"/>
      <c r="Z55" s="55"/>
      <c r="AA55" s="55"/>
    </row>
    <row r="56" spans="1:27" hidden="1" x14ac:dyDescent="0.25">
      <c r="A56" s="55"/>
      <c r="B56" s="55"/>
      <c r="C56" s="55"/>
      <c r="D56" s="55"/>
      <c r="E56" s="55"/>
      <c r="F56" s="55"/>
      <c r="G56" s="55"/>
      <c r="H56" s="55"/>
      <c r="I56" s="55"/>
      <c r="J56" s="55"/>
      <c r="K56" s="55"/>
      <c r="L56" s="55"/>
      <c r="M56" s="55"/>
      <c r="N56" s="55"/>
      <c r="O56" s="55"/>
      <c r="P56" s="55"/>
      <c r="Q56" s="55"/>
      <c r="R56" s="55"/>
      <c r="S56" s="55"/>
      <c r="T56" s="55"/>
      <c r="U56" s="55"/>
      <c r="V56" s="55"/>
      <c r="W56" s="55"/>
      <c r="X56" s="55"/>
      <c r="Y56" s="55"/>
      <c r="Z56" s="55"/>
      <c r="AA56" s="55"/>
    </row>
    <row r="57" spans="1:27" hidden="1" x14ac:dyDescent="0.25">
      <c r="A57" s="55"/>
      <c r="B57" s="55"/>
      <c r="C57" s="55"/>
      <c r="D57" s="55"/>
      <c r="E57" s="55"/>
      <c r="F57" s="55"/>
      <c r="G57" s="55"/>
      <c r="H57" s="55"/>
      <c r="I57" s="55"/>
      <c r="J57" s="55"/>
      <c r="K57" s="55"/>
      <c r="L57" s="55"/>
      <c r="M57" s="55"/>
      <c r="N57" s="55"/>
      <c r="O57" s="55"/>
      <c r="P57" s="55"/>
      <c r="Q57" s="55"/>
      <c r="R57" s="55"/>
      <c r="S57" s="55"/>
      <c r="T57" s="55"/>
      <c r="U57" s="55"/>
      <c r="V57" s="55"/>
      <c r="W57" s="55"/>
      <c r="X57" s="55"/>
      <c r="Y57" s="55"/>
      <c r="Z57" s="55"/>
      <c r="AA57" s="55"/>
    </row>
    <row r="58" spans="1:27" hidden="1" x14ac:dyDescent="0.25">
      <c r="A58" s="55"/>
      <c r="B58" s="55"/>
      <c r="C58" s="55"/>
      <c r="D58" s="55"/>
      <c r="E58" s="55"/>
      <c r="F58" s="55"/>
      <c r="G58" s="55"/>
      <c r="H58" s="55"/>
      <c r="I58" s="55"/>
      <c r="J58" s="55"/>
      <c r="K58" s="55"/>
      <c r="L58" s="55"/>
      <c r="M58" s="55"/>
      <c r="N58" s="55"/>
      <c r="O58" s="55"/>
      <c r="P58" s="55"/>
      <c r="Q58" s="55"/>
      <c r="R58" s="55"/>
      <c r="S58" s="55"/>
      <c r="T58" s="55"/>
      <c r="U58" s="55"/>
      <c r="V58" s="55"/>
      <c r="W58" s="55"/>
      <c r="X58" s="55"/>
      <c r="Y58" s="55"/>
      <c r="Z58" s="55"/>
      <c r="AA58" s="55"/>
    </row>
    <row r="59" spans="1:27" hidden="1" x14ac:dyDescent="0.25">
      <c r="A59" s="55"/>
      <c r="B59" s="55"/>
      <c r="C59" s="55"/>
      <c r="D59" s="55"/>
      <c r="E59" s="55"/>
      <c r="F59" s="55"/>
      <c r="G59" s="55"/>
      <c r="H59" s="55"/>
      <c r="I59" s="55"/>
      <c r="J59" s="55"/>
      <c r="K59" s="55"/>
      <c r="L59" s="55"/>
      <c r="M59" s="55"/>
      <c r="N59" s="55"/>
      <c r="O59" s="55"/>
      <c r="P59" s="55"/>
      <c r="Q59" s="55"/>
      <c r="R59" s="55"/>
      <c r="S59" s="55"/>
      <c r="T59" s="55"/>
      <c r="U59" s="55"/>
      <c r="V59" s="55"/>
      <c r="W59" s="55"/>
      <c r="X59" s="55"/>
      <c r="Y59" s="55"/>
      <c r="Z59" s="55"/>
      <c r="AA59" s="55"/>
    </row>
    <row r="60" spans="1:27" hidden="1" x14ac:dyDescent="0.25">
      <c r="A60" s="55"/>
      <c r="B60" s="55"/>
      <c r="C60" s="55"/>
      <c r="D60" s="55"/>
      <c r="E60" s="55"/>
      <c r="F60" s="55"/>
      <c r="G60" s="55"/>
      <c r="H60" s="55"/>
      <c r="I60" s="55"/>
      <c r="J60" s="55"/>
      <c r="K60" s="55"/>
      <c r="L60" s="55"/>
      <c r="M60" s="55"/>
      <c r="N60" s="55"/>
      <c r="O60" s="55"/>
      <c r="P60" s="55"/>
      <c r="Q60" s="55"/>
      <c r="R60" s="55"/>
      <c r="S60" s="55"/>
      <c r="T60" s="55"/>
      <c r="U60" s="55"/>
      <c r="V60" s="55"/>
      <c r="W60" s="55"/>
      <c r="X60" s="55"/>
      <c r="Y60" s="55"/>
      <c r="Z60" s="55"/>
      <c r="AA60" s="55"/>
    </row>
    <row r="61" spans="1:27" hidden="1" x14ac:dyDescent="0.25">
      <c r="A61" s="55"/>
      <c r="B61" s="55"/>
      <c r="C61" s="55"/>
      <c r="D61" s="55"/>
      <c r="E61" s="55"/>
      <c r="F61" s="55"/>
      <c r="G61" s="55"/>
      <c r="H61" s="55"/>
      <c r="I61" s="55"/>
      <c r="J61" s="55"/>
      <c r="K61" s="55"/>
      <c r="L61" s="55"/>
      <c r="M61" s="55"/>
      <c r="N61" s="55"/>
      <c r="O61" s="55"/>
      <c r="P61" s="55"/>
      <c r="Q61" s="55"/>
      <c r="R61" s="55"/>
      <c r="S61" s="55"/>
      <c r="T61" s="55"/>
      <c r="U61" s="55"/>
      <c r="V61" s="55"/>
      <c r="W61" s="55"/>
      <c r="X61" s="55"/>
      <c r="Y61" s="55"/>
      <c r="Z61" s="55"/>
      <c r="AA61" s="55"/>
    </row>
    <row r="62" spans="1:27" hidden="1" x14ac:dyDescent="0.25">
      <c r="A62" s="55"/>
      <c r="B62" s="55"/>
      <c r="C62" s="55"/>
      <c r="D62" s="55"/>
      <c r="E62" s="55"/>
      <c r="F62" s="55"/>
      <c r="G62" s="55"/>
      <c r="H62" s="55"/>
      <c r="I62" s="55"/>
      <c r="J62" s="55"/>
      <c r="K62" s="55"/>
      <c r="L62" s="55"/>
      <c r="M62" s="55"/>
      <c r="N62" s="55"/>
      <c r="O62" s="55"/>
      <c r="P62" s="55"/>
      <c r="Q62" s="55"/>
      <c r="R62" s="55"/>
      <c r="S62" s="55"/>
      <c r="T62" s="55"/>
      <c r="U62" s="55"/>
      <c r="V62" s="55"/>
      <c r="W62" s="55"/>
      <c r="X62" s="55"/>
      <c r="Y62" s="55"/>
      <c r="Z62" s="55"/>
      <c r="AA62" s="55"/>
    </row>
    <row r="63" spans="1:27" hidden="1" x14ac:dyDescent="0.25">
      <c r="A63" s="55"/>
      <c r="B63" s="55"/>
      <c r="C63" s="55"/>
      <c r="D63" s="55"/>
      <c r="E63" s="55"/>
      <c r="F63" s="55"/>
      <c r="G63" s="55"/>
      <c r="H63" s="55"/>
      <c r="I63" s="55"/>
      <c r="J63" s="55"/>
      <c r="K63" s="55"/>
      <c r="L63" s="55"/>
      <c r="M63" s="55"/>
      <c r="N63" s="55"/>
      <c r="O63" s="55"/>
      <c r="P63" s="55"/>
      <c r="Q63" s="55"/>
      <c r="R63" s="55"/>
      <c r="S63" s="55"/>
      <c r="T63" s="55"/>
      <c r="U63" s="55"/>
      <c r="V63" s="55"/>
      <c r="W63" s="55"/>
      <c r="X63" s="55"/>
      <c r="Y63" s="55"/>
      <c r="Z63" s="55"/>
      <c r="AA63" s="55"/>
    </row>
    <row r="64" spans="1:27" hidden="1" x14ac:dyDescent="0.25">
      <c r="A64" s="55"/>
      <c r="B64" s="55"/>
      <c r="C64" s="55"/>
      <c r="D64" s="55"/>
      <c r="E64" s="55"/>
      <c r="F64" s="55"/>
      <c r="G64" s="55"/>
      <c r="H64" s="55"/>
      <c r="I64" s="55"/>
      <c r="J64" s="55"/>
      <c r="K64" s="55"/>
      <c r="L64" s="55"/>
      <c r="M64" s="55"/>
      <c r="N64" s="55"/>
      <c r="O64" s="55"/>
      <c r="P64" s="55"/>
      <c r="Q64" s="55"/>
      <c r="R64" s="55"/>
      <c r="S64" s="55"/>
      <c r="T64" s="55"/>
      <c r="U64" s="55"/>
      <c r="V64" s="55"/>
      <c r="W64" s="55"/>
      <c r="X64" s="55"/>
      <c r="Y64" s="55"/>
      <c r="Z64" s="55"/>
      <c r="AA64" s="55"/>
    </row>
    <row r="65" spans="1:27" hidden="1" x14ac:dyDescent="0.25">
      <c r="A65" s="55"/>
      <c r="B65" s="55"/>
      <c r="C65" s="55"/>
      <c r="D65" s="55"/>
      <c r="E65" s="55"/>
      <c r="F65" s="55"/>
      <c r="G65" s="55"/>
      <c r="H65" s="55"/>
      <c r="I65" s="55"/>
      <c r="J65" s="55"/>
      <c r="K65" s="55"/>
      <c r="L65" s="55"/>
      <c r="M65" s="55"/>
      <c r="N65" s="55"/>
      <c r="O65" s="55"/>
      <c r="P65" s="55"/>
      <c r="Q65" s="55"/>
      <c r="R65" s="55"/>
      <c r="S65" s="55"/>
      <c r="T65" s="55"/>
      <c r="U65" s="55"/>
      <c r="V65" s="55"/>
      <c r="W65" s="55"/>
      <c r="X65" s="55"/>
      <c r="Y65" s="55"/>
      <c r="Z65" s="55"/>
      <c r="AA65" s="55"/>
    </row>
    <row r="66" spans="1:27" hidden="1" x14ac:dyDescent="0.25">
      <c r="A66" s="55"/>
      <c r="B66" s="55"/>
      <c r="C66" s="55"/>
      <c r="D66" s="55"/>
      <c r="E66" s="55"/>
      <c r="F66" s="55"/>
      <c r="G66" s="55"/>
      <c r="H66" s="55"/>
      <c r="I66" s="55"/>
      <c r="J66" s="55"/>
      <c r="K66" s="55"/>
      <c r="L66" s="55"/>
      <c r="M66" s="55"/>
      <c r="N66" s="55"/>
      <c r="O66" s="55"/>
      <c r="P66" s="55"/>
      <c r="Q66" s="55"/>
      <c r="R66" s="55"/>
      <c r="S66" s="55"/>
      <c r="T66" s="55"/>
      <c r="U66" s="55"/>
      <c r="V66" s="55"/>
      <c r="W66" s="55"/>
      <c r="X66" s="55"/>
      <c r="Y66" s="55"/>
      <c r="Z66" s="55"/>
      <c r="AA66" s="55"/>
    </row>
    <row r="67" spans="1:27" hidden="1" x14ac:dyDescent="0.25">
      <c r="A67" s="320" t="s">
        <v>439</v>
      </c>
      <c r="B67" s="55"/>
      <c r="C67" s="55"/>
      <c r="D67" s="55"/>
      <c r="E67" s="55"/>
      <c r="F67" s="55"/>
      <c r="G67" s="55"/>
      <c r="H67" s="55"/>
      <c r="I67" s="55"/>
      <c r="J67" s="55"/>
      <c r="K67" s="55"/>
      <c r="L67" s="55"/>
      <c r="M67" s="55"/>
      <c r="N67" s="55"/>
      <c r="O67" s="55"/>
      <c r="P67" s="55"/>
      <c r="Q67" s="55"/>
      <c r="R67" s="55"/>
      <c r="S67" s="55"/>
      <c r="T67" s="55"/>
      <c r="U67" s="55"/>
      <c r="V67" s="55"/>
      <c r="W67" s="55"/>
      <c r="X67" s="55"/>
      <c r="Y67" s="55"/>
      <c r="Z67" s="55"/>
      <c r="AA67" s="55"/>
    </row>
    <row r="68" spans="1:27" ht="14.4" hidden="1" x14ac:dyDescent="0.3">
      <c r="A68" s="184" t="s">
        <v>440</v>
      </c>
      <c r="B68" s="55"/>
      <c r="C68" s="55"/>
      <c r="D68" s="55"/>
      <c r="E68" s="55"/>
      <c r="F68" s="55"/>
      <c r="G68" s="55"/>
      <c r="H68" s="55"/>
      <c r="I68" s="55"/>
      <c r="J68" s="55"/>
      <c r="K68" s="55"/>
      <c r="L68" s="55"/>
      <c r="M68" s="55"/>
      <c r="N68" s="55"/>
      <c r="O68" s="55"/>
      <c r="P68" s="55"/>
      <c r="Q68" s="55"/>
      <c r="R68" s="55"/>
      <c r="S68" s="55"/>
      <c r="T68" s="55"/>
      <c r="U68" s="55"/>
      <c r="V68" s="55"/>
      <c r="W68" s="55"/>
      <c r="X68" s="55"/>
      <c r="Y68" s="55"/>
      <c r="Z68" s="55"/>
      <c r="AA68" s="55"/>
    </row>
    <row r="69" spans="1:27" hidden="1" x14ac:dyDescent="0.25">
      <c r="A69" s="55"/>
      <c r="B69" s="55"/>
      <c r="C69" s="55"/>
      <c r="D69" s="55"/>
      <c r="E69" s="55"/>
      <c r="F69" s="55"/>
      <c r="G69" s="55"/>
      <c r="H69" s="55"/>
      <c r="I69" s="55"/>
      <c r="J69" s="55"/>
      <c r="K69" s="55"/>
      <c r="L69" s="55"/>
      <c r="M69" s="55"/>
      <c r="N69" s="55"/>
      <c r="O69" s="55"/>
      <c r="P69" s="55"/>
      <c r="Q69" s="55"/>
      <c r="R69" s="55"/>
      <c r="S69" s="55"/>
      <c r="T69" s="55"/>
      <c r="U69" s="55"/>
      <c r="V69" s="55"/>
      <c r="W69" s="55"/>
      <c r="X69" s="55"/>
      <c r="Y69" s="55"/>
      <c r="Z69" s="55"/>
      <c r="AA69" s="55"/>
    </row>
    <row r="70" spans="1:27" hidden="1" x14ac:dyDescent="0.25">
      <c r="A70" s="55"/>
      <c r="B70" s="55"/>
      <c r="C70" s="55"/>
      <c r="D70" s="55"/>
      <c r="E70" s="55"/>
      <c r="F70" s="55"/>
      <c r="G70" s="55"/>
      <c r="H70" s="55"/>
      <c r="I70" s="55"/>
      <c r="J70" s="55"/>
      <c r="K70" s="55"/>
      <c r="L70" s="55"/>
      <c r="M70" s="55"/>
      <c r="N70" s="55"/>
      <c r="O70" s="55"/>
      <c r="P70" s="55"/>
      <c r="Q70" s="55"/>
      <c r="R70" s="55"/>
      <c r="S70" s="55"/>
      <c r="T70" s="55"/>
      <c r="U70" s="55"/>
      <c r="V70" s="55"/>
      <c r="W70" s="55"/>
      <c r="X70" s="55"/>
      <c r="Y70" s="55"/>
      <c r="Z70" s="55"/>
      <c r="AA70" s="55"/>
    </row>
    <row r="71" spans="1:27" hidden="1" x14ac:dyDescent="0.25">
      <c r="A71" s="55"/>
      <c r="B71" s="55"/>
      <c r="C71" s="55"/>
      <c r="D71" s="55"/>
      <c r="E71" s="55"/>
      <c r="F71" s="55"/>
      <c r="G71" s="55"/>
      <c r="H71" s="55"/>
      <c r="I71" s="55"/>
      <c r="J71" s="55"/>
      <c r="K71" s="55"/>
      <c r="L71" s="55"/>
      <c r="M71" s="55"/>
      <c r="N71" s="55"/>
      <c r="O71" s="55"/>
      <c r="P71" s="55"/>
      <c r="Q71" s="55"/>
      <c r="R71" s="55"/>
      <c r="S71" s="55"/>
      <c r="T71" s="55"/>
      <c r="U71" s="55"/>
      <c r="V71" s="55"/>
      <c r="W71" s="55"/>
      <c r="X71" s="55"/>
      <c r="Y71" s="55"/>
      <c r="Z71" s="55"/>
      <c r="AA71" s="55"/>
    </row>
    <row r="72" spans="1:27" hidden="1" x14ac:dyDescent="0.25">
      <c r="A72" s="55"/>
      <c r="B72" s="55"/>
      <c r="C72" s="55"/>
      <c r="D72" s="55"/>
      <c r="E72" s="55"/>
      <c r="F72" s="55"/>
      <c r="G72" s="55"/>
      <c r="H72" s="55"/>
      <c r="I72" s="55"/>
      <c r="J72" s="55"/>
      <c r="K72" s="55"/>
      <c r="L72" s="55"/>
      <c r="M72" s="55"/>
      <c r="N72" s="55"/>
      <c r="O72" s="55"/>
      <c r="P72" s="55"/>
      <c r="Q72" s="55"/>
      <c r="R72" s="55"/>
      <c r="S72" s="55"/>
      <c r="T72" s="55"/>
      <c r="U72" s="55"/>
      <c r="V72" s="55"/>
      <c r="W72" s="55"/>
      <c r="X72" s="55"/>
      <c r="Y72" s="55"/>
      <c r="Z72" s="55"/>
      <c r="AA72" s="55"/>
    </row>
    <row r="73" spans="1:27" hidden="1" x14ac:dyDescent="0.25">
      <c r="A73" s="55"/>
      <c r="B73" s="55"/>
      <c r="C73" s="55"/>
      <c r="D73" s="55"/>
      <c r="E73" s="55"/>
      <c r="F73" s="55"/>
      <c r="G73" s="55"/>
      <c r="H73" s="55"/>
      <c r="I73" s="55"/>
      <c r="J73" s="55"/>
      <c r="K73" s="55"/>
      <c r="L73" s="55"/>
      <c r="M73" s="55"/>
      <c r="N73" s="55"/>
      <c r="O73" s="55"/>
      <c r="P73" s="55"/>
      <c r="Q73" s="55"/>
      <c r="R73" s="55"/>
      <c r="S73" s="55"/>
      <c r="T73" s="55"/>
      <c r="U73" s="55"/>
      <c r="V73" s="55"/>
      <c r="W73" s="55"/>
      <c r="X73" s="55"/>
      <c r="Y73" s="55"/>
      <c r="Z73" s="55"/>
      <c r="AA73" s="55"/>
    </row>
    <row r="74" spans="1:27" hidden="1" x14ac:dyDescent="0.25">
      <c r="A74" s="55"/>
      <c r="B74" s="55"/>
      <c r="C74" s="55"/>
      <c r="D74" s="55"/>
      <c r="E74" s="55"/>
      <c r="F74" s="55"/>
      <c r="G74" s="55"/>
      <c r="H74" s="55"/>
      <c r="I74" s="55"/>
      <c r="J74" s="55"/>
      <c r="K74" s="55"/>
      <c r="L74" s="55"/>
      <c r="M74" s="55"/>
      <c r="N74" s="55"/>
      <c r="O74" s="55"/>
      <c r="P74" s="55"/>
      <c r="Q74" s="55"/>
      <c r="R74" s="55"/>
      <c r="S74" s="55"/>
      <c r="T74" s="55"/>
      <c r="U74" s="55"/>
      <c r="V74" s="55"/>
      <c r="W74" s="55"/>
      <c r="X74" s="55"/>
      <c r="Y74" s="55"/>
      <c r="Z74" s="55"/>
      <c r="AA74" s="55"/>
    </row>
    <row r="75" spans="1:27" hidden="1" x14ac:dyDescent="0.25">
      <c r="A75" s="55"/>
      <c r="B75" s="55"/>
      <c r="C75" s="55"/>
      <c r="D75" s="55"/>
      <c r="E75" s="55"/>
      <c r="F75" s="55"/>
      <c r="G75" s="55"/>
      <c r="H75" s="55"/>
      <c r="I75" s="55"/>
      <c r="J75" s="55"/>
      <c r="K75" s="55"/>
      <c r="L75" s="55"/>
      <c r="M75" s="55"/>
      <c r="N75" s="55"/>
      <c r="O75" s="55"/>
      <c r="P75" s="55"/>
      <c r="Q75" s="55"/>
      <c r="R75" s="55"/>
      <c r="S75" s="55"/>
      <c r="T75" s="55"/>
      <c r="U75" s="55"/>
      <c r="V75" s="55"/>
      <c r="W75" s="55"/>
      <c r="X75" s="55"/>
      <c r="Y75" s="55"/>
      <c r="Z75" s="55"/>
      <c r="AA75" s="55"/>
    </row>
    <row r="76" spans="1:27" hidden="1" x14ac:dyDescent="0.25">
      <c r="A76" s="55"/>
      <c r="B76" s="55"/>
      <c r="C76" s="55"/>
      <c r="D76" s="55"/>
      <c r="E76" s="55"/>
      <c r="F76" s="55"/>
      <c r="G76" s="55"/>
      <c r="H76" s="55"/>
      <c r="I76" s="55"/>
      <c r="J76" s="55"/>
      <c r="K76" s="55"/>
      <c r="L76" s="55"/>
      <c r="M76" s="55"/>
      <c r="N76" s="55"/>
      <c r="O76" s="55"/>
      <c r="P76" s="55"/>
      <c r="Q76" s="55"/>
      <c r="R76" s="55"/>
      <c r="S76" s="55"/>
      <c r="T76" s="55"/>
      <c r="U76" s="55"/>
      <c r="V76" s="55"/>
      <c r="W76" s="55"/>
      <c r="X76" s="55"/>
      <c r="Y76" s="55"/>
      <c r="Z76" s="55"/>
      <c r="AA76" s="55"/>
    </row>
    <row r="77" spans="1:27" hidden="1" x14ac:dyDescent="0.25">
      <c r="A77" s="55"/>
      <c r="B77" s="55"/>
      <c r="C77" s="55"/>
      <c r="D77" s="55"/>
      <c r="E77" s="55"/>
      <c r="F77" s="55"/>
      <c r="G77" s="55"/>
      <c r="H77" s="55"/>
      <c r="I77" s="55"/>
      <c r="J77" s="55"/>
      <c r="K77" s="55"/>
      <c r="L77" s="55"/>
      <c r="M77" s="55"/>
      <c r="N77" s="55"/>
      <c r="O77" s="55"/>
      <c r="P77" s="55"/>
      <c r="Q77" s="55"/>
      <c r="R77" s="55"/>
      <c r="S77" s="55"/>
      <c r="T77" s="55"/>
      <c r="U77" s="55"/>
      <c r="V77" s="55"/>
      <c r="W77" s="55"/>
      <c r="X77" s="55"/>
      <c r="Y77" s="55"/>
      <c r="Z77" s="55"/>
      <c r="AA77" s="55"/>
    </row>
    <row r="78" spans="1:27" hidden="1" x14ac:dyDescent="0.25">
      <c r="A78" s="55"/>
      <c r="B78" s="55"/>
      <c r="C78" s="55"/>
      <c r="D78" s="55"/>
      <c r="E78" s="55"/>
      <c r="F78" s="55"/>
      <c r="G78" s="55"/>
      <c r="H78" s="55"/>
      <c r="I78" s="55"/>
      <c r="J78" s="55"/>
      <c r="K78" s="55"/>
      <c r="L78" s="55"/>
      <c r="M78" s="55"/>
      <c r="N78" s="55"/>
      <c r="O78" s="55"/>
      <c r="P78" s="55"/>
      <c r="Q78" s="55"/>
      <c r="R78" s="55"/>
      <c r="S78" s="55"/>
      <c r="T78" s="55"/>
      <c r="U78" s="55"/>
      <c r="V78" s="55"/>
      <c r="W78" s="55"/>
      <c r="X78" s="55"/>
      <c r="Y78" s="55"/>
      <c r="Z78" s="55"/>
      <c r="AA78" s="55"/>
    </row>
    <row r="79" spans="1:27" hidden="1" x14ac:dyDescent="0.25">
      <c r="A79" s="55"/>
      <c r="B79" s="55"/>
      <c r="C79" s="55"/>
      <c r="D79" s="55"/>
      <c r="E79" s="55"/>
      <c r="F79" s="55"/>
      <c r="G79" s="55"/>
      <c r="H79" s="55"/>
      <c r="I79" s="55"/>
      <c r="J79" s="55"/>
      <c r="K79" s="55"/>
      <c r="L79" s="55"/>
      <c r="M79" s="55"/>
      <c r="N79" s="55"/>
      <c r="O79" s="55"/>
      <c r="P79" s="55"/>
      <c r="Q79" s="55"/>
      <c r="R79" s="55"/>
      <c r="S79" s="55"/>
      <c r="T79" s="55"/>
      <c r="U79" s="55"/>
      <c r="V79" s="55"/>
      <c r="W79" s="55"/>
      <c r="X79" s="55"/>
      <c r="Y79" s="55"/>
      <c r="Z79" s="55"/>
      <c r="AA79" s="55"/>
    </row>
    <row r="80" spans="1:27" hidden="1" x14ac:dyDescent="0.25">
      <c r="A80" s="55"/>
      <c r="B80" s="55"/>
      <c r="C80" s="55"/>
      <c r="D80" s="55"/>
      <c r="E80" s="55"/>
      <c r="F80" s="55"/>
      <c r="G80" s="55"/>
      <c r="H80" s="55"/>
      <c r="I80" s="55"/>
      <c r="J80" s="55"/>
      <c r="K80" s="55"/>
      <c r="L80" s="55"/>
      <c r="M80" s="55"/>
      <c r="N80" s="55"/>
      <c r="O80" s="55"/>
      <c r="P80" s="55"/>
      <c r="Q80" s="55"/>
      <c r="R80" s="55"/>
      <c r="S80" s="55"/>
      <c r="T80" s="55"/>
      <c r="U80" s="55"/>
      <c r="V80" s="55"/>
      <c r="W80" s="55"/>
      <c r="X80" s="55"/>
      <c r="Y80" s="55"/>
      <c r="Z80" s="55"/>
      <c r="AA80" s="55"/>
    </row>
    <row r="81" spans="1:27" hidden="1" x14ac:dyDescent="0.25">
      <c r="A81" s="55"/>
      <c r="B81" s="55"/>
      <c r="C81" s="55"/>
      <c r="D81" s="55"/>
      <c r="E81" s="55"/>
      <c r="F81" s="55"/>
      <c r="G81" s="55"/>
      <c r="H81" s="55"/>
      <c r="I81" s="55"/>
      <c r="J81" s="55"/>
      <c r="K81" s="55"/>
      <c r="L81" s="55"/>
      <c r="M81" s="55"/>
      <c r="N81" s="55"/>
      <c r="O81" s="55"/>
      <c r="P81" s="55"/>
      <c r="Q81" s="55"/>
      <c r="R81" s="55"/>
      <c r="S81" s="55"/>
      <c r="T81" s="55"/>
      <c r="U81" s="55"/>
      <c r="V81" s="55"/>
      <c r="W81" s="55"/>
      <c r="X81" s="55"/>
      <c r="Y81" s="55"/>
      <c r="Z81" s="55"/>
      <c r="AA81" s="55"/>
    </row>
    <row r="82" spans="1:27" hidden="1" x14ac:dyDescent="0.25">
      <c r="A82" s="55"/>
      <c r="B82" s="55"/>
      <c r="C82" s="55"/>
      <c r="D82" s="55"/>
      <c r="E82" s="55"/>
      <c r="F82" s="55"/>
      <c r="G82" s="55"/>
      <c r="H82" s="55"/>
      <c r="I82" s="55"/>
      <c r="J82" s="55"/>
      <c r="K82" s="55"/>
      <c r="L82" s="55"/>
      <c r="M82" s="55"/>
      <c r="N82" s="55"/>
      <c r="O82" s="55"/>
      <c r="P82" s="55"/>
      <c r="Q82" s="55"/>
      <c r="R82" s="55"/>
      <c r="S82" s="55"/>
      <c r="T82" s="55"/>
      <c r="U82" s="55"/>
      <c r="V82" s="55"/>
      <c r="W82" s="55"/>
      <c r="X82" s="55"/>
      <c r="Y82" s="55"/>
      <c r="Z82" s="55"/>
      <c r="AA82" s="55"/>
    </row>
    <row r="83" spans="1:27" hidden="1" x14ac:dyDescent="0.25">
      <c r="A83" s="320" t="s">
        <v>441</v>
      </c>
      <c r="B83" s="55"/>
      <c r="C83" s="55"/>
      <c r="D83" s="55"/>
      <c r="E83" s="55"/>
      <c r="F83" s="55"/>
      <c r="G83" s="55"/>
      <c r="H83" s="55"/>
      <c r="I83" s="55"/>
      <c r="J83" s="55"/>
      <c r="K83" s="55"/>
      <c r="L83" s="55"/>
      <c r="M83" s="55"/>
      <c r="N83" s="55"/>
      <c r="O83" s="55"/>
      <c r="P83" s="55"/>
      <c r="Q83" s="55"/>
      <c r="R83" s="55"/>
      <c r="S83" s="55"/>
      <c r="T83" s="55"/>
      <c r="U83" s="55"/>
      <c r="V83" s="55"/>
      <c r="W83" s="55"/>
      <c r="X83" s="55"/>
      <c r="Y83" s="55"/>
      <c r="Z83" s="55"/>
      <c r="AA83" s="55"/>
    </row>
    <row r="84" spans="1:27" hidden="1" x14ac:dyDescent="0.25">
      <c r="A84" s="55"/>
      <c r="B84" s="55"/>
      <c r="C84" s="55"/>
      <c r="D84" s="55"/>
      <c r="E84" s="55"/>
      <c r="F84" s="55"/>
      <c r="G84" s="55"/>
      <c r="H84" s="55"/>
      <c r="I84" s="55"/>
      <c r="J84" s="55"/>
      <c r="K84" s="55"/>
      <c r="L84" s="55"/>
      <c r="M84" s="55"/>
      <c r="N84" s="55"/>
      <c r="O84" s="55"/>
      <c r="P84" s="55"/>
      <c r="Q84" s="55"/>
      <c r="R84" s="55"/>
      <c r="S84" s="55"/>
      <c r="T84" s="55"/>
      <c r="U84" s="55"/>
      <c r="V84" s="55"/>
      <c r="W84" s="55"/>
      <c r="X84" s="55"/>
      <c r="Y84" s="55"/>
      <c r="Z84" s="55"/>
      <c r="AA84" s="55"/>
    </row>
    <row r="85" spans="1:27" hidden="1" x14ac:dyDescent="0.25">
      <c r="A85" s="55"/>
      <c r="B85" s="55"/>
      <c r="C85" s="55"/>
      <c r="D85" s="55"/>
      <c r="E85" s="55"/>
      <c r="F85" s="55"/>
      <c r="G85" s="55"/>
      <c r="H85" s="55"/>
      <c r="I85" s="55"/>
      <c r="J85" s="55"/>
      <c r="K85" s="55"/>
      <c r="L85" s="55"/>
      <c r="M85" s="55"/>
      <c r="N85" s="55"/>
      <c r="O85" s="55"/>
      <c r="P85" s="55"/>
      <c r="Q85" s="55"/>
      <c r="R85" s="55"/>
      <c r="S85" s="55"/>
      <c r="T85" s="55"/>
      <c r="U85" s="55"/>
      <c r="V85" s="55"/>
      <c r="W85" s="55"/>
      <c r="X85" s="55"/>
      <c r="Y85" s="55"/>
      <c r="Z85" s="55"/>
      <c r="AA85" s="55"/>
    </row>
    <row r="86" spans="1:27" hidden="1" x14ac:dyDescent="0.25">
      <c r="A86" s="55"/>
      <c r="B86" s="55"/>
      <c r="C86" s="55"/>
      <c r="D86" s="55"/>
      <c r="E86" s="55"/>
      <c r="F86" s="55"/>
      <c r="G86" s="55"/>
      <c r="H86" s="55"/>
      <c r="I86" s="55"/>
      <c r="J86" s="55"/>
      <c r="K86" s="55"/>
      <c r="L86" s="55"/>
      <c r="M86" s="55"/>
      <c r="N86" s="55"/>
      <c r="O86" s="55"/>
      <c r="P86" s="55"/>
      <c r="Q86" s="55"/>
      <c r="R86" s="55"/>
      <c r="S86" s="55"/>
      <c r="T86" s="55"/>
      <c r="U86" s="55"/>
      <c r="V86" s="55"/>
      <c r="W86" s="55"/>
      <c r="X86" s="55"/>
      <c r="Y86" s="55"/>
      <c r="Z86" s="55"/>
      <c r="AA86" s="55"/>
    </row>
    <row r="87" spans="1:27" ht="14.4" hidden="1" x14ac:dyDescent="0.3">
      <c r="A87"/>
      <c r="B87" s="55"/>
      <c r="C87" s="55"/>
      <c r="D87" s="55"/>
      <c r="E87" s="55"/>
      <c r="F87" s="55"/>
      <c r="G87" s="55"/>
      <c r="H87" s="55"/>
      <c r="I87" s="55"/>
      <c r="J87" s="55"/>
      <c r="K87" s="55"/>
      <c r="L87" s="55"/>
      <c r="M87" s="55"/>
      <c r="N87" s="55"/>
      <c r="O87" s="55"/>
      <c r="P87" s="55"/>
      <c r="Q87" s="55"/>
      <c r="R87" s="55"/>
      <c r="S87" s="55"/>
      <c r="T87" s="55"/>
      <c r="U87" s="55"/>
      <c r="V87" s="55"/>
      <c r="W87" s="55"/>
      <c r="X87" s="55"/>
      <c r="Y87" s="55"/>
      <c r="Z87" s="55"/>
      <c r="AA87" s="55"/>
    </row>
    <row r="88" spans="1:27" hidden="1" x14ac:dyDescent="0.25">
      <c r="A88" s="55"/>
      <c r="B88" s="55"/>
      <c r="C88" s="55"/>
      <c r="D88" s="55"/>
      <c r="E88" s="55"/>
      <c r="F88" s="55"/>
      <c r="G88" s="55"/>
      <c r="H88" s="55"/>
      <c r="I88" s="55"/>
      <c r="J88" s="55"/>
      <c r="K88" s="55"/>
      <c r="L88" s="55"/>
      <c r="M88" s="55"/>
      <c r="N88" s="55"/>
      <c r="O88" s="55"/>
      <c r="P88" s="55"/>
      <c r="Q88" s="55"/>
      <c r="R88" s="55"/>
      <c r="S88" s="55"/>
      <c r="T88" s="55"/>
      <c r="U88" s="55"/>
      <c r="V88" s="55"/>
      <c r="W88" s="55"/>
      <c r="X88" s="55"/>
      <c r="Y88" s="55"/>
      <c r="Z88" s="55"/>
      <c r="AA88" s="55"/>
    </row>
    <row r="89" spans="1:27" hidden="1" x14ac:dyDescent="0.25">
      <c r="A89" s="55"/>
      <c r="B89" s="55"/>
      <c r="C89" s="55"/>
      <c r="D89" s="55"/>
      <c r="E89" s="55"/>
      <c r="F89" s="55"/>
      <c r="G89" s="55"/>
      <c r="H89" s="55"/>
      <c r="I89" s="55"/>
      <c r="J89" s="55"/>
      <c r="K89" s="55"/>
      <c r="L89" s="55"/>
      <c r="M89" s="55"/>
      <c r="N89" s="55"/>
      <c r="O89" s="55"/>
      <c r="P89" s="55"/>
      <c r="Q89" s="55"/>
      <c r="R89" s="55"/>
      <c r="S89" s="55"/>
      <c r="T89" s="55"/>
      <c r="U89" s="55"/>
      <c r="V89" s="55"/>
      <c r="W89" s="55"/>
      <c r="X89" s="55"/>
      <c r="Y89" s="55"/>
      <c r="Z89" s="55"/>
      <c r="AA89" s="55"/>
    </row>
    <row r="90" spans="1:27" hidden="1" x14ac:dyDescent="0.25">
      <c r="A90" s="55"/>
      <c r="B90" s="55"/>
      <c r="C90" s="55"/>
      <c r="D90" s="55"/>
      <c r="E90" s="55"/>
      <c r="F90" s="55"/>
      <c r="G90" s="55"/>
      <c r="H90" s="55"/>
      <c r="I90" s="55"/>
      <c r="J90" s="55"/>
      <c r="K90" s="55"/>
      <c r="L90" s="55"/>
      <c r="M90" s="55"/>
      <c r="N90" s="55"/>
      <c r="O90" s="55"/>
      <c r="P90" s="55"/>
      <c r="Q90" s="55"/>
      <c r="R90" s="55"/>
      <c r="S90" s="55"/>
      <c r="T90" s="55"/>
      <c r="U90" s="55"/>
      <c r="V90" s="55"/>
      <c r="W90" s="55"/>
      <c r="X90" s="55"/>
      <c r="Y90" s="55"/>
      <c r="Z90" s="55"/>
      <c r="AA90" s="55"/>
    </row>
    <row r="91" spans="1:27" hidden="1" x14ac:dyDescent="0.25">
      <c r="A91" s="55"/>
      <c r="B91" s="55"/>
      <c r="C91" s="55"/>
      <c r="D91" s="55"/>
      <c r="E91" s="55"/>
      <c r="F91" s="55"/>
      <c r="G91" s="55"/>
      <c r="H91" s="55"/>
      <c r="I91" s="55"/>
      <c r="J91" s="55"/>
      <c r="K91" s="55"/>
      <c r="L91" s="55"/>
      <c r="M91" s="55"/>
      <c r="N91" s="55"/>
      <c r="O91" s="55"/>
      <c r="P91" s="55"/>
      <c r="Q91" s="55"/>
      <c r="R91" s="55"/>
      <c r="S91" s="55"/>
      <c r="T91" s="55"/>
      <c r="U91" s="55"/>
      <c r="V91" s="55"/>
      <c r="W91" s="55"/>
      <c r="X91" s="55"/>
      <c r="Y91" s="55"/>
      <c r="Z91" s="55"/>
      <c r="AA91" s="55"/>
    </row>
    <row r="92" spans="1:27" ht="14.4" hidden="1" x14ac:dyDescent="0.3">
      <c r="A92"/>
      <c r="B92" s="55"/>
      <c r="C92" s="55"/>
      <c r="D92" s="55"/>
      <c r="E92" s="55"/>
      <c r="F92" s="55"/>
      <c r="G92" s="55"/>
      <c r="H92" s="55"/>
      <c r="I92" s="55"/>
      <c r="J92" s="55"/>
      <c r="K92" s="55"/>
      <c r="L92" s="55"/>
      <c r="M92" s="55"/>
      <c r="N92" s="55"/>
      <c r="O92" s="55"/>
      <c r="P92" s="55"/>
      <c r="Q92" s="55"/>
      <c r="R92" s="55"/>
      <c r="S92" s="55"/>
      <c r="T92" s="55"/>
      <c r="U92" s="55"/>
      <c r="V92" s="55"/>
      <c r="W92" s="55"/>
      <c r="X92" s="55"/>
      <c r="Y92" s="55"/>
      <c r="Z92" s="55"/>
      <c r="AA92" s="55"/>
    </row>
    <row r="93" spans="1:27" hidden="1" x14ac:dyDescent="0.25">
      <c r="A93" s="55"/>
      <c r="B93" s="55"/>
      <c r="C93" s="55"/>
      <c r="D93" s="55"/>
      <c r="E93" s="55"/>
      <c r="F93" s="55"/>
      <c r="G93" s="55"/>
      <c r="H93" s="55"/>
      <c r="I93" s="55"/>
      <c r="J93" s="55"/>
      <c r="K93" s="55"/>
      <c r="L93" s="55"/>
      <c r="M93" s="55"/>
      <c r="N93" s="55"/>
      <c r="O93" s="55"/>
      <c r="P93" s="55"/>
      <c r="Q93" s="55"/>
      <c r="R93" s="55"/>
      <c r="S93" s="55"/>
      <c r="T93" s="55"/>
      <c r="U93" s="55"/>
      <c r="V93" s="55"/>
      <c r="W93" s="55"/>
      <c r="X93" s="55"/>
      <c r="Y93" s="55"/>
      <c r="Z93" s="55"/>
      <c r="AA93" s="55"/>
    </row>
    <row r="94" spans="1:27" hidden="1" x14ac:dyDescent="0.25">
      <c r="A94" s="55"/>
      <c r="B94" s="55"/>
      <c r="C94" s="55"/>
      <c r="D94" s="55"/>
      <c r="E94" s="55"/>
      <c r="F94" s="55"/>
      <c r="G94" s="55"/>
      <c r="H94" s="55"/>
      <c r="I94" s="55"/>
      <c r="J94" s="55"/>
      <c r="K94" s="55"/>
      <c r="L94" s="55"/>
      <c r="M94" s="55"/>
      <c r="N94" s="55"/>
      <c r="O94" s="55"/>
      <c r="P94" s="55"/>
      <c r="Q94" s="55"/>
      <c r="R94" s="55"/>
      <c r="S94" s="55"/>
      <c r="T94" s="55"/>
      <c r="U94" s="55"/>
      <c r="V94" s="55"/>
      <c r="W94" s="55"/>
      <c r="X94" s="55"/>
      <c r="Y94" s="55"/>
      <c r="Z94" s="55"/>
      <c r="AA94" s="55"/>
    </row>
    <row r="95" spans="1:27" hidden="1" x14ac:dyDescent="0.25">
      <c r="A95" s="55"/>
      <c r="B95" s="55"/>
      <c r="C95" s="55"/>
      <c r="D95" s="55"/>
      <c r="E95" s="55"/>
      <c r="F95" s="55"/>
      <c r="G95" s="55"/>
      <c r="H95" s="55"/>
      <c r="I95" s="55"/>
      <c r="J95" s="55"/>
      <c r="K95" s="55"/>
      <c r="L95" s="55"/>
      <c r="M95" s="55"/>
      <c r="N95" s="55"/>
      <c r="O95" s="55"/>
      <c r="P95" s="55"/>
      <c r="Q95" s="55"/>
      <c r="R95" s="55"/>
      <c r="S95" s="55"/>
      <c r="T95" s="55"/>
      <c r="U95" s="55"/>
      <c r="V95" s="55"/>
      <c r="W95" s="55"/>
      <c r="X95" s="55"/>
      <c r="Y95" s="55"/>
      <c r="Z95" s="55"/>
      <c r="AA95" s="55"/>
    </row>
    <row r="96" spans="1:27" hidden="1" x14ac:dyDescent="0.25">
      <c r="A96" s="55"/>
      <c r="B96" s="55"/>
      <c r="C96" s="55"/>
      <c r="D96" s="55"/>
      <c r="E96" s="55"/>
      <c r="F96" s="55"/>
      <c r="G96" s="55"/>
      <c r="H96" s="55"/>
      <c r="I96" s="55"/>
      <c r="J96" s="55"/>
      <c r="K96" s="55"/>
      <c r="L96" s="55"/>
      <c r="M96" s="55"/>
      <c r="N96" s="55"/>
      <c r="O96" s="55"/>
      <c r="P96" s="55"/>
      <c r="Q96" s="55"/>
      <c r="R96" s="55"/>
      <c r="S96" s="55"/>
      <c r="T96" s="55"/>
      <c r="U96" s="55"/>
      <c r="V96" s="55"/>
      <c r="W96" s="55"/>
      <c r="X96" s="55"/>
      <c r="Y96" s="55"/>
      <c r="Z96" s="55"/>
      <c r="AA96" s="55"/>
    </row>
    <row r="97" spans="1:27" hidden="1" x14ac:dyDescent="0.25">
      <c r="A97" s="55"/>
      <c r="B97" s="55"/>
      <c r="C97" s="55"/>
      <c r="D97" s="55"/>
      <c r="E97" s="55"/>
      <c r="F97" s="55"/>
      <c r="G97" s="55"/>
      <c r="H97" s="55"/>
      <c r="I97" s="55"/>
      <c r="J97" s="55"/>
      <c r="K97" s="55"/>
      <c r="L97" s="55"/>
      <c r="M97" s="55"/>
      <c r="N97" s="55"/>
      <c r="O97" s="55"/>
      <c r="P97" s="55"/>
      <c r="Q97" s="55"/>
      <c r="R97" s="55"/>
      <c r="S97" s="55"/>
      <c r="T97" s="55"/>
      <c r="U97" s="55"/>
      <c r="V97" s="55"/>
      <c r="W97" s="55"/>
      <c r="X97" s="55"/>
      <c r="Y97" s="55"/>
      <c r="Z97" s="55"/>
      <c r="AA97" s="55"/>
    </row>
    <row r="98" spans="1:27" hidden="1" x14ac:dyDescent="0.25">
      <c r="A98" s="55"/>
      <c r="B98" s="55"/>
      <c r="C98" s="55"/>
      <c r="D98" s="55"/>
      <c r="E98" s="55"/>
      <c r="F98" s="55"/>
      <c r="G98" s="55"/>
      <c r="H98" s="55"/>
      <c r="I98" s="55"/>
      <c r="J98" s="55"/>
      <c r="K98" s="55"/>
      <c r="L98" s="55"/>
      <c r="M98" s="55"/>
      <c r="N98" s="55"/>
      <c r="O98" s="55"/>
      <c r="P98" s="55"/>
      <c r="Q98" s="55"/>
      <c r="R98" s="55"/>
      <c r="S98" s="55"/>
      <c r="T98" s="55"/>
      <c r="U98" s="55"/>
      <c r="V98" s="55"/>
      <c r="W98" s="55"/>
      <c r="X98" s="55"/>
      <c r="Y98" s="55"/>
      <c r="Z98" s="55"/>
      <c r="AA98" s="55"/>
    </row>
    <row r="99" spans="1:27" hidden="1" x14ac:dyDescent="0.25">
      <c r="A99" s="55"/>
      <c r="B99" s="55"/>
      <c r="C99" s="55"/>
      <c r="D99" s="55"/>
      <c r="E99" s="55"/>
      <c r="F99" s="55"/>
      <c r="G99" s="55"/>
      <c r="H99" s="55"/>
      <c r="I99" s="55"/>
      <c r="J99" s="55"/>
      <c r="K99" s="55"/>
      <c r="L99" s="55"/>
      <c r="M99" s="55"/>
      <c r="N99" s="55"/>
      <c r="O99" s="55"/>
      <c r="P99" s="55"/>
      <c r="Q99" s="55"/>
      <c r="R99" s="55"/>
      <c r="S99" s="55"/>
      <c r="T99" s="55"/>
      <c r="U99" s="55"/>
      <c r="V99" s="55"/>
      <c r="W99" s="55"/>
      <c r="X99" s="55"/>
      <c r="Y99" s="55"/>
      <c r="Z99" s="55"/>
      <c r="AA99" s="55"/>
    </row>
    <row r="100" spans="1:27" hidden="1" x14ac:dyDescent="0.25">
      <c r="A100" s="55"/>
      <c r="B100" s="55"/>
      <c r="C100" s="55"/>
      <c r="D100" s="55"/>
      <c r="E100" s="55"/>
      <c r="F100" s="55"/>
      <c r="G100" s="55"/>
      <c r="H100" s="55"/>
      <c r="I100" s="55"/>
      <c r="J100" s="55"/>
      <c r="K100" s="55"/>
      <c r="L100" s="55"/>
      <c r="M100" s="55"/>
      <c r="N100" s="55"/>
      <c r="O100" s="55"/>
      <c r="P100" s="55"/>
      <c r="Q100" s="55"/>
      <c r="R100" s="55"/>
      <c r="S100" s="55"/>
      <c r="T100" s="55"/>
      <c r="U100" s="55"/>
      <c r="V100" s="55"/>
      <c r="W100" s="55"/>
      <c r="X100" s="55"/>
      <c r="Y100" s="55"/>
      <c r="Z100" s="55"/>
      <c r="AA100" s="55"/>
    </row>
    <row r="101" spans="1:27" hidden="1" x14ac:dyDescent="0.25">
      <c r="A101" s="55"/>
      <c r="B101" s="55"/>
      <c r="C101" s="55"/>
      <c r="D101" s="55"/>
      <c r="E101" s="55"/>
      <c r="F101" s="55"/>
      <c r="G101" s="55"/>
      <c r="H101" s="55"/>
      <c r="I101" s="55"/>
      <c r="J101" s="55"/>
      <c r="K101" s="55"/>
      <c r="L101" s="55"/>
      <c r="M101" s="55"/>
      <c r="N101" s="55"/>
      <c r="O101" s="55"/>
      <c r="P101" s="55"/>
      <c r="Q101" s="55"/>
      <c r="R101" s="55"/>
      <c r="S101" s="55"/>
      <c r="T101" s="55"/>
      <c r="U101" s="55"/>
      <c r="V101" s="55"/>
      <c r="W101" s="55"/>
      <c r="X101" s="55"/>
      <c r="Y101" s="55"/>
      <c r="Z101" s="55"/>
      <c r="AA101" s="55"/>
    </row>
    <row r="102" spans="1:27" hidden="1" x14ac:dyDescent="0.25">
      <c r="A102" s="55"/>
      <c r="B102" s="55"/>
      <c r="C102" s="55"/>
      <c r="D102" s="55"/>
      <c r="E102" s="55"/>
      <c r="F102" s="55"/>
      <c r="G102" s="55"/>
      <c r="H102" s="55"/>
      <c r="I102" s="55"/>
      <c r="J102" s="55"/>
      <c r="K102" s="55"/>
      <c r="L102" s="55"/>
      <c r="M102" s="55"/>
      <c r="N102" s="55"/>
      <c r="O102" s="55"/>
      <c r="P102" s="55"/>
      <c r="Q102" s="55"/>
      <c r="R102" s="55"/>
      <c r="S102" s="55"/>
      <c r="T102" s="55"/>
      <c r="U102" s="55"/>
      <c r="V102" s="55"/>
      <c r="W102" s="55"/>
      <c r="X102" s="55"/>
      <c r="Y102" s="55"/>
      <c r="Z102" s="55"/>
      <c r="AA102" s="55"/>
    </row>
    <row r="103" spans="1:27" hidden="1" x14ac:dyDescent="0.25">
      <c r="A103" s="55"/>
      <c r="B103" s="55"/>
      <c r="C103" s="55"/>
      <c r="D103" s="55"/>
      <c r="E103" s="55"/>
      <c r="F103" s="55"/>
      <c r="G103" s="55"/>
      <c r="H103" s="55"/>
      <c r="I103" s="55"/>
      <c r="J103" s="55"/>
      <c r="K103" s="55"/>
      <c r="L103" s="55"/>
      <c r="M103" s="55"/>
      <c r="N103" s="55"/>
      <c r="O103" s="55"/>
      <c r="P103" s="55"/>
      <c r="Q103" s="55"/>
      <c r="R103" s="55"/>
      <c r="S103" s="55"/>
      <c r="T103" s="55"/>
      <c r="U103" s="55"/>
      <c r="V103" s="55"/>
      <c r="W103" s="55"/>
      <c r="X103" s="55"/>
      <c r="Y103" s="55"/>
      <c r="Z103" s="55"/>
      <c r="AA103" s="55"/>
    </row>
    <row r="104" spans="1:27" hidden="1" x14ac:dyDescent="0.25">
      <c r="A104" s="55"/>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c r="Z104" s="55"/>
      <c r="AA104" s="55"/>
    </row>
    <row r="105" spans="1:27" hidden="1" x14ac:dyDescent="0.25">
      <c r="A105" s="55"/>
      <c r="B105" s="55"/>
      <c r="C105" s="55"/>
      <c r="D105" s="55"/>
      <c r="E105" s="55"/>
      <c r="F105" s="55"/>
      <c r="G105" s="55"/>
      <c r="H105" s="55"/>
      <c r="I105" s="55"/>
      <c r="J105" s="55"/>
      <c r="K105" s="55"/>
      <c r="L105" s="55"/>
      <c r="M105" s="55"/>
      <c r="N105" s="55"/>
      <c r="O105" s="55"/>
      <c r="P105" s="55"/>
      <c r="Q105" s="55"/>
      <c r="R105" s="55"/>
      <c r="S105" s="55"/>
      <c r="T105" s="55"/>
      <c r="U105" s="55"/>
      <c r="V105" s="55"/>
      <c r="W105" s="55"/>
      <c r="X105" s="55"/>
      <c r="Y105" s="55"/>
      <c r="Z105" s="55"/>
      <c r="AA105" s="55"/>
    </row>
    <row r="106" spans="1:27" hidden="1" x14ac:dyDescent="0.25">
      <c r="A106" s="55"/>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c r="AA106" s="55"/>
    </row>
    <row r="107" spans="1:27" hidden="1" x14ac:dyDescent="0.25">
      <c r="A107" s="55"/>
      <c r="B107" s="55"/>
      <c r="C107" s="55"/>
      <c r="D107" s="55"/>
      <c r="E107" s="55"/>
      <c r="F107" s="55"/>
      <c r="G107" s="55"/>
      <c r="H107" s="55"/>
      <c r="I107" s="55"/>
      <c r="J107" s="55"/>
      <c r="K107" s="55"/>
      <c r="L107" s="55"/>
      <c r="M107" s="55"/>
      <c r="N107" s="55"/>
      <c r="O107" s="55"/>
      <c r="P107" s="55"/>
      <c r="Q107" s="55"/>
      <c r="R107" s="55"/>
      <c r="S107" s="55"/>
      <c r="T107" s="55"/>
      <c r="U107" s="55"/>
      <c r="V107" s="55"/>
      <c r="W107" s="55"/>
      <c r="X107" s="55"/>
      <c r="Y107" s="55"/>
      <c r="Z107" s="55"/>
      <c r="AA107" s="55"/>
    </row>
    <row r="108" spans="1:27" hidden="1" x14ac:dyDescent="0.25">
      <c r="A108" s="55"/>
      <c r="B108" s="55"/>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c r="AA108" s="55"/>
    </row>
    <row r="109" spans="1:27" hidden="1" x14ac:dyDescent="0.25">
      <c r="A109" s="55"/>
      <c r="B109" s="55"/>
      <c r="C109" s="55"/>
      <c r="D109" s="55"/>
      <c r="E109" s="55"/>
      <c r="F109" s="55"/>
      <c r="G109" s="55"/>
      <c r="H109" s="55"/>
      <c r="I109" s="55"/>
      <c r="J109" s="55"/>
      <c r="K109" s="55"/>
      <c r="L109" s="55"/>
      <c r="M109" s="55"/>
      <c r="N109" s="55"/>
      <c r="O109" s="55"/>
      <c r="P109" s="55"/>
      <c r="Q109" s="55"/>
      <c r="R109" s="55"/>
      <c r="S109" s="55"/>
      <c r="T109" s="55"/>
      <c r="U109" s="55"/>
      <c r="V109" s="55"/>
      <c r="W109" s="55"/>
      <c r="X109" s="55"/>
      <c r="Y109" s="55"/>
      <c r="Z109" s="55"/>
      <c r="AA109" s="55"/>
    </row>
    <row r="110" spans="1:27" hidden="1" x14ac:dyDescent="0.25">
      <c r="A110" s="55"/>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c r="AA110" s="55"/>
    </row>
    <row r="111" spans="1:27" hidden="1" x14ac:dyDescent="0.25">
      <c r="A111" s="55"/>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c r="AA111" s="55"/>
    </row>
    <row r="112" spans="1:27" hidden="1" x14ac:dyDescent="0.25">
      <c r="A112" s="55"/>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c r="AA112" s="55"/>
    </row>
    <row r="113" spans="1:27" hidden="1" x14ac:dyDescent="0.25">
      <c r="A113" s="55"/>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c r="AA113" s="55"/>
    </row>
    <row r="114" spans="1:27" hidden="1" x14ac:dyDescent="0.25">
      <c r="A114" s="55"/>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c r="AA114" s="55"/>
    </row>
    <row r="115" spans="1:27" hidden="1" x14ac:dyDescent="0.25">
      <c r="A115" s="55"/>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c r="AA115" s="55"/>
    </row>
    <row r="116" spans="1:27" hidden="1" x14ac:dyDescent="0.25">
      <c r="A116" s="55"/>
      <c r="B116" s="55"/>
      <c r="C116" s="55"/>
      <c r="D116" s="55"/>
      <c r="E116" s="55"/>
      <c r="F116" s="55"/>
      <c r="G116" s="55"/>
      <c r="H116" s="55"/>
      <c r="I116" s="55"/>
      <c r="J116" s="55"/>
      <c r="K116" s="55"/>
      <c r="L116" s="55"/>
      <c r="M116" s="55"/>
      <c r="N116" s="55"/>
      <c r="O116" s="55"/>
      <c r="P116" s="55"/>
      <c r="Q116" s="55"/>
      <c r="R116" s="55"/>
      <c r="S116" s="55"/>
      <c r="T116" s="55"/>
      <c r="U116" s="55"/>
      <c r="V116" s="55"/>
      <c r="W116" s="55"/>
      <c r="X116" s="55"/>
      <c r="Y116" s="55"/>
      <c r="Z116" s="55"/>
      <c r="AA116" s="55"/>
    </row>
    <row r="117" spans="1:27" hidden="1" x14ac:dyDescent="0.25">
      <c r="A117" s="55"/>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c r="AA117" s="55"/>
    </row>
    <row r="118" spans="1:27" hidden="1" x14ac:dyDescent="0.25">
      <c r="A118" s="55"/>
      <c r="B118" s="55"/>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c r="AA118" s="55"/>
    </row>
    <row r="119" spans="1:27" hidden="1" x14ac:dyDescent="0.25">
      <c r="A119" s="55"/>
      <c r="B119" s="55"/>
      <c r="C119" s="55"/>
      <c r="D119" s="55"/>
      <c r="E119" s="55"/>
      <c r="F119" s="55"/>
      <c r="G119" s="55"/>
      <c r="H119" s="55"/>
      <c r="I119" s="55"/>
      <c r="J119" s="55"/>
      <c r="K119" s="55"/>
      <c r="L119" s="55"/>
      <c r="M119" s="55"/>
      <c r="N119" s="55"/>
      <c r="O119" s="55"/>
      <c r="P119" s="55"/>
      <c r="Q119" s="55"/>
      <c r="R119" s="55"/>
      <c r="S119" s="55"/>
      <c r="T119" s="55"/>
      <c r="U119" s="55"/>
      <c r="V119" s="55"/>
      <c r="W119" s="55"/>
      <c r="X119" s="55"/>
      <c r="Y119" s="55"/>
      <c r="Z119" s="55"/>
      <c r="AA119" s="55"/>
    </row>
    <row r="120" spans="1:27" hidden="1" x14ac:dyDescent="0.25">
      <c r="A120" s="55"/>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c r="Z120" s="55"/>
      <c r="AA120" s="55"/>
    </row>
    <row r="121" spans="1:27" hidden="1" x14ac:dyDescent="0.25">
      <c r="A121" s="55"/>
      <c r="B121" s="55"/>
      <c r="C121" s="55"/>
      <c r="D121" s="55"/>
      <c r="E121" s="55"/>
      <c r="F121" s="55"/>
      <c r="G121" s="55"/>
      <c r="H121" s="55"/>
      <c r="I121" s="55"/>
      <c r="J121" s="55"/>
      <c r="K121" s="55"/>
      <c r="L121" s="55"/>
      <c r="M121" s="55"/>
      <c r="N121" s="55"/>
      <c r="O121" s="55"/>
      <c r="P121" s="55"/>
      <c r="Q121" s="55"/>
      <c r="R121" s="55"/>
      <c r="S121" s="55"/>
      <c r="T121" s="55"/>
      <c r="U121" s="55"/>
      <c r="V121" s="55"/>
      <c r="W121" s="55"/>
      <c r="X121" s="55"/>
      <c r="Y121" s="55"/>
      <c r="Z121" s="55"/>
      <c r="AA121" s="55"/>
    </row>
    <row r="122" spans="1:27" hidden="1" x14ac:dyDescent="0.25">
      <c r="A122" s="55"/>
      <c r="B122" s="55"/>
      <c r="C122" s="55"/>
      <c r="D122" s="55"/>
      <c r="E122" s="55"/>
      <c r="F122" s="55"/>
      <c r="G122" s="55"/>
      <c r="H122" s="55"/>
      <c r="I122" s="55"/>
      <c r="J122" s="55"/>
      <c r="K122" s="55"/>
      <c r="L122" s="55"/>
      <c r="M122" s="55"/>
      <c r="N122" s="55"/>
      <c r="O122" s="55"/>
      <c r="P122" s="55"/>
      <c r="Q122" s="55"/>
      <c r="R122" s="55"/>
      <c r="S122" s="55"/>
      <c r="T122" s="55"/>
      <c r="U122" s="55"/>
      <c r="V122" s="55"/>
      <c r="W122" s="55"/>
      <c r="X122" s="55"/>
      <c r="Y122" s="55"/>
      <c r="Z122" s="55"/>
      <c r="AA122" s="55"/>
    </row>
    <row r="123" spans="1:27" hidden="1" x14ac:dyDescent="0.25">
      <c r="A123" s="55"/>
      <c r="B123" s="55"/>
      <c r="C123" s="55"/>
      <c r="D123" s="55"/>
      <c r="E123" s="55"/>
      <c r="F123" s="55"/>
      <c r="G123" s="55"/>
      <c r="H123" s="55"/>
      <c r="I123" s="55"/>
      <c r="J123" s="55"/>
      <c r="K123" s="55"/>
      <c r="L123" s="55"/>
      <c r="M123" s="55"/>
      <c r="N123" s="55"/>
      <c r="O123" s="55"/>
      <c r="P123" s="55"/>
      <c r="Q123" s="55"/>
      <c r="R123" s="55"/>
      <c r="S123" s="55"/>
      <c r="T123" s="55"/>
      <c r="U123" s="55"/>
      <c r="V123" s="55"/>
      <c r="W123" s="55"/>
      <c r="X123" s="55"/>
      <c r="Y123" s="55"/>
      <c r="Z123" s="55"/>
      <c r="AA123" s="55"/>
    </row>
    <row r="124" spans="1:27" hidden="1" x14ac:dyDescent="0.25">
      <c r="A124" s="55"/>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c r="Z124" s="55"/>
      <c r="AA124" s="55"/>
    </row>
    <row r="125" spans="1:27" hidden="1" x14ac:dyDescent="0.25">
      <c r="A125" s="55"/>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c r="AA125" s="55"/>
    </row>
    <row r="126" spans="1:27" hidden="1" x14ac:dyDescent="0.25">
      <c r="A126" s="55"/>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c r="AA126" s="55"/>
    </row>
    <row r="127" spans="1:27" hidden="1" x14ac:dyDescent="0.25">
      <c r="A127" s="55"/>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c r="Z127" s="55"/>
      <c r="AA127" s="55"/>
    </row>
    <row r="128" spans="1:27" hidden="1" x14ac:dyDescent="0.25">
      <c r="A128" s="55"/>
      <c r="B128" s="55"/>
      <c r="C128" s="55"/>
      <c r="D128" s="55"/>
      <c r="E128" s="55"/>
      <c r="F128" s="55"/>
      <c r="G128" s="55"/>
      <c r="H128" s="55"/>
      <c r="I128" s="55"/>
      <c r="J128" s="55"/>
      <c r="K128" s="55"/>
      <c r="L128" s="55"/>
      <c r="M128" s="55"/>
      <c r="N128" s="55"/>
      <c r="O128" s="55"/>
      <c r="P128" s="55"/>
      <c r="Q128" s="55"/>
      <c r="R128" s="55"/>
      <c r="S128" s="55"/>
      <c r="T128" s="55"/>
      <c r="U128" s="55"/>
      <c r="V128" s="55"/>
      <c r="W128" s="55"/>
      <c r="X128" s="55"/>
      <c r="Y128" s="55"/>
      <c r="Z128" s="55"/>
      <c r="AA128" s="55"/>
    </row>
    <row r="129" spans="1:27" hidden="1" x14ac:dyDescent="0.25">
      <c r="A129" s="55"/>
      <c r="B129" s="55"/>
      <c r="C129" s="55"/>
      <c r="D129" s="55"/>
      <c r="E129" s="55"/>
      <c r="F129" s="55"/>
      <c r="G129" s="55"/>
      <c r="H129" s="55"/>
      <c r="I129" s="55"/>
      <c r="J129" s="55"/>
      <c r="K129" s="55"/>
      <c r="L129" s="55"/>
      <c r="M129" s="55"/>
      <c r="N129" s="55"/>
      <c r="O129" s="55"/>
      <c r="P129" s="55"/>
      <c r="Q129" s="55"/>
      <c r="R129" s="55"/>
      <c r="S129" s="55"/>
      <c r="T129" s="55"/>
      <c r="U129" s="55"/>
      <c r="V129" s="55"/>
      <c r="W129" s="55"/>
      <c r="X129" s="55"/>
      <c r="Y129" s="55"/>
      <c r="Z129" s="55"/>
      <c r="AA129" s="55"/>
    </row>
    <row r="130" spans="1:27" hidden="1" x14ac:dyDescent="0.25">
      <c r="A130" s="55"/>
      <c r="B130" s="55"/>
      <c r="C130" s="55"/>
      <c r="D130" s="55"/>
      <c r="E130" s="55"/>
      <c r="F130" s="55"/>
      <c r="G130" s="55"/>
      <c r="H130" s="55"/>
      <c r="I130" s="55"/>
      <c r="J130" s="55"/>
      <c r="K130" s="55"/>
      <c r="L130" s="55"/>
      <c r="M130" s="55"/>
      <c r="N130" s="55"/>
      <c r="O130" s="55"/>
      <c r="P130" s="55"/>
      <c r="Q130" s="55"/>
      <c r="R130" s="55"/>
      <c r="S130" s="55"/>
      <c r="T130" s="55"/>
      <c r="U130" s="55"/>
      <c r="V130" s="55"/>
      <c r="W130" s="55"/>
      <c r="X130" s="55"/>
      <c r="Y130" s="55"/>
      <c r="Z130" s="55"/>
      <c r="AA130" s="55"/>
    </row>
    <row r="131" spans="1:27" hidden="1" x14ac:dyDescent="0.25">
      <c r="A131" s="55"/>
      <c r="B131" s="55"/>
      <c r="C131" s="55"/>
      <c r="D131" s="55"/>
      <c r="E131" s="55"/>
      <c r="F131" s="55"/>
      <c r="G131" s="55"/>
      <c r="H131" s="55"/>
      <c r="I131" s="55"/>
      <c r="J131" s="55"/>
      <c r="K131" s="55"/>
      <c r="L131" s="55"/>
      <c r="M131" s="55"/>
      <c r="N131" s="55"/>
      <c r="O131" s="55"/>
      <c r="P131" s="55"/>
      <c r="Q131" s="55"/>
      <c r="R131" s="55"/>
      <c r="S131" s="55"/>
      <c r="T131" s="55"/>
      <c r="U131" s="55"/>
      <c r="V131" s="55"/>
      <c r="W131" s="55"/>
      <c r="X131" s="55"/>
      <c r="Y131" s="55"/>
      <c r="Z131" s="55"/>
      <c r="AA131" s="55"/>
    </row>
    <row r="132" spans="1:27" hidden="1" x14ac:dyDescent="0.25">
      <c r="A132" s="55"/>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c r="Z132" s="55"/>
      <c r="AA132" s="55"/>
    </row>
    <row r="133" spans="1:27" hidden="1" x14ac:dyDescent="0.25">
      <c r="A133" s="55"/>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c r="AA133" s="55"/>
    </row>
    <row r="134" spans="1:27" hidden="1" x14ac:dyDescent="0.25">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c r="AA134" s="55"/>
    </row>
    <row r="135" spans="1:27" hidden="1" x14ac:dyDescent="0.25">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c r="AA135" s="55"/>
    </row>
    <row r="136" spans="1:27" hidden="1" x14ac:dyDescent="0.25">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c r="AA136" s="55"/>
    </row>
    <row r="137" spans="1:27" hidden="1" x14ac:dyDescent="0.25">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c r="AA137" s="55"/>
    </row>
    <row r="138" spans="1:27" hidden="1" x14ac:dyDescent="0.25">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c r="AA138" s="55"/>
    </row>
    <row r="139" spans="1:27" hidden="1" x14ac:dyDescent="0.25">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c r="AA139" s="55"/>
    </row>
    <row r="140" spans="1:27" hidden="1" x14ac:dyDescent="0.25">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c r="AA140" s="55"/>
    </row>
    <row r="141" spans="1:27" hidden="1" x14ac:dyDescent="0.25">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c r="AA141" s="55"/>
    </row>
    <row r="142" spans="1:27" hidden="1" x14ac:dyDescent="0.25">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c r="AA142" s="55"/>
    </row>
    <row r="143" spans="1:27" hidden="1" x14ac:dyDescent="0.25">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c r="AA143" s="55"/>
    </row>
    <row r="144" spans="1:27" hidden="1" x14ac:dyDescent="0.25">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c r="AA144" s="55"/>
    </row>
    <row r="145" spans="1:27" hidden="1" x14ac:dyDescent="0.25">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c r="AA145" s="55"/>
    </row>
    <row r="146" spans="1:27" hidden="1" x14ac:dyDescent="0.25">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c r="AA146" s="55"/>
    </row>
    <row r="147" spans="1:27" hidden="1" x14ac:dyDescent="0.25">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c r="AA147" s="55"/>
    </row>
    <row r="148" spans="1:27" hidden="1" x14ac:dyDescent="0.25">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c r="AA148" s="55"/>
    </row>
    <row r="149" spans="1:27" hidden="1" x14ac:dyDescent="0.25">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c r="AA149" s="55"/>
    </row>
    <row r="150" spans="1:27" hidden="1" x14ac:dyDescent="0.25">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c r="AA150" s="55"/>
    </row>
    <row r="151" spans="1:27" hidden="1" x14ac:dyDescent="0.25">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c r="AA151" s="55"/>
    </row>
    <row r="152" spans="1:27" hidden="1" x14ac:dyDescent="0.25">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c r="AA152" s="55"/>
    </row>
    <row r="153" spans="1:27" hidden="1" x14ac:dyDescent="0.25">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c r="AA153" s="55"/>
    </row>
    <row r="154" spans="1:27" hidden="1" x14ac:dyDescent="0.25">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c r="AA154" s="55"/>
    </row>
    <row r="155" spans="1:27" hidden="1" x14ac:dyDescent="0.25">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c r="AA155" s="55"/>
    </row>
    <row r="156" spans="1:27" hidden="1" x14ac:dyDescent="0.25">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c r="AA156" s="55"/>
    </row>
    <row r="157" spans="1:27" hidden="1" x14ac:dyDescent="0.25">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c r="AA157" s="55"/>
    </row>
    <row r="158" spans="1:27" hidden="1" x14ac:dyDescent="0.25">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c r="AA158" s="55"/>
    </row>
    <row r="159" spans="1:27" hidden="1" x14ac:dyDescent="0.25">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c r="AA159" s="55"/>
    </row>
    <row r="160" spans="1:27" hidden="1" x14ac:dyDescent="0.25">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c r="AA160" s="55"/>
    </row>
    <row r="161" spans="1:27" hidden="1" x14ac:dyDescent="0.25">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c r="AA161" s="55"/>
    </row>
    <row r="162" spans="1:27" hidden="1" x14ac:dyDescent="0.25">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c r="AA162" s="55"/>
    </row>
    <row r="163" spans="1:27" hidden="1" x14ac:dyDescent="0.25">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c r="AA163" s="55"/>
    </row>
    <row r="164" spans="1:27" hidden="1" x14ac:dyDescent="0.25">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c r="AA164" s="55"/>
    </row>
    <row r="165" spans="1:27" hidden="1" x14ac:dyDescent="0.25">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c r="AA165" s="55"/>
    </row>
    <row r="166" spans="1:27" hidden="1" x14ac:dyDescent="0.25">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c r="AA166" s="55"/>
    </row>
    <row r="167" spans="1:27" hidden="1" x14ac:dyDescent="0.25">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c r="AA167" s="55"/>
    </row>
    <row r="168" spans="1:27" hidden="1" x14ac:dyDescent="0.25">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c r="AA168" s="55"/>
    </row>
    <row r="169" spans="1:27" hidden="1" x14ac:dyDescent="0.25">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c r="AA169" s="55"/>
    </row>
    <row r="170" spans="1:27" hidden="1" x14ac:dyDescent="0.25">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c r="AA170" s="55"/>
    </row>
    <row r="171" spans="1:27" hidden="1" x14ac:dyDescent="0.25">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c r="AA171" s="55"/>
    </row>
    <row r="172" spans="1:27" hidden="1" x14ac:dyDescent="0.25">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c r="AA172" s="55"/>
    </row>
    <row r="173" spans="1:27" hidden="1" x14ac:dyDescent="0.25">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c r="AA173" s="55"/>
    </row>
    <row r="174" spans="1:27" hidden="1" x14ac:dyDescent="0.25">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c r="AA174" s="55"/>
    </row>
    <row r="175" spans="1:27" hidden="1" x14ac:dyDescent="0.25">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c r="AA175" s="55"/>
    </row>
    <row r="176" spans="1:27" hidden="1" x14ac:dyDescent="0.25">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c r="AA176" s="55"/>
    </row>
    <row r="177" spans="1:27" hidden="1" x14ac:dyDescent="0.25">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c r="AA177" s="55"/>
    </row>
    <row r="178" spans="1:27" hidden="1" x14ac:dyDescent="0.25">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c r="AA178" s="55"/>
    </row>
    <row r="179" spans="1:27" hidden="1" x14ac:dyDescent="0.25">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c r="AA179" s="55"/>
    </row>
    <row r="180" spans="1:27" hidden="1" x14ac:dyDescent="0.25">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c r="AA180" s="55"/>
    </row>
    <row r="181" spans="1:27" hidden="1" x14ac:dyDescent="0.25">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c r="AA181" s="55"/>
    </row>
    <row r="182" spans="1:27" hidden="1" x14ac:dyDescent="0.25">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c r="AA182" s="55"/>
    </row>
    <row r="183" spans="1:27" hidden="1" x14ac:dyDescent="0.25">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c r="AA183" s="55"/>
    </row>
    <row r="184" spans="1:27" hidden="1" x14ac:dyDescent="0.25">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c r="AA184" s="55"/>
    </row>
    <row r="185" spans="1:27" hidden="1" x14ac:dyDescent="0.25">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c r="AA185" s="55"/>
    </row>
    <row r="186" spans="1:27" hidden="1" x14ac:dyDescent="0.25">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c r="AA186" s="55"/>
    </row>
    <row r="187" spans="1:27" hidden="1" x14ac:dyDescent="0.25">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c r="AA187" s="55"/>
    </row>
    <row r="188" spans="1:27" hidden="1" x14ac:dyDescent="0.25">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c r="AA188" s="55"/>
    </row>
    <row r="189" spans="1:27" hidden="1" x14ac:dyDescent="0.25">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c r="AA189" s="55"/>
    </row>
    <row r="190" spans="1:27" hidden="1" x14ac:dyDescent="0.25">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c r="AA190" s="55"/>
    </row>
    <row r="191" spans="1:27" hidden="1" x14ac:dyDescent="0.25">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c r="AA191" s="55"/>
    </row>
    <row r="192" spans="1:27" hidden="1" x14ac:dyDescent="0.25">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c r="AA192" s="55"/>
    </row>
    <row r="193" spans="1:27" hidden="1" x14ac:dyDescent="0.25">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c r="AA193" s="55"/>
    </row>
    <row r="194" spans="1:27" hidden="1" x14ac:dyDescent="0.25">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c r="AA194" s="55"/>
    </row>
    <row r="195" spans="1:27" hidden="1" x14ac:dyDescent="0.25">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c r="AA195" s="55"/>
    </row>
    <row r="196" spans="1:27" hidden="1" x14ac:dyDescent="0.25"/>
  </sheetData>
  <mergeCells count="8">
    <mergeCell ref="A1:K1"/>
    <mergeCell ref="A11:B11"/>
    <mergeCell ref="A12:B12"/>
    <mergeCell ref="A10:F10"/>
    <mergeCell ref="B24:C24"/>
    <mergeCell ref="B23:C23"/>
    <mergeCell ref="A16:D16"/>
    <mergeCell ref="D18:D21"/>
  </mergeCells>
  <phoneticPr fontId="6" type="noConversion"/>
  <hyperlinks>
    <hyperlink ref="A68" r:id="rId1" display="https://www.streivor.com/wp-content/uploads/2020/11/CKV-Design-Guide-1-Selecting-and-Sizing-Exhaust-Hoods.pdf" xr:uid="{BFBB6FFC-3575-4A37-8B57-23170F2ABE56}"/>
  </hyperlink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C3810-C529-473A-9E43-4E4327BD9ABF}">
  <dimension ref="A1:AL183"/>
  <sheetViews>
    <sheetView zoomScale="86" zoomScaleNormal="85" workbookViewId="0">
      <selection sqref="A1:G1"/>
    </sheetView>
  </sheetViews>
  <sheetFormatPr defaultColWidth="8.6640625" defaultRowHeight="13.2" x14ac:dyDescent="0.25"/>
  <cols>
    <col min="1" max="1" width="35.88671875" style="57" customWidth="1"/>
    <col min="2" max="2" width="29.6640625" style="57" customWidth="1"/>
    <col min="3" max="3" width="23.109375" style="57" customWidth="1"/>
    <col min="4" max="4" width="33" style="57" customWidth="1"/>
    <col min="5" max="5" width="36.5546875" style="57" customWidth="1"/>
    <col min="6" max="6" width="25.5546875" style="57" customWidth="1"/>
    <col min="7" max="7" width="23" style="57" customWidth="1"/>
    <col min="8" max="8" width="37.5546875" style="57" customWidth="1"/>
    <col min="9" max="10" width="23" style="57" customWidth="1"/>
    <col min="11" max="11" width="19" style="57" customWidth="1"/>
    <col min="12" max="12" width="8.6640625" style="57" customWidth="1"/>
    <col min="13" max="13" width="12.33203125" style="57" customWidth="1"/>
    <col min="14" max="14" width="13.33203125" style="57" customWidth="1"/>
    <col min="15" max="15" width="15.33203125" style="57" customWidth="1"/>
    <col min="16" max="16" width="11" style="57" customWidth="1"/>
    <col min="17" max="20" width="15.33203125" style="57" customWidth="1"/>
    <col min="21" max="21" width="7.6640625" style="57" hidden="1" customWidth="1"/>
    <col min="22" max="22" width="12.44140625" style="57" hidden="1" customWidth="1"/>
    <col min="23" max="38" width="6.5546875" style="57" hidden="1" customWidth="1"/>
    <col min="39" max="39" width="15.33203125" style="57" customWidth="1"/>
    <col min="40" max="40" width="11.33203125" style="57" customWidth="1"/>
    <col min="41" max="41" width="6.33203125" style="57" customWidth="1"/>
    <col min="42" max="45" width="4.6640625" style="57" customWidth="1"/>
    <col min="46" max="46" width="6.33203125" style="57" customWidth="1"/>
    <col min="47" max="61" width="4.6640625" style="57" customWidth="1"/>
    <col min="62" max="16384" width="8.6640625" style="57"/>
  </cols>
  <sheetData>
    <row r="1" spans="1:10" ht="24" customHeight="1" x14ac:dyDescent="0.25">
      <c r="A1" s="899" t="str">
        <f>"Water Heater Summary - "&amp;Prototype!A2</f>
        <v>Water Heater Summary - RestaurantFastFood</v>
      </c>
      <c r="B1" s="849"/>
      <c r="C1" s="849"/>
      <c r="D1" s="849"/>
      <c r="E1" s="849"/>
      <c r="F1" s="849"/>
      <c r="G1" s="849"/>
    </row>
    <row r="2" spans="1:10" ht="22.35" customHeight="1" x14ac:dyDescent="0.25">
      <c r="A2" s="543" t="s">
        <v>234</v>
      </c>
      <c r="B2" s="543" t="s">
        <v>442</v>
      </c>
      <c r="C2" s="543" t="s">
        <v>443</v>
      </c>
      <c r="D2" s="543" t="s">
        <v>444</v>
      </c>
      <c r="E2" s="593" t="s">
        <v>445</v>
      </c>
      <c r="F2" s="593" t="s">
        <v>446</v>
      </c>
      <c r="G2" s="593" t="s">
        <v>288</v>
      </c>
    </row>
    <row r="3" spans="1:10" ht="61.5" customHeight="1" x14ac:dyDescent="0.25">
      <c r="A3" s="669" t="s">
        <v>326</v>
      </c>
      <c r="B3" s="669" t="s">
        <v>447</v>
      </c>
      <c r="C3" s="594">
        <v>0.8</v>
      </c>
      <c r="D3" s="594">
        <v>1</v>
      </c>
      <c r="E3" s="619" t="s">
        <v>448</v>
      </c>
      <c r="F3" s="620" t="s">
        <v>449</v>
      </c>
      <c r="G3" s="668" t="s">
        <v>450</v>
      </c>
      <c r="H3" s="595"/>
    </row>
    <row r="4" spans="1:10" ht="63.75" customHeight="1" x14ac:dyDescent="0.25">
      <c r="A4" s="669" t="s">
        <v>333</v>
      </c>
      <c r="B4" s="669" t="s">
        <v>447</v>
      </c>
      <c r="C4" s="594">
        <v>0.8</v>
      </c>
      <c r="D4" s="594">
        <v>1</v>
      </c>
      <c r="E4" s="619" t="str">
        <f>E3</f>
        <v>See table below for CZ-specific values: Climate Zone Water Heater Sizing and Loss Coefficients, Storage Volume column (col F)</v>
      </c>
      <c r="F4" s="619" t="str">
        <f>F3</f>
        <v>See table below: Climate Zone Water Heater Sizing and Loss Coefficients, Standby Loss column (col G)</v>
      </c>
      <c r="G4" s="668" t="str">
        <f>G3</f>
        <v>See table below for sources: Climate Zone Water Heater Sizing and Loss Coefficients</v>
      </c>
      <c r="H4" s="595"/>
    </row>
    <row r="5" spans="1:10" ht="14.7" customHeight="1" x14ac:dyDescent="0.25">
      <c r="A5" s="61"/>
      <c r="B5" s="61"/>
      <c r="C5" s="61"/>
      <c r="D5" s="61"/>
      <c r="E5" s="61"/>
    </row>
    <row r="6" spans="1:10" ht="14.7" customHeight="1" x14ac:dyDescent="0.25"/>
    <row r="7" spans="1:10" ht="19.95" customHeight="1" x14ac:dyDescent="0.25">
      <c r="A7" s="810" t="s">
        <v>451</v>
      </c>
      <c r="B7" s="810"/>
      <c r="C7" s="810"/>
      <c r="D7" s="810"/>
      <c r="E7" s="810"/>
      <c r="F7" s="810"/>
      <c r="G7" s="810"/>
      <c r="H7" s="810"/>
    </row>
    <row r="8" spans="1:10" ht="65.400000000000006" customHeight="1" x14ac:dyDescent="0.25">
      <c r="A8" s="223" t="s">
        <v>452</v>
      </c>
      <c r="B8" s="223" t="s">
        <v>453</v>
      </c>
      <c r="C8" s="223" t="s">
        <v>454</v>
      </c>
      <c r="D8" s="223" t="s">
        <v>213</v>
      </c>
      <c r="E8" s="223" t="s">
        <v>455</v>
      </c>
      <c r="F8" s="223" t="s">
        <v>456</v>
      </c>
      <c r="G8" s="223" t="s">
        <v>457</v>
      </c>
      <c r="H8" s="114" t="s">
        <v>422</v>
      </c>
    </row>
    <row r="9" spans="1:10" ht="82.2" customHeight="1" x14ac:dyDescent="0.25">
      <c r="A9" s="224" t="str">
        <f>Zones!B3</f>
        <v>Dining</v>
      </c>
      <c r="B9" s="742" t="s">
        <v>447</v>
      </c>
      <c r="C9" s="225">
        <f>Zones!H3</f>
        <v>1250.46</v>
      </c>
      <c r="D9" s="221">
        <f>Zones!K3</f>
        <v>41.265180000000001</v>
      </c>
      <c r="E9" s="226">
        <f>0.58*0.2</f>
        <v>0.11599999999999999</v>
      </c>
      <c r="F9" s="560">
        <f>E9*D9</f>
        <v>4.7867608800000001</v>
      </c>
      <c r="G9" s="623">
        <f>F9/60</f>
        <v>7.9779348E-2</v>
      </c>
      <c r="H9" s="631" t="s">
        <v>458</v>
      </c>
    </row>
    <row r="10" spans="1:10" ht="59.4" customHeight="1" x14ac:dyDescent="0.25">
      <c r="A10" s="224" t="str">
        <f>Zones!B4</f>
        <v>Kitchen</v>
      </c>
      <c r="B10" s="742" t="s">
        <v>447</v>
      </c>
      <c r="C10" s="225">
        <f>Zones!H4</f>
        <v>1250.46</v>
      </c>
      <c r="D10" s="221">
        <f>Zones!K4</f>
        <v>3.7513800000000002</v>
      </c>
      <c r="E10" s="226" t="s">
        <v>84</v>
      </c>
      <c r="F10" s="561">
        <f>D24</f>
        <v>53.6</v>
      </c>
      <c r="G10" s="623">
        <f>F10/60</f>
        <v>0.89333333333333331</v>
      </c>
      <c r="H10" s="624" t="s">
        <v>459</v>
      </c>
    </row>
    <row r="11" spans="1:10" ht="20.25" customHeight="1" x14ac:dyDescent="0.25">
      <c r="A11" s="621" t="s">
        <v>98</v>
      </c>
      <c r="B11" s="894" t="s">
        <v>460</v>
      </c>
      <c r="C11" s="895"/>
      <c r="D11" s="895"/>
      <c r="E11" s="896"/>
      <c r="F11" s="622">
        <f>_xlfn.LET(
  _xlpm.g,SUMIF($B$9:$B$10,"Gas*",$F$9:$F$10),
  _xlpm.e,SUMIF($B$9:$B$10,"Electric*",$F$9:$F$10),
  IF(AND(_xlpm.g&gt;0,_xlpm.e&gt;0),_xlpm.g,IF(_xlpm.g&gt;0,MAX(75,_xlpm.g),0)))</f>
        <v>75</v>
      </c>
      <c r="G11" s="596"/>
      <c r="H11" s="897" t="s">
        <v>461</v>
      </c>
    </row>
    <row r="12" spans="1:10" ht="19.5" customHeight="1" x14ac:dyDescent="0.25">
      <c r="A12" s="621" t="s">
        <v>462</v>
      </c>
      <c r="B12" s="894" t="s">
        <v>463</v>
      </c>
      <c r="C12" s="895"/>
      <c r="D12" s="895"/>
      <c r="E12" s="896"/>
      <c r="F12" s="622">
        <f>_xlfn.LET(
  _xlpm.g,SUMIF($B$9:$B$10,"Gas*",$F$9:$F$10),
  _xlpm.e,SUMIF($B$9:$B$10,"Electric*",$F$9:$F$10),
  IF(AND(_xlpm.g&gt;0,_xlpm.e&gt;0),_xlpm.e,IF(_xlpm.e&gt;0,MAX(75,_xlpm.e),0)))</f>
        <v>0</v>
      </c>
      <c r="G12" s="596"/>
      <c r="H12" s="898"/>
    </row>
    <row r="13" spans="1:10" s="597" customFormat="1" ht="14.4" x14ac:dyDescent="0.3">
      <c r="A13"/>
      <c r="B13"/>
      <c r="C13"/>
      <c r="D13"/>
      <c r="E13"/>
      <c r="F13"/>
      <c r="G13"/>
      <c r="H13"/>
      <c r="J13"/>
    </row>
    <row r="14" spans="1:10" s="597" customFormat="1" ht="14.4" x14ac:dyDescent="0.3">
      <c r="A14"/>
      <c r="B14"/>
      <c r="C14"/>
      <c r="D14"/>
      <c r="E14"/>
      <c r="F14"/>
      <c r="G14" t="s">
        <v>464</v>
      </c>
      <c r="H14"/>
      <c r="J14" t="s">
        <v>465</v>
      </c>
    </row>
    <row r="15" spans="1:10" s="597" customFormat="1" ht="14.4" x14ac:dyDescent="0.3">
      <c r="A15"/>
      <c r="B15"/>
      <c r="C15"/>
      <c r="D15"/>
      <c r="E15"/>
      <c r="F15"/>
      <c r="G15"/>
      <c r="H15"/>
      <c r="J15" s="108" t="s">
        <v>466</v>
      </c>
    </row>
    <row r="16" spans="1:10" s="597" customFormat="1" ht="14.4" x14ac:dyDescent="0.3">
      <c r="A16"/>
      <c r="B16"/>
      <c r="C16"/>
      <c r="D16"/>
      <c r="E16"/>
      <c r="F16"/>
      <c r="G16"/>
      <c r="H16"/>
      <c r="I16"/>
      <c r="J16"/>
    </row>
    <row r="17" spans="1:10" s="597" customFormat="1" ht="15.6" customHeight="1" x14ac:dyDescent="0.3">
      <c r="A17" s="877" t="s">
        <v>467</v>
      </c>
      <c r="B17" s="877"/>
      <c r="C17" s="877"/>
      <c r="D17" s="877"/>
      <c r="E17" s="877"/>
      <c r="F17" s="183"/>
      <c r="G17"/>
      <c r="H17"/>
      <c r="I17"/>
      <c r="J17"/>
    </row>
    <row r="18" spans="1:10" s="597" customFormat="1" ht="26.4" x14ac:dyDescent="0.3">
      <c r="A18" s="625" t="s">
        <v>468</v>
      </c>
      <c r="B18" s="625" t="s">
        <v>469</v>
      </c>
      <c r="C18" s="625" t="s">
        <v>470</v>
      </c>
      <c r="D18" s="625" t="s">
        <v>471</v>
      </c>
      <c r="E18" s="625" t="s">
        <v>288</v>
      </c>
      <c r="F18" s="183"/>
      <c r="G18"/>
      <c r="H18"/>
      <c r="I18"/>
      <c r="J18"/>
    </row>
    <row r="19" spans="1:10" s="597" customFormat="1" ht="18" customHeight="1" x14ac:dyDescent="0.3">
      <c r="A19" s="626" t="s">
        <v>472</v>
      </c>
      <c r="B19" s="627">
        <v>5</v>
      </c>
      <c r="C19" s="627">
        <v>1</v>
      </c>
      <c r="D19" s="627">
        <v>5</v>
      </c>
      <c r="E19" s="885" t="s">
        <v>473</v>
      </c>
      <c r="F19" s="183"/>
      <c r="G19"/>
      <c r="H19"/>
      <c r="I19"/>
      <c r="J19"/>
    </row>
    <row r="20" spans="1:10" s="597" customFormat="1" ht="18" customHeight="1" x14ac:dyDescent="0.3">
      <c r="A20" s="626" t="s">
        <v>474</v>
      </c>
      <c r="B20" s="627">
        <v>5</v>
      </c>
      <c r="C20" s="627">
        <v>1</v>
      </c>
      <c r="D20" s="627">
        <v>5</v>
      </c>
      <c r="E20" s="886"/>
      <c r="F20" s="183"/>
      <c r="G20"/>
      <c r="H20"/>
      <c r="I20"/>
      <c r="J20"/>
    </row>
    <row r="21" spans="1:10" s="597" customFormat="1" ht="18" customHeight="1" x14ac:dyDescent="0.3">
      <c r="A21" s="626" t="s">
        <v>475</v>
      </c>
      <c r="B21" s="627">
        <v>42</v>
      </c>
      <c r="C21" s="627">
        <v>1</v>
      </c>
      <c r="D21" s="627">
        <v>42</v>
      </c>
      <c r="E21" s="886"/>
      <c r="F21" s="183"/>
      <c r="G21"/>
      <c r="H21"/>
      <c r="I21"/>
      <c r="J21"/>
    </row>
    <row r="22" spans="1:10" s="597" customFormat="1" ht="18" customHeight="1" x14ac:dyDescent="0.3">
      <c r="A22" s="626" t="s">
        <v>476</v>
      </c>
      <c r="B22" s="627">
        <v>15</v>
      </c>
      <c r="C22" s="627">
        <v>1</v>
      </c>
      <c r="D22" s="627">
        <v>15</v>
      </c>
      <c r="E22" s="886"/>
      <c r="F22" s="183"/>
      <c r="G22"/>
      <c r="H22"/>
      <c r="I22"/>
      <c r="J22"/>
    </row>
    <row r="23" spans="1:10" s="597" customFormat="1" ht="18" customHeight="1" x14ac:dyDescent="0.3">
      <c r="A23" s="626" t="s">
        <v>477</v>
      </c>
      <c r="B23" s="627">
        <v>5</v>
      </c>
      <c r="C23" s="627"/>
      <c r="D23" s="627"/>
      <c r="E23" s="886"/>
      <c r="F23" s="183"/>
      <c r="G23"/>
      <c r="H23"/>
      <c r="I23"/>
      <c r="J23"/>
    </row>
    <row r="24" spans="1:10" s="597" customFormat="1" ht="52.8" x14ac:dyDescent="0.3">
      <c r="A24" s="887" t="s">
        <v>478</v>
      </c>
      <c r="B24" s="888"/>
      <c r="C24" s="889"/>
      <c r="D24" s="632">
        <f>SUM(D19:D22)*0.8</f>
        <v>53.6</v>
      </c>
      <c r="E24" s="756" t="s">
        <v>479</v>
      </c>
      <c r="F24" s="183"/>
      <c r="G24"/>
      <c r="H24"/>
      <c r="I24"/>
      <c r="J24"/>
    </row>
    <row r="25" spans="1:10" s="597" customFormat="1" ht="26.4" x14ac:dyDescent="0.3">
      <c r="A25" s="882" t="s">
        <v>480</v>
      </c>
      <c r="B25" s="883"/>
      <c r="C25" s="884"/>
      <c r="D25" s="628">
        <v>56000</v>
      </c>
      <c r="E25" s="760" t="s">
        <v>481</v>
      </c>
      <c r="G25"/>
      <c r="H25"/>
      <c r="I25"/>
      <c r="J25"/>
    </row>
    <row r="26" spans="1:10" s="597" customFormat="1" ht="26.4" x14ac:dyDescent="0.3">
      <c r="A26" s="757" t="s">
        <v>482</v>
      </c>
      <c r="B26" s="758"/>
      <c r="C26" s="759"/>
      <c r="D26" s="628">
        <v>75</v>
      </c>
      <c r="E26" s="760" t="s">
        <v>481</v>
      </c>
      <c r="G26"/>
      <c r="H26"/>
      <c r="I26"/>
      <c r="J26"/>
    </row>
    <row r="27" spans="1:10" s="597" customFormat="1" ht="27" x14ac:dyDescent="0.3">
      <c r="A27" s="882" t="s">
        <v>483</v>
      </c>
      <c r="B27" s="883"/>
      <c r="C27" s="884"/>
      <c r="D27" s="667">
        <f>(D25/800)+110*SQRT(D24)</f>
        <v>875.33222957981764</v>
      </c>
      <c r="E27" s="629" t="s">
        <v>484</v>
      </c>
      <c r="F27" s="183"/>
      <c r="G27"/>
      <c r="H27"/>
      <c r="I27"/>
      <c r="J27"/>
    </row>
    <row r="28" spans="1:10" s="597" customFormat="1" ht="40.200000000000003" x14ac:dyDescent="0.3">
      <c r="A28" s="882" t="s">
        <v>485</v>
      </c>
      <c r="B28" s="883"/>
      <c r="C28" s="884"/>
      <c r="D28" s="666">
        <f>D27/70</f>
        <v>12.504746136854537</v>
      </c>
      <c r="E28" s="662" t="s">
        <v>486</v>
      </c>
      <c r="F28" s="183"/>
      <c r="G28"/>
      <c r="H28"/>
      <c r="I28"/>
      <c r="J28"/>
    </row>
    <row r="29" spans="1:10" s="597" customFormat="1" ht="14.4" x14ac:dyDescent="0.3">
      <c r="B29" s="85"/>
      <c r="C29" s="85"/>
      <c r="D29" s="183"/>
      <c r="E29" s="183"/>
      <c r="F29" s="183"/>
      <c r="G29"/>
      <c r="H29"/>
      <c r="I29"/>
      <c r="J29"/>
    </row>
    <row r="30" spans="1:10" s="597" customFormat="1" ht="14.4" x14ac:dyDescent="0.3">
      <c r="A30" s="85"/>
      <c r="B30" s="85"/>
      <c r="C30" s="85"/>
      <c r="D30" s="183"/>
      <c r="E30" s="183"/>
      <c r="F30" s="183"/>
      <c r="G30"/>
      <c r="H30"/>
      <c r="I30"/>
      <c r="J30"/>
    </row>
    <row r="31" spans="1:10" s="597" customFormat="1" ht="53.4" x14ac:dyDescent="0.3">
      <c r="A31" s="250" t="s">
        <v>487</v>
      </c>
      <c r="B31" s="183"/>
      <c r="C31" s="129"/>
      <c r="D31" s="183"/>
      <c r="E31" s="183"/>
      <c r="F31" s="183"/>
      <c r="G31"/>
      <c r="H31"/>
      <c r="I31"/>
      <c r="J31"/>
    </row>
    <row r="32" spans="1:10" s="597" customFormat="1" ht="93" x14ac:dyDescent="0.3">
      <c r="A32" s="130" t="s">
        <v>488</v>
      </c>
      <c r="B32" s="663">
        <v>70</v>
      </c>
      <c r="C32" s="664" t="s">
        <v>489</v>
      </c>
      <c r="D32" s="183"/>
      <c r="E32" s="183"/>
      <c r="F32" s="183"/>
      <c r="G32"/>
      <c r="H32"/>
      <c r="I32"/>
      <c r="J32"/>
    </row>
    <row r="33" spans="1:12" s="597" customFormat="1" ht="14.4" x14ac:dyDescent="0.3">
      <c r="A33" s="183"/>
      <c r="B33" s="665"/>
      <c r="C33" s="630"/>
      <c r="D33" s="183"/>
      <c r="E33" s="183"/>
      <c r="F33" s="183"/>
      <c r="G33"/>
      <c r="H33"/>
      <c r="I33"/>
      <c r="J33"/>
    </row>
    <row r="34" spans="1:12" s="597" customFormat="1" ht="14.4" x14ac:dyDescent="0.3">
      <c r="A34" s="183" t="s">
        <v>490</v>
      </c>
      <c r="B34" s="183"/>
      <c r="C34" s="630"/>
      <c r="D34" s="183"/>
      <c r="E34" s="183"/>
      <c r="F34" s="183"/>
      <c r="G34"/>
      <c r="H34"/>
      <c r="I34"/>
      <c r="J34"/>
    </row>
    <row r="35" spans="1:12" s="597" customFormat="1" ht="14.4" x14ac:dyDescent="0.3">
      <c r="A35"/>
      <c r="B35"/>
      <c r="C35"/>
      <c r="D35"/>
      <c r="E35"/>
      <c r="F35"/>
      <c r="G35"/>
      <c r="H35"/>
      <c r="I35"/>
      <c r="J35"/>
    </row>
    <row r="36" spans="1:12" s="597" customFormat="1" ht="14.4" x14ac:dyDescent="0.3">
      <c r="A36"/>
      <c r="B36"/>
      <c r="C36"/>
      <c r="D36"/>
      <c r="E36"/>
      <c r="F36"/>
      <c r="G36"/>
      <c r="H36"/>
      <c r="I36"/>
      <c r="J36"/>
    </row>
    <row r="37" spans="1:12" s="597" customFormat="1" ht="14.4" x14ac:dyDescent="0.3">
      <c r="A37"/>
      <c r="B37"/>
      <c r="C37"/>
      <c r="D37"/>
      <c r="E37"/>
      <c r="F37"/>
      <c r="G37"/>
      <c r="H37"/>
      <c r="I37"/>
      <c r="J37"/>
    </row>
    <row r="38" spans="1:12" s="597" customFormat="1" ht="14.4" x14ac:dyDescent="0.3">
      <c r="A38"/>
      <c r="B38"/>
      <c r="C38"/>
      <c r="D38"/>
      <c r="E38"/>
      <c r="F38"/>
      <c r="G38"/>
      <c r="H38"/>
      <c r="I38"/>
      <c r="J38"/>
    </row>
    <row r="39" spans="1:12" s="597" customFormat="1" ht="14.4" x14ac:dyDescent="0.3">
      <c r="A39"/>
      <c r="B39"/>
      <c r="C39"/>
      <c r="D39"/>
      <c r="E39"/>
      <c r="F39"/>
      <c r="G39"/>
      <c r="H39"/>
      <c r="I39"/>
      <c r="J39"/>
    </row>
    <row r="40" spans="1:12" s="597" customFormat="1" ht="14.4" x14ac:dyDescent="0.3">
      <c r="A40"/>
      <c r="B40"/>
      <c r="C40"/>
      <c r="D40"/>
      <c r="E40"/>
      <c r="F40"/>
      <c r="G40"/>
      <c r="H40"/>
      <c r="I40"/>
      <c r="J40"/>
    </row>
    <row r="41" spans="1:12" s="597" customFormat="1" ht="14.4" x14ac:dyDescent="0.3">
      <c r="A41"/>
      <c r="B41"/>
      <c r="C41"/>
      <c r="D41"/>
      <c r="E41"/>
      <c r="F41"/>
      <c r="G41"/>
      <c r="H41"/>
      <c r="I41"/>
      <c r="J41"/>
    </row>
    <row r="42" spans="1:12" s="597" customFormat="1" ht="14.4" x14ac:dyDescent="0.3">
      <c r="A42"/>
      <c r="B42"/>
      <c r="C42"/>
      <c r="D42"/>
      <c r="E42"/>
      <c r="F42"/>
      <c r="G42"/>
      <c r="H42"/>
      <c r="I42"/>
      <c r="J42"/>
    </row>
    <row r="43" spans="1:12" s="597" customFormat="1" ht="15" customHeight="1" x14ac:dyDescent="0.3">
      <c r="A43" s="598" t="s">
        <v>491</v>
      </c>
      <c r="B43" s="599">
        <v>135</v>
      </c>
      <c r="C43" s="600" t="s">
        <v>492</v>
      </c>
      <c r="D43" s="601"/>
      <c r="E43" s="601"/>
      <c r="F43"/>
      <c r="G43"/>
      <c r="H43"/>
      <c r="I43"/>
      <c r="J43"/>
    </row>
    <row r="44" spans="1:12" s="597" customFormat="1" ht="15" customHeight="1" x14ac:dyDescent="0.3">
      <c r="A44" s="601" t="s">
        <v>493</v>
      </c>
      <c r="B44" s="602">
        <v>0.6</v>
      </c>
      <c r="C44" s="600" t="s">
        <v>494</v>
      </c>
      <c r="D44" s="603"/>
      <c r="E44" s="603"/>
      <c r="F44"/>
      <c r="G44"/>
      <c r="H44"/>
      <c r="I44"/>
      <c r="J44"/>
    </row>
    <row r="45" spans="1:12" s="597" customFormat="1" ht="14.4" x14ac:dyDescent="0.3">
      <c r="A45" s="604" t="s">
        <v>495</v>
      </c>
      <c r="B45" s="605">
        <v>8.2876999999999992</v>
      </c>
      <c r="C45" s="600" t="s">
        <v>494</v>
      </c>
      <c r="D45" s="600"/>
      <c r="E45" s="600"/>
      <c r="F45"/>
      <c r="G45"/>
      <c r="H45"/>
      <c r="I45"/>
      <c r="J45"/>
    </row>
    <row r="46" spans="1:12" s="597" customFormat="1" ht="14.4" x14ac:dyDescent="0.3">
      <c r="A46" s="597" t="s">
        <v>496</v>
      </c>
      <c r="B46" s="606">
        <v>0.4</v>
      </c>
      <c r="C46" s="607" t="s">
        <v>497</v>
      </c>
      <c r="D46" s="607"/>
      <c r="F46" s="607"/>
      <c r="G46" s="607"/>
    </row>
    <row r="47" spans="1:12" s="597" customFormat="1" ht="26.1" customHeight="1" x14ac:dyDescent="0.25">
      <c r="A47" s="890" t="s">
        <v>498</v>
      </c>
      <c r="B47" s="891"/>
      <c r="C47" s="891"/>
      <c r="D47" s="891"/>
      <c r="E47" s="891"/>
      <c r="F47" s="891"/>
      <c r="G47" s="891"/>
      <c r="H47" s="891"/>
      <c r="I47" s="891"/>
      <c r="J47" s="891"/>
      <c r="K47" s="891"/>
    </row>
    <row r="48" spans="1:12" s="597" customFormat="1" ht="48.75" customHeight="1" x14ac:dyDescent="0.3">
      <c r="A48" s="633" t="s">
        <v>499</v>
      </c>
      <c r="B48" s="633" t="s">
        <v>500</v>
      </c>
      <c r="C48" s="633" t="s">
        <v>501</v>
      </c>
      <c r="D48" s="633" t="s">
        <v>502</v>
      </c>
      <c r="E48" s="633" t="s">
        <v>503</v>
      </c>
      <c r="F48" s="633" t="s">
        <v>504</v>
      </c>
      <c r="G48" s="892" t="s">
        <v>505</v>
      </c>
      <c r="H48" s="892"/>
      <c r="I48" s="892" t="s">
        <v>506</v>
      </c>
      <c r="J48" s="892"/>
      <c r="K48" s="634" t="s">
        <v>507</v>
      </c>
      <c r="L48"/>
    </row>
    <row r="49" spans="1:11" s="597" customFormat="1" ht="18.75" customHeight="1" x14ac:dyDescent="0.25">
      <c r="A49" s="635" t="s">
        <v>508</v>
      </c>
      <c r="B49" s="636">
        <v>47.9</v>
      </c>
      <c r="C49" s="637">
        <f>$F$11*($B$43-B49)*$B$45</f>
        <v>54139.400249999992</v>
      </c>
      <c r="D49" s="637">
        <f>C49*$B$44</f>
        <v>32483.640149999992</v>
      </c>
      <c r="E49" s="637">
        <f>_xlfn.LET(_xlpm.x,_xlfn.XLOOKUP(D49/$C$3,$A$70:$A$100,$A$70:$A$100,"",1),IF(_xlpm.x="",ROUNDUP(D49/$C$3,0),_xlpm.x))</f>
        <v>60000</v>
      </c>
      <c r="F49" s="637">
        <f>_xlfn.LET(_xlpm.v,MAX(30,$F$11*$B$46),_xlpm.x,_xlfn.XLOOKUP(_xlpm.v,$E$70:$E$88,$E$70:$E$88,"",1),IF(_xlpm.x="",ROUNDUP(_xlpm.v,0),_xlpm.x))</f>
        <v>34</v>
      </c>
      <c r="G49" s="637">
        <f>(E49/800)+110*SQRT(F49)</f>
        <v>716.40470843298306</v>
      </c>
      <c r="H49" s="637" t="s">
        <v>509</v>
      </c>
      <c r="I49" s="654">
        <f>G49/70</f>
        <v>10.234352977614044</v>
      </c>
      <c r="J49" s="638" t="s">
        <v>510</v>
      </c>
      <c r="K49" s="868" t="s">
        <v>511</v>
      </c>
    </row>
    <row r="50" spans="1:11" s="597" customFormat="1" ht="18.75" customHeight="1" x14ac:dyDescent="0.25">
      <c r="A50" s="635" t="s">
        <v>512</v>
      </c>
      <c r="B50" s="636">
        <v>50.8</v>
      </c>
      <c r="C50" s="637">
        <f t="shared" ref="C50:C64" si="0">$F$11*($B$43-B50)*$B$45</f>
        <v>52336.825499999992</v>
      </c>
      <c r="D50" s="637">
        <f t="shared" ref="D50:D64" si="1">C50*$B$44</f>
        <v>31402.095299999994</v>
      </c>
      <c r="E50" s="637">
        <f t="shared" ref="E50:E64" si="2">_xlfn.LET(_xlpm.x,_xlfn.XLOOKUP(D50/$C$3,$A$70:$A$100,$A$70:$A$100,"",1),IF(_xlpm.x="",ROUNDUP(D50/$C$3,0),_xlpm.x))</f>
        <v>60000</v>
      </c>
      <c r="F50" s="637">
        <f t="shared" ref="F50:F64" si="3">_xlfn.LET(_xlpm.v,MAX(30,$F$11*$B$46),_xlpm.x,_xlfn.XLOOKUP(_xlpm.v,$E$70:$E$88,$E$70:$E$88,"",1),IF(_xlpm.x="",ROUNDUP(_xlpm.v,0),_xlpm.x))</f>
        <v>34</v>
      </c>
      <c r="G50" s="637">
        <f t="shared" ref="G50:G64" si="4">(E50/800)+110*SQRT(F50)</f>
        <v>716.40470843298306</v>
      </c>
      <c r="H50" s="637" t="s">
        <v>509</v>
      </c>
      <c r="I50" s="654">
        <f t="shared" ref="I50:I64" si="5">G50/70</f>
        <v>10.234352977614044</v>
      </c>
      <c r="J50" s="638" t="s">
        <v>510</v>
      </c>
      <c r="K50" s="869"/>
    </row>
    <row r="51" spans="1:11" s="597" customFormat="1" ht="18.75" customHeight="1" x14ac:dyDescent="0.25">
      <c r="A51" s="635" t="s">
        <v>513</v>
      </c>
      <c r="B51" s="636">
        <v>52.2</v>
      </c>
      <c r="C51" s="637">
        <f t="shared" si="0"/>
        <v>51466.616999999998</v>
      </c>
      <c r="D51" s="637">
        <f t="shared" si="1"/>
        <v>30879.970199999996</v>
      </c>
      <c r="E51" s="637">
        <f t="shared" si="2"/>
        <v>60000</v>
      </c>
      <c r="F51" s="637">
        <f t="shared" si="3"/>
        <v>34</v>
      </c>
      <c r="G51" s="637">
        <f t="shared" si="4"/>
        <v>716.40470843298306</v>
      </c>
      <c r="H51" s="637" t="s">
        <v>509</v>
      </c>
      <c r="I51" s="654">
        <f t="shared" si="5"/>
        <v>10.234352977614044</v>
      </c>
      <c r="J51" s="638" t="s">
        <v>510</v>
      </c>
      <c r="K51" s="869"/>
    </row>
    <row r="52" spans="1:11" s="597" customFormat="1" ht="18.75" customHeight="1" x14ac:dyDescent="0.25">
      <c r="A52" s="635" t="s">
        <v>514</v>
      </c>
      <c r="B52" s="636">
        <v>52.7</v>
      </c>
      <c r="C52" s="637">
        <f t="shared" si="0"/>
        <v>51155.828249999991</v>
      </c>
      <c r="D52" s="637">
        <f t="shared" si="1"/>
        <v>30693.496949999993</v>
      </c>
      <c r="E52" s="637">
        <f t="shared" si="2"/>
        <v>60000</v>
      </c>
      <c r="F52" s="637">
        <f t="shared" si="3"/>
        <v>34</v>
      </c>
      <c r="G52" s="637">
        <f t="shared" si="4"/>
        <v>716.40470843298306</v>
      </c>
      <c r="H52" s="637" t="s">
        <v>509</v>
      </c>
      <c r="I52" s="654">
        <f t="shared" si="5"/>
        <v>10.234352977614044</v>
      </c>
      <c r="J52" s="638" t="s">
        <v>510</v>
      </c>
      <c r="K52" s="869"/>
    </row>
    <row r="53" spans="1:11" s="597" customFormat="1" ht="18.75" customHeight="1" x14ac:dyDescent="0.25">
      <c r="A53" s="635" t="s">
        <v>515</v>
      </c>
      <c r="B53" s="636">
        <v>51.6</v>
      </c>
      <c r="C53" s="637">
        <f t="shared" si="0"/>
        <v>51839.563499999997</v>
      </c>
      <c r="D53" s="637">
        <f t="shared" si="1"/>
        <v>31103.738099999995</v>
      </c>
      <c r="E53" s="637">
        <f t="shared" si="2"/>
        <v>60000</v>
      </c>
      <c r="F53" s="637">
        <f t="shared" si="3"/>
        <v>34</v>
      </c>
      <c r="G53" s="637">
        <f t="shared" si="4"/>
        <v>716.40470843298306</v>
      </c>
      <c r="H53" s="637" t="s">
        <v>509</v>
      </c>
      <c r="I53" s="654">
        <f t="shared" si="5"/>
        <v>10.234352977614044</v>
      </c>
      <c r="J53" s="638" t="s">
        <v>510</v>
      </c>
      <c r="K53" s="869"/>
    </row>
    <row r="54" spans="1:11" s="597" customFormat="1" ht="18.75" customHeight="1" x14ac:dyDescent="0.25">
      <c r="A54" s="635" t="s">
        <v>516</v>
      </c>
      <c r="B54" s="636">
        <v>56.8</v>
      </c>
      <c r="C54" s="637">
        <f t="shared" si="0"/>
        <v>48607.360499999995</v>
      </c>
      <c r="D54" s="637">
        <f t="shared" si="1"/>
        <v>29164.416299999997</v>
      </c>
      <c r="E54" s="637">
        <f t="shared" si="2"/>
        <v>60000</v>
      </c>
      <c r="F54" s="637">
        <f t="shared" si="3"/>
        <v>34</v>
      </c>
      <c r="G54" s="637">
        <f t="shared" si="4"/>
        <v>716.40470843298306</v>
      </c>
      <c r="H54" s="637" t="s">
        <v>509</v>
      </c>
      <c r="I54" s="654">
        <f t="shared" si="5"/>
        <v>10.234352977614044</v>
      </c>
      <c r="J54" s="638" t="s">
        <v>510</v>
      </c>
      <c r="K54" s="869"/>
    </row>
    <row r="55" spans="1:11" s="597" customFormat="1" ht="18.75" customHeight="1" x14ac:dyDescent="0.25">
      <c r="A55" s="635" t="s">
        <v>517</v>
      </c>
      <c r="B55" s="636">
        <v>58.4</v>
      </c>
      <c r="C55" s="637">
        <f t="shared" si="0"/>
        <v>47612.836499999998</v>
      </c>
      <c r="D55" s="637">
        <f t="shared" si="1"/>
        <v>28567.701899999996</v>
      </c>
      <c r="E55" s="637">
        <f t="shared" si="2"/>
        <v>60000</v>
      </c>
      <c r="F55" s="637">
        <f t="shared" si="3"/>
        <v>34</v>
      </c>
      <c r="G55" s="637">
        <f t="shared" si="4"/>
        <v>716.40470843298306</v>
      </c>
      <c r="H55" s="637" t="s">
        <v>509</v>
      </c>
      <c r="I55" s="654">
        <f t="shared" si="5"/>
        <v>10.234352977614044</v>
      </c>
      <c r="J55" s="638" t="s">
        <v>510</v>
      </c>
      <c r="K55" s="869"/>
    </row>
    <row r="56" spans="1:11" s="597" customFormat="1" ht="18.75" customHeight="1" x14ac:dyDescent="0.25">
      <c r="A56" s="635" t="s">
        <v>518</v>
      </c>
      <c r="B56" s="636">
        <v>58.4</v>
      </c>
      <c r="C56" s="637">
        <f t="shared" si="0"/>
        <v>47612.836499999998</v>
      </c>
      <c r="D56" s="637">
        <f t="shared" si="1"/>
        <v>28567.701899999996</v>
      </c>
      <c r="E56" s="637">
        <f t="shared" si="2"/>
        <v>60000</v>
      </c>
      <c r="F56" s="637">
        <f t="shared" si="3"/>
        <v>34</v>
      </c>
      <c r="G56" s="637">
        <f t="shared" si="4"/>
        <v>716.40470843298306</v>
      </c>
      <c r="H56" s="637" t="s">
        <v>509</v>
      </c>
      <c r="I56" s="654">
        <f t="shared" si="5"/>
        <v>10.234352977614044</v>
      </c>
      <c r="J56" s="638" t="s">
        <v>510</v>
      </c>
      <c r="K56" s="869"/>
    </row>
    <row r="57" spans="1:11" s="597" customFormat="1" ht="18.75" customHeight="1" x14ac:dyDescent="0.25">
      <c r="A57" s="635" t="s">
        <v>519</v>
      </c>
      <c r="B57" s="636">
        <v>57.6</v>
      </c>
      <c r="C57" s="637">
        <f t="shared" si="0"/>
        <v>48110.098499999993</v>
      </c>
      <c r="D57" s="637">
        <f t="shared" si="1"/>
        <v>28866.059099999995</v>
      </c>
      <c r="E57" s="637">
        <f t="shared" si="2"/>
        <v>60000</v>
      </c>
      <c r="F57" s="637">
        <f t="shared" si="3"/>
        <v>34</v>
      </c>
      <c r="G57" s="637">
        <f t="shared" si="4"/>
        <v>716.40470843298306</v>
      </c>
      <c r="H57" s="637" t="s">
        <v>509</v>
      </c>
      <c r="I57" s="654">
        <f t="shared" si="5"/>
        <v>10.234352977614044</v>
      </c>
      <c r="J57" s="638" t="s">
        <v>510</v>
      </c>
      <c r="K57" s="869"/>
    </row>
    <row r="58" spans="1:11" s="597" customFormat="1" ht="18.75" customHeight="1" x14ac:dyDescent="0.25">
      <c r="A58" s="635" t="s">
        <v>245</v>
      </c>
      <c r="B58" s="636">
        <v>57.1</v>
      </c>
      <c r="C58" s="637">
        <f t="shared" si="0"/>
        <v>48420.887249999992</v>
      </c>
      <c r="D58" s="637">
        <f t="shared" si="1"/>
        <v>29052.532349999994</v>
      </c>
      <c r="E58" s="637">
        <f t="shared" si="2"/>
        <v>60000</v>
      </c>
      <c r="F58" s="637">
        <f t="shared" si="3"/>
        <v>34</v>
      </c>
      <c r="G58" s="637">
        <f t="shared" si="4"/>
        <v>716.40470843298306</v>
      </c>
      <c r="H58" s="637" t="s">
        <v>509</v>
      </c>
      <c r="I58" s="654">
        <f t="shared" si="5"/>
        <v>10.234352977614044</v>
      </c>
      <c r="J58" s="638" t="s">
        <v>510</v>
      </c>
      <c r="K58" s="869"/>
    </row>
    <row r="59" spans="1:11" s="597" customFormat="1" ht="18.75" customHeight="1" x14ac:dyDescent="0.25">
      <c r="A59" s="635" t="s">
        <v>246</v>
      </c>
      <c r="B59" s="636">
        <v>50.5</v>
      </c>
      <c r="C59" s="637">
        <f t="shared" si="0"/>
        <v>52523.298749999994</v>
      </c>
      <c r="D59" s="637">
        <f t="shared" si="1"/>
        <v>31513.979249999997</v>
      </c>
      <c r="E59" s="637">
        <f t="shared" si="2"/>
        <v>60000</v>
      </c>
      <c r="F59" s="637">
        <f t="shared" si="3"/>
        <v>34</v>
      </c>
      <c r="G59" s="637">
        <f t="shared" si="4"/>
        <v>716.40470843298306</v>
      </c>
      <c r="H59" s="637" t="s">
        <v>509</v>
      </c>
      <c r="I59" s="654">
        <f t="shared" si="5"/>
        <v>10.234352977614044</v>
      </c>
      <c r="J59" s="638" t="s">
        <v>510</v>
      </c>
      <c r="K59" s="869"/>
    </row>
    <row r="60" spans="1:11" s="597" customFormat="1" ht="18.75" customHeight="1" x14ac:dyDescent="0.25">
      <c r="A60" s="635" t="s">
        <v>247</v>
      </c>
      <c r="B60" s="636">
        <v>51.4</v>
      </c>
      <c r="C60" s="637">
        <f t="shared" si="0"/>
        <v>51963.878999999994</v>
      </c>
      <c r="D60" s="637">
        <f t="shared" si="1"/>
        <v>31178.327399999995</v>
      </c>
      <c r="E60" s="637">
        <f t="shared" si="2"/>
        <v>60000</v>
      </c>
      <c r="F60" s="637">
        <f t="shared" si="3"/>
        <v>34</v>
      </c>
      <c r="G60" s="637">
        <f t="shared" si="4"/>
        <v>716.40470843298306</v>
      </c>
      <c r="H60" s="637" t="s">
        <v>509</v>
      </c>
      <c r="I60" s="654">
        <f t="shared" si="5"/>
        <v>10.234352977614044</v>
      </c>
      <c r="J60" s="638" t="s">
        <v>510</v>
      </c>
      <c r="K60" s="869"/>
    </row>
    <row r="61" spans="1:11" s="597" customFormat="1" ht="18.75" customHeight="1" x14ac:dyDescent="0.25">
      <c r="A61" s="635" t="s">
        <v>248</v>
      </c>
      <c r="B61" s="636">
        <v>51.7</v>
      </c>
      <c r="C61" s="637">
        <f t="shared" si="0"/>
        <v>51777.405749999998</v>
      </c>
      <c r="D61" s="637">
        <f t="shared" si="1"/>
        <v>31066.443449999999</v>
      </c>
      <c r="E61" s="637">
        <f t="shared" si="2"/>
        <v>60000</v>
      </c>
      <c r="F61" s="637">
        <f t="shared" si="3"/>
        <v>34</v>
      </c>
      <c r="G61" s="637">
        <f t="shared" si="4"/>
        <v>716.40470843298306</v>
      </c>
      <c r="H61" s="637" t="s">
        <v>509</v>
      </c>
      <c r="I61" s="654">
        <f t="shared" si="5"/>
        <v>10.234352977614044</v>
      </c>
      <c r="J61" s="638" t="s">
        <v>510</v>
      </c>
      <c r="K61" s="869"/>
    </row>
    <row r="62" spans="1:11" s="597" customFormat="1" ht="18.75" customHeight="1" x14ac:dyDescent="0.25">
      <c r="A62" s="635" t="s">
        <v>249</v>
      </c>
      <c r="B62" s="636">
        <v>50.1</v>
      </c>
      <c r="C62" s="637">
        <f t="shared" si="0"/>
        <v>52771.929749999996</v>
      </c>
      <c r="D62" s="637">
        <f t="shared" si="1"/>
        <v>31663.157849999996</v>
      </c>
      <c r="E62" s="637">
        <f t="shared" si="2"/>
        <v>60000</v>
      </c>
      <c r="F62" s="637">
        <f t="shared" si="3"/>
        <v>34</v>
      </c>
      <c r="G62" s="637">
        <f t="shared" si="4"/>
        <v>716.40470843298306</v>
      </c>
      <c r="H62" s="637" t="s">
        <v>509</v>
      </c>
      <c r="I62" s="654">
        <f t="shared" si="5"/>
        <v>10.234352977614044</v>
      </c>
      <c r="J62" s="638" t="s">
        <v>510</v>
      </c>
      <c r="K62" s="869"/>
    </row>
    <row r="63" spans="1:11" s="597" customFormat="1" ht="18.75" customHeight="1" x14ac:dyDescent="0.25">
      <c r="A63" s="635" t="s">
        <v>250</v>
      </c>
      <c r="B63" s="636">
        <v>63.2</v>
      </c>
      <c r="C63" s="637">
        <f t="shared" si="0"/>
        <v>44629.264499999997</v>
      </c>
      <c r="D63" s="637">
        <f t="shared" si="1"/>
        <v>26777.558699999998</v>
      </c>
      <c r="E63" s="637">
        <f t="shared" si="2"/>
        <v>60000</v>
      </c>
      <c r="F63" s="637">
        <f t="shared" si="3"/>
        <v>34</v>
      </c>
      <c r="G63" s="637">
        <f t="shared" si="4"/>
        <v>716.40470843298306</v>
      </c>
      <c r="H63" s="637" t="s">
        <v>509</v>
      </c>
      <c r="I63" s="654">
        <f t="shared" si="5"/>
        <v>10.234352977614044</v>
      </c>
      <c r="J63" s="638" t="s">
        <v>510</v>
      </c>
      <c r="K63" s="869"/>
    </row>
    <row r="64" spans="1:11" s="597" customFormat="1" ht="18.75" customHeight="1" x14ac:dyDescent="0.25">
      <c r="A64" s="635" t="s">
        <v>251</v>
      </c>
      <c r="B64" s="636">
        <v>41.4</v>
      </c>
      <c r="C64" s="637">
        <f t="shared" si="0"/>
        <v>58179.653999999995</v>
      </c>
      <c r="D64" s="637">
        <f t="shared" si="1"/>
        <v>34907.792399999998</v>
      </c>
      <c r="E64" s="637">
        <f t="shared" si="2"/>
        <v>60000</v>
      </c>
      <c r="F64" s="637">
        <f t="shared" si="3"/>
        <v>34</v>
      </c>
      <c r="G64" s="637">
        <f t="shared" si="4"/>
        <v>716.40470843298306</v>
      </c>
      <c r="H64" s="637" t="s">
        <v>509</v>
      </c>
      <c r="I64" s="654">
        <f t="shared" si="5"/>
        <v>10.234352977614044</v>
      </c>
      <c r="J64" s="638" t="s">
        <v>510</v>
      </c>
      <c r="K64" s="870"/>
    </row>
    <row r="65" spans="1:9" s="597" customFormat="1" ht="14.4" x14ac:dyDescent="0.3">
      <c r="C65" s="607"/>
      <c r="D65" s="607"/>
      <c r="F65" s="607"/>
      <c r="G65" s="607"/>
    </row>
    <row r="66" spans="1:9" s="597" customFormat="1" ht="14.4" x14ac:dyDescent="0.3">
      <c r="C66" s="607"/>
      <c r="D66" s="607"/>
      <c r="F66" s="607"/>
      <c r="G66" s="607"/>
    </row>
    <row r="67" spans="1:9" s="597" customFormat="1" ht="14.4" x14ac:dyDescent="0.3">
      <c r="C67" s="607"/>
      <c r="D67" s="607"/>
      <c r="F67" s="607"/>
      <c r="G67" s="607"/>
    </row>
    <row r="68" spans="1:9" s="597" customFormat="1" ht="24.75" customHeight="1" x14ac:dyDescent="0.25">
      <c r="A68" s="893" t="s">
        <v>520</v>
      </c>
      <c r="B68" s="810"/>
      <c r="C68" s="810"/>
      <c r="D68" s="810"/>
      <c r="E68" s="810"/>
      <c r="F68" s="810"/>
      <c r="G68" s="810"/>
      <c r="H68" s="810"/>
      <c r="I68" s="653"/>
    </row>
    <row r="69" spans="1:9" s="608" customFormat="1" ht="23.25" customHeight="1" x14ac:dyDescent="0.25">
      <c r="A69" s="661" t="s">
        <v>521</v>
      </c>
      <c r="B69" s="639" t="s">
        <v>522</v>
      </c>
      <c r="C69" s="646" t="s">
        <v>523</v>
      </c>
      <c r="D69" s="647" t="s">
        <v>524</v>
      </c>
      <c r="E69" s="648" t="s">
        <v>525</v>
      </c>
      <c r="F69" s="647" t="s">
        <v>526</v>
      </c>
      <c r="G69" s="649" t="s">
        <v>527</v>
      </c>
      <c r="H69" s="650" t="s">
        <v>528</v>
      </c>
      <c r="I69" s="644" t="str">
        <f>HYPERLINK("#'Note'!A1","Sources and links → Note tab")</f>
        <v>Sources and links → Note tab</v>
      </c>
    </row>
    <row r="70" spans="1:9" s="597" customFormat="1" ht="13.8" x14ac:dyDescent="0.25">
      <c r="A70" s="643">
        <v>60000</v>
      </c>
      <c r="B70" s="640" t="s">
        <v>529</v>
      </c>
      <c r="C70" s="641">
        <v>1.5</v>
      </c>
      <c r="D70" s="651">
        <v>5118</v>
      </c>
      <c r="E70" s="642">
        <v>34</v>
      </c>
      <c r="F70" s="642" t="s">
        <v>530</v>
      </c>
      <c r="G70" s="642">
        <v>6</v>
      </c>
      <c r="H70" s="652" t="s">
        <v>529</v>
      </c>
      <c r="I70" s="653"/>
    </row>
    <row r="71" spans="1:9" s="597" customFormat="1" ht="13.8" x14ac:dyDescent="0.25">
      <c r="A71" s="643">
        <v>75100</v>
      </c>
      <c r="B71" s="643" t="s">
        <v>529</v>
      </c>
      <c r="C71" s="641">
        <v>2</v>
      </c>
      <c r="D71" s="651">
        <v>6824</v>
      </c>
      <c r="E71" s="642">
        <v>35</v>
      </c>
      <c r="F71" s="642" t="s">
        <v>529</v>
      </c>
      <c r="G71" s="642">
        <v>10</v>
      </c>
      <c r="H71" s="652" t="s">
        <v>529</v>
      </c>
    </row>
    <row r="72" spans="1:9" s="597" customFormat="1" ht="13.8" x14ac:dyDescent="0.25">
      <c r="A72" s="643">
        <v>76000</v>
      </c>
      <c r="B72" s="643" t="s">
        <v>531</v>
      </c>
      <c r="C72" s="641">
        <v>3</v>
      </c>
      <c r="D72" s="651">
        <v>10236</v>
      </c>
      <c r="E72" s="642">
        <v>48</v>
      </c>
      <c r="F72" s="642" t="s">
        <v>529</v>
      </c>
      <c r="G72" s="642">
        <v>15</v>
      </c>
      <c r="H72" s="652" t="s">
        <v>529</v>
      </c>
    </row>
    <row r="73" spans="1:9" s="597" customFormat="1" ht="13.8" x14ac:dyDescent="0.25">
      <c r="A73" s="643">
        <v>80000</v>
      </c>
      <c r="B73" s="643" t="s">
        <v>529</v>
      </c>
      <c r="C73" s="641">
        <v>4.5</v>
      </c>
      <c r="D73" s="651">
        <v>15355</v>
      </c>
      <c r="E73" s="642">
        <v>50</v>
      </c>
      <c r="F73" s="642" t="s">
        <v>531</v>
      </c>
      <c r="G73" s="642">
        <v>20</v>
      </c>
      <c r="H73" s="652" t="s">
        <v>529</v>
      </c>
    </row>
    <row r="74" spans="1:9" s="597" customFormat="1" ht="13.8" x14ac:dyDescent="0.25">
      <c r="A74" s="643">
        <v>99900</v>
      </c>
      <c r="B74" s="643" t="s">
        <v>530</v>
      </c>
      <c r="C74" s="641">
        <v>6</v>
      </c>
      <c r="D74" s="651">
        <v>20473</v>
      </c>
      <c r="E74" s="642">
        <v>55</v>
      </c>
      <c r="F74" s="642" t="s">
        <v>530</v>
      </c>
      <c r="G74" s="642">
        <v>28</v>
      </c>
      <c r="H74" s="652" t="s">
        <v>529</v>
      </c>
    </row>
    <row r="75" spans="1:9" s="597" customFormat="1" ht="13.8" x14ac:dyDescent="0.25">
      <c r="A75" s="643">
        <v>100000</v>
      </c>
      <c r="B75" s="643" t="s">
        <v>531</v>
      </c>
      <c r="C75" s="641">
        <v>8</v>
      </c>
      <c r="D75" s="651">
        <v>27297</v>
      </c>
      <c r="E75" s="642">
        <v>60</v>
      </c>
      <c r="F75" s="642" t="s">
        <v>530</v>
      </c>
      <c r="G75" s="642">
        <v>30</v>
      </c>
      <c r="H75" s="652" t="s">
        <v>529</v>
      </c>
    </row>
    <row r="76" spans="1:9" s="597" customFormat="1" ht="13.8" x14ac:dyDescent="0.25">
      <c r="A76" s="643">
        <v>120000</v>
      </c>
      <c r="B76" s="643" t="s">
        <v>530</v>
      </c>
      <c r="C76" s="641">
        <v>9</v>
      </c>
      <c r="D76" s="651">
        <v>30709</v>
      </c>
      <c r="E76" s="642">
        <v>65</v>
      </c>
      <c r="F76" s="642" t="s">
        <v>531</v>
      </c>
      <c r="G76" s="642">
        <v>36</v>
      </c>
      <c r="H76" s="652" t="s">
        <v>529</v>
      </c>
    </row>
    <row r="77" spans="1:9" s="597" customFormat="1" ht="13.8" x14ac:dyDescent="0.25">
      <c r="A77" s="643">
        <v>125000</v>
      </c>
      <c r="B77" s="643" t="s">
        <v>531</v>
      </c>
      <c r="C77" s="641">
        <v>10</v>
      </c>
      <c r="D77" s="651">
        <v>34121</v>
      </c>
      <c r="E77" s="642">
        <v>72</v>
      </c>
      <c r="F77" s="642" t="s">
        <v>529</v>
      </c>
      <c r="G77" s="642">
        <v>40</v>
      </c>
      <c r="H77" s="652" t="s">
        <v>529</v>
      </c>
    </row>
    <row r="78" spans="1:9" s="597" customFormat="1" ht="13.8" x14ac:dyDescent="0.25">
      <c r="A78" s="643">
        <v>130000</v>
      </c>
      <c r="B78" s="643" t="s">
        <v>531</v>
      </c>
      <c r="C78" s="641">
        <v>12</v>
      </c>
      <c r="D78" s="651">
        <v>40946</v>
      </c>
      <c r="E78" s="642">
        <v>75</v>
      </c>
      <c r="F78" s="642" t="s">
        <v>531</v>
      </c>
      <c r="G78" s="642">
        <v>47</v>
      </c>
      <c r="H78" s="652"/>
    </row>
    <row r="79" spans="1:9" s="597" customFormat="1" ht="13.8" x14ac:dyDescent="0.25">
      <c r="A79" s="643">
        <v>145000</v>
      </c>
      <c r="B79" s="643" t="s">
        <v>530</v>
      </c>
      <c r="C79" s="641">
        <v>12.1</v>
      </c>
      <c r="D79" s="651">
        <v>41287</v>
      </c>
      <c r="E79" s="642">
        <v>76</v>
      </c>
      <c r="F79" s="642" t="s">
        <v>529</v>
      </c>
      <c r="G79" s="642">
        <v>50</v>
      </c>
      <c r="H79" s="688"/>
    </row>
    <row r="80" spans="1:9" s="597" customFormat="1" ht="13.8" x14ac:dyDescent="0.25">
      <c r="A80" s="643">
        <v>150000</v>
      </c>
      <c r="B80" s="643" t="s">
        <v>530</v>
      </c>
      <c r="C80" s="641">
        <v>18</v>
      </c>
      <c r="D80" s="651">
        <v>61419</v>
      </c>
      <c r="E80" s="642">
        <v>80</v>
      </c>
      <c r="F80" s="642" t="s">
        <v>531</v>
      </c>
      <c r="G80" s="642">
        <v>65</v>
      </c>
      <c r="H80" s="688"/>
    </row>
    <row r="81" spans="1:8" s="597" customFormat="1" ht="13.8" x14ac:dyDescent="0.25">
      <c r="A81" s="643">
        <v>156000</v>
      </c>
      <c r="B81" s="689" t="s">
        <v>529</v>
      </c>
      <c r="C81" s="641">
        <v>24</v>
      </c>
      <c r="D81" s="651">
        <v>81891</v>
      </c>
      <c r="E81" s="642">
        <v>82</v>
      </c>
      <c r="F81" s="642" t="s">
        <v>529</v>
      </c>
      <c r="G81" s="642">
        <v>80</v>
      </c>
      <c r="H81" s="688"/>
    </row>
    <row r="82" spans="1:8" s="597" customFormat="1" ht="13.8" x14ac:dyDescent="0.25">
      <c r="A82" s="643">
        <v>160000</v>
      </c>
      <c r="B82" s="690" t="s">
        <v>531</v>
      </c>
      <c r="C82" s="641">
        <v>27</v>
      </c>
      <c r="D82" s="642">
        <v>92128</v>
      </c>
      <c r="E82" s="642">
        <v>85</v>
      </c>
      <c r="F82" s="642" t="s">
        <v>529</v>
      </c>
      <c r="G82" s="642">
        <v>85</v>
      </c>
      <c r="H82" s="688"/>
    </row>
    <row r="83" spans="1:8" s="597" customFormat="1" ht="13.8" x14ac:dyDescent="0.25">
      <c r="A83" s="643">
        <v>175000</v>
      </c>
      <c r="B83" s="690" t="s">
        <v>530</v>
      </c>
      <c r="C83" s="641">
        <v>36</v>
      </c>
      <c r="D83" s="642">
        <v>122837</v>
      </c>
      <c r="E83" s="642">
        <v>90</v>
      </c>
      <c r="F83" s="642" t="s">
        <v>531</v>
      </c>
      <c r="G83" s="642">
        <v>105</v>
      </c>
      <c r="H83" s="688"/>
    </row>
    <row r="84" spans="1:8" s="597" customFormat="1" ht="13.8" x14ac:dyDescent="0.25">
      <c r="A84" s="643">
        <v>180000</v>
      </c>
      <c r="B84" s="690" t="s">
        <v>529</v>
      </c>
      <c r="C84" s="641">
        <v>54</v>
      </c>
      <c r="D84" s="642">
        <v>184256</v>
      </c>
      <c r="E84" s="642">
        <v>91</v>
      </c>
      <c r="F84" s="642" t="s">
        <v>529</v>
      </c>
      <c r="G84" s="642">
        <v>120</v>
      </c>
      <c r="H84" s="688"/>
    </row>
    <row r="85" spans="1:8" s="597" customFormat="1" ht="13.8" x14ac:dyDescent="0.25">
      <c r="A85" s="643">
        <v>199000</v>
      </c>
      <c r="B85" s="690" t="s">
        <v>530</v>
      </c>
      <c r="C85" s="641"/>
      <c r="D85" s="642"/>
      <c r="E85" s="642">
        <v>100</v>
      </c>
      <c r="F85" s="642" t="s">
        <v>531</v>
      </c>
      <c r="G85" s="642"/>
      <c r="H85" s="688"/>
    </row>
    <row r="86" spans="1:8" s="597" customFormat="1" ht="13.8" x14ac:dyDescent="0.25">
      <c r="A86" s="643">
        <v>199900</v>
      </c>
      <c r="B86" s="690" t="s">
        <v>531</v>
      </c>
      <c r="C86" s="641"/>
      <c r="D86" s="642"/>
      <c r="E86" s="642">
        <v>110</v>
      </c>
      <c r="F86" s="642" t="s">
        <v>530</v>
      </c>
      <c r="G86" s="642"/>
      <c r="H86" s="688"/>
    </row>
    <row r="87" spans="1:8" s="597" customFormat="1" ht="13.8" x14ac:dyDescent="0.25">
      <c r="A87" s="643">
        <v>200000</v>
      </c>
      <c r="B87" s="690" t="s">
        <v>530</v>
      </c>
      <c r="C87" s="641"/>
      <c r="D87" s="642"/>
      <c r="E87" s="642">
        <v>119</v>
      </c>
      <c r="F87" s="642" t="s">
        <v>531</v>
      </c>
      <c r="G87" s="642"/>
      <c r="H87" s="688"/>
    </row>
    <row r="88" spans="1:8" s="597" customFormat="1" ht="13.8" x14ac:dyDescent="0.25">
      <c r="A88" s="643">
        <v>250000</v>
      </c>
      <c r="B88" s="690" t="s">
        <v>531</v>
      </c>
      <c r="C88" s="691"/>
      <c r="D88" s="692"/>
      <c r="E88" s="692">
        <v>125</v>
      </c>
      <c r="F88" s="692" t="s">
        <v>530</v>
      </c>
      <c r="G88" s="692"/>
      <c r="H88" s="693"/>
    </row>
    <row r="89" spans="1:8" s="597" customFormat="1" ht="14.4" x14ac:dyDescent="0.3">
      <c r="A89" s="643">
        <v>251000</v>
      </c>
      <c r="B89" s="690" t="s">
        <v>530</v>
      </c>
      <c r="C89"/>
      <c r="D89"/>
      <c r="E89" s="694"/>
      <c r="F89" s="695"/>
      <c r="G89" s="695"/>
    </row>
    <row r="90" spans="1:8" s="597" customFormat="1" ht="14.4" x14ac:dyDescent="0.3">
      <c r="A90" s="643">
        <v>270000</v>
      </c>
      <c r="B90" s="690" t="s">
        <v>529</v>
      </c>
      <c r="C90"/>
      <c r="D90"/>
      <c r="E90" s="694"/>
      <c r="F90" s="695"/>
      <c r="G90" s="695"/>
    </row>
    <row r="91" spans="1:8" s="597" customFormat="1" ht="14.4" x14ac:dyDescent="0.3">
      <c r="A91" s="643">
        <v>285000</v>
      </c>
      <c r="B91" s="690" t="s">
        <v>530</v>
      </c>
      <c r="C91"/>
      <c r="D91"/>
      <c r="E91" s="694"/>
      <c r="F91" s="695"/>
      <c r="G91" s="695"/>
    </row>
    <row r="92" spans="1:8" s="597" customFormat="1" ht="14.4" x14ac:dyDescent="0.3">
      <c r="A92" s="643">
        <v>300000</v>
      </c>
      <c r="B92" s="690" t="s">
        <v>531</v>
      </c>
      <c r="C92"/>
      <c r="D92"/>
      <c r="E92" s="694"/>
      <c r="F92" s="695"/>
      <c r="G92" s="695"/>
    </row>
    <row r="93" spans="1:8" s="597" customFormat="1" ht="14.4" x14ac:dyDescent="0.3">
      <c r="A93" s="643">
        <v>320000</v>
      </c>
      <c r="B93" s="690" t="s">
        <v>530</v>
      </c>
      <c r="C93"/>
      <c r="D93"/>
      <c r="E93" s="694"/>
      <c r="F93" s="695"/>
      <c r="G93" s="695"/>
    </row>
    <row r="94" spans="1:8" s="597" customFormat="1" ht="14.4" x14ac:dyDescent="0.3">
      <c r="A94" s="643">
        <v>360000</v>
      </c>
      <c r="B94" s="690" t="s">
        <v>529</v>
      </c>
      <c r="C94"/>
      <c r="D94"/>
      <c r="E94" s="694"/>
      <c r="F94" s="695"/>
      <c r="G94" s="695"/>
    </row>
    <row r="95" spans="1:8" s="597" customFormat="1" ht="14.4" x14ac:dyDescent="0.3">
      <c r="A95" s="643">
        <v>398000</v>
      </c>
      <c r="B95" s="690" t="s">
        <v>530</v>
      </c>
      <c r="C95"/>
      <c r="D95"/>
      <c r="E95" s="694"/>
      <c r="F95" s="695"/>
      <c r="G95" s="695"/>
    </row>
    <row r="96" spans="1:8" s="597" customFormat="1" ht="14.4" x14ac:dyDescent="0.3">
      <c r="A96" s="643">
        <v>399000</v>
      </c>
      <c r="B96" s="690" t="s">
        <v>530</v>
      </c>
      <c r="C96"/>
      <c r="D96"/>
      <c r="E96" s="694"/>
      <c r="F96" s="695"/>
      <c r="G96" s="695"/>
    </row>
    <row r="97" spans="1:7" s="597" customFormat="1" ht="14.4" x14ac:dyDescent="0.3">
      <c r="A97" s="643">
        <v>399900</v>
      </c>
      <c r="B97" s="690" t="s">
        <v>531</v>
      </c>
      <c r="C97"/>
      <c r="D97"/>
      <c r="E97" s="694"/>
      <c r="F97" s="695"/>
      <c r="G97" s="695"/>
    </row>
    <row r="98" spans="1:7" s="597" customFormat="1" ht="14.4" x14ac:dyDescent="0.3">
      <c r="A98" s="643">
        <v>499900</v>
      </c>
      <c r="B98" s="690" t="s">
        <v>529</v>
      </c>
      <c r="C98"/>
      <c r="D98"/>
      <c r="E98" s="694"/>
      <c r="F98" s="695"/>
      <c r="G98" s="695"/>
    </row>
    <row r="99" spans="1:7" s="597" customFormat="1" ht="14.4" x14ac:dyDescent="0.3">
      <c r="A99" s="643">
        <v>550000</v>
      </c>
      <c r="B99" s="690" t="s">
        <v>529</v>
      </c>
      <c r="C99"/>
      <c r="D99"/>
      <c r="E99" s="694"/>
      <c r="F99" s="695"/>
      <c r="G99" s="695"/>
    </row>
    <row r="100" spans="1:7" s="597" customFormat="1" ht="14.4" x14ac:dyDescent="0.25">
      <c r="A100" s="696">
        <v>715000</v>
      </c>
      <c r="B100" s="697" t="s">
        <v>529</v>
      </c>
      <c r="C100" s="695"/>
      <c r="D100" s="695"/>
      <c r="E100" s="694"/>
      <c r="F100" s="695"/>
      <c r="G100" s="695"/>
    </row>
    <row r="101" spans="1:7" customFormat="1" ht="14.4" x14ac:dyDescent="0.3"/>
    <row r="102" spans="1:7" customFormat="1" ht="14.4" x14ac:dyDescent="0.3"/>
    <row r="103" spans="1:7" customFormat="1" ht="14.4" x14ac:dyDescent="0.3"/>
    <row r="104" spans="1:7" customFormat="1" ht="14.4" x14ac:dyDescent="0.3"/>
    <row r="105" spans="1:7" customFormat="1" ht="14.4" x14ac:dyDescent="0.3"/>
    <row r="106" spans="1:7" customFormat="1" ht="14.4" x14ac:dyDescent="0.3"/>
    <row r="107" spans="1:7" customFormat="1" ht="14.4" x14ac:dyDescent="0.3"/>
    <row r="108" spans="1:7" customFormat="1" ht="14.4" x14ac:dyDescent="0.3"/>
    <row r="109" spans="1:7" customFormat="1" ht="14.4" x14ac:dyDescent="0.3"/>
    <row r="110" spans="1:7" customFormat="1" ht="14.4" x14ac:dyDescent="0.3"/>
    <row r="111" spans="1:7" customFormat="1" ht="14.4" x14ac:dyDescent="0.3"/>
    <row r="112" spans="1:7" customFormat="1" ht="14.4" x14ac:dyDescent="0.3"/>
    <row r="113" customFormat="1" ht="14.4" x14ac:dyDescent="0.3"/>
    <row r="114" customFormat="1" ht="18" customHeight="1" x14ac:dyDescent="0.3"/>
    <row r="115" customFormat="1" ht="14.4" x14ac:dyDescent="0.3"/>
    <row r="116" customFormat="1" ht="14.4" x14ac:dyDescent="0.3"/>
    <row r="117" customFormat="1" ht="14.4" x14ac:dyDescent="0.3"/>
    <row r="118" customFormat="1" ht="14.4" x14ac:dyDescent="0.3"/>
    <row r="119" customFormat="1" ht="14.4" x14ac:dyDescent="0.3"/>
    <row r="120" customFormat="1" ht="14.4" x14ac:dyDescent="0.3"/>
    <row r="121" customFormat="1" ht="14.4" x14ac:dyDescent="0.3"/>
    <row r="122" customFormat="1" ht="14.4" x14ac:dyDescent="0.3"/>
    <row r="123" customFormat="1" ht="14.4" x14ac:dyDescent="0.3"/>
    <row r="124" customFormat="1" ht="14.4" x14ac:dyDescent="0.3"/>
    <row r="125" customFormat="1" ht="14.4" x14ac:dyDescent="0.3"/>
    <row r="126" customFormat="1" ht="14.4" x14ac:dyDescent="0.3"/>
    <row r="127" customFormat="1" ht="14.4" x14ac:dyDescent="0.3"/>
    <row r="128" customFormat="1" ht="14.4" x14ac:dyDescent="0.3"/>
    <row r="129" customFormat="1" ht="14.4" x14ac:dyDescent="0.3"/>
    <row r="130" customFormat="1" ht="14.4" x14ac:dyDescent="0.3"/>
    <row r="131" customFormat="1" ht="14.4" x14ac:dyDescent="0.3"/>
    <row r="132" customFormat="1" ht="14.4" x14ac:dyDescent="0.3"/>
    <row r="133" customFormat="1" ht="14.4" x14ac:dyDescent="0.3"/>
    <row r="134" customFormat="1" ht="14.4" x14ac:dyDescent="0.3"/>
    <row r="135" customFormat="1" ht="14.4" x14ac:dyDescent="0.3"/>
    <row r="136" customFormat="1" ht="14.4" x14ac:dyDescent="0.3"/>
    <row r="137" customFormat="1" ht="14.4" x14ac:dyDescent="0.3"/>
    <row r="138" customFormat="1" ht="14.4" x14ac:dyDescent="0.3"/>
    <row r="139" customFormat="1" ht="14.4" x14ac:dyDescent="0.3"/>
    <row r="140" customFormat="1" ht="14.4" x14ac:dyDescent="0.3"/>
    <row r="141" customFormat="1" ht="14.4" x14ac:dyDescent="0.3"/>
    <row r="142" customFormat="1" ht="14.4" x14ac:dyDescent="0.3"/>
    <row r="143" customFormat="1" ht="14.4" x14ac:dyDescent="0.3"/>
    <row r="144" customFormat="1" ht="14.4" x14ac:dyDescent="0.3"/>
    <row r="145" customFormat="1" ht="14.4" x14ac:dyDescent="0.3"/>
    <row r="146" customFormat="1" ht="14.4" x14ac:dyDescent="0.3"/>
    <row r="147" customFormat="1" ht="14.4" x14ac:dyDescent="0.3"/>
    <row r="148" customFormat="1" ht="14.4" x14ac:dyDescent="0.3"/>
    <row r="149" customFormat="1" ht="14.4" x14ac:dyDescent="0.3"/>
    <row r="150" customFormat="1" ht="14.4" x14ac:dyDescent="0.3"/>
    <row r="151" customFormat="1" ht="14.4" x14ac:dyDescent="0.3"/>
    <row r="152" customFormat="1" ht="14.4" x14ac:dyDescent="0.3"/>
    <row r="153" customFormat="1" ht="14.4" x14ac:dyDescent="0.3"/>
    <row r="154" customFormat="1" ht="14.4" x14ac:dyDescent="0.3"/>
    <row r="155" customFormat="1" ht="14.4" x14ac:dyDescent="0.3"/>
    <row r="156" customFormat="1" ht="14.4" x14ac:dyDescent="0.3"/>
    <row r="157" customFormat="1" ht="14.4" x14ac:dyDescent="0.3"/>
    <row r="158" customFormat="1" ht="14.4" x14ac:dyDescent="0.3"/>
    <row r="159" customFormat="1" ht="14.4" x14ac:dyDescent="0.3"/>
    <row r="160" customFormat="1" ht="14.4" x14ac:dyDescent="0.3"/>
    <row r="161" customFormat="1" ht="14.4" x14ac:dyDescent="0.3"/>
    <row r="162" customFormat="1" ht="14.4" x14ac:dyDescent="0.3"/>
    <row r="163" customFormat="1" ht="14.4" x14ac:dyDescent="0.3"/>
    <row r="164" customFormat="1" ht="14.4" x14ac:dyDescent="0.3"/>
    <row r="165" customFormat="1" ht="14.4" x14ac:dyDescent="0.3"/>
    <row r="166" customFormat="1" ht="14.4" x14ac:dyDescent="0.3"/>
    <row r="167" customFormat="1" ht="14.4" x14ac:dyDescent="0.3"/>
    <row r="168" customFormat="1" ht="14.4" x14ac:dyDescent="0.3"/>
    <row r="169" customFormat="1" ht="14.4" x14ac:dyDescent="0.3"/>
    <row r="170" customFormat="1" ht="14.4" x14ac:dyDescent="0.3"/>
    <row r="171" customFormat="1" ht="14.4" x14ac:dyDescent="0.3"/>
    <row r="172" customFormat="1" ht="14.4" x14ac:dyDescent="0.3"/>
    <row r="173" customFormat="1" ht="14.4" x14ac:dyDescent="0.3"/>
    <row r="174" customFormat="1" ht="14.4" x14ac:dyDescent="0.3"/>
    <row r="175" customFormat="1" ht="14.4" x14ac:dyDescent="0.3"/>
    <row r="176" customFormat="1" ht="14.4" x14ac:dyDescent="0.3"/>
    <row r="177" customFormat="1" ht="14.4" x14ac:dyDescent="0.3"/>
    <row r="178" customFormat="1" ht="14.4" x14ac:dyDescent="0.3"/>
    <row r="179" customFormat="1" ht="14.4" x14ac:dyDescent="0.3"/>
    <row r="180" customFormat="1" ht="14.4" x14ac:dyDescent="0.3"/>
    <row r="181" customFormat="1" ht="14.4" x14ac:dyDescent="0.3"/>
    <row r="182" customFormat="1" ht="14.4" x14ac:dyDescent="0.3"/>
    <row r="183" customFormat="1" ht="14.4" x14ac:dyDescent="0.3"/>
  </sheetData>
  <mergeCells count="16">
    <mergeCell ref="A7:H7"/>
    <mergeCell ref="B11:E11"/>
    <mergeCell ref="H11:H12"/>
    <mergeCell ref="B12:E12"/>
    <mergeCell ref="A1:G1"/>
    <mergeCell ref="A47:K47"/>
    <mergeCell ref="G48:H48"/>
    <mergeCell ref="I48:J48"/>
    <mergeCell ref="K49:K64"/>
    <mergeCell ref="A68:H68"/>
    <mergeCell ref="A28:C28"/>
    <mergeCell ref="A17:E17"/>
    <mergeCell ref="E19:E23"/>
    <mergeCell ref="A24:C24"/>
    <mergeCell ref="A25:C25"/>
    <mergeCell ref="A27:C27"/>
  </mergeCells>
  <hyperlinks>
    <hyperlink ref="J15" r:id="rId1" display="https://caenergywise.com/design-guides/hot-water/Technical_Design_Guide.pdf" xr:uid="{58A531FE-F0AD-4603-BFAB-7193123E54F1}"/>
  </hyperlinks>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AAB3-37D4-40C4-AD32-87DEB55DC747}">
  <sheetPr codeName="Sheet17"/>
  <dimension ref="A1:H26"/>
  <sheetViews>
    <sheetView zoomScaleNormal="100" workbookViewId="0">
      <selection sqref="A1:G1"/>
    </sheetView>
  </sheetViews>
  <sheetFormatPr defaultColWidth="8.6640625" defaultRowHeight="13.2" x14ac:dyDescent="0.25"/>
  <cols>
    <col min="1" max="1" width="39.88671875" style="57" customWidth="1"/>
    <col min="2" max="2" width="19" style="57" customWidth="1"/>
    <col min="3" max="3" width="23.33203125" style="57" customWidth="1"/>
    <col min="4" max="4" width="23" style="57" customWidth="1"/>
    <col min="5" max="5" width="21.44140625" style="57" customWidth="1"/>
    <col min="6" max="6" width="25.5546875" style="57" customWidth="1"/>
    <col min="7" max="7" width="43.6640625" style="57" customWidth="1"/>
    <col min="8" max="8" width="19.6640625" style="57" customWidth="1"/>
    <col min="9" max="9" width="54.5546875" style="57" customWidth="1"/>
    <col min="10" max="10" width="9.6640625" style="57" customWidth="1"/>
    <col min="11" max="11" width="13.33203125" style="57" customWidth="1"/>
    <col min="12" max="12" width="24" style="57" customWidth="1"/>
    <col min="13" max="13" width="10.5546875" style="57" customWidth="1"/>
    <col min="14" max="14" width="11.44140625" style="57" customWidth="1"/>
    <col min="15" max="15" width="10.5546875" style="57" customWidth="1"/>
    <col min="16" max="16" width="13.33203125" style="57" customWidth="1"/>
    <col min="17" max="17" width="9.6640625" style="57" customWidth="1"/>
    <col min="18" max="18" width="9.44140625" style="57" customWidth="1"/>
    <col min="19" max="19" width="12.6640625" style="57" customWidth="1"/>
    <col min="20" max="20" width="14.6640625" style="57" customWidth="1"/>
    <col min="21" max="21" width="20.6640625" style="57" customWidth="1"/>
    <col min="22" max="22" width="19.6640625" style="57" customWidth="1"/>
    <col min="23" max="28" width="8.6640625" style="57"/>
    <col min="29" max="29" width="13.6640625" style="57" bestFit="1" customWidth="1"/>
    <col min="30" max="16384" width="8.6640625" style="57"/>
  </cols>
  <sheetData>
    <row r="1" spans="1:8" ht="25.95" customHeight="1" x14ac:dyDescent="0.25">
      <c r="A1" s="900" t="str">
        <f>"Interior Lighting - "&amp;Prototype!A2</f>
        <v>Interior Lighting - RestaurantFastFood</v>
      </c>
      <c r="B1" s="900"/>
      <c r="C1" s="900"/>
      <c r="D1" s="900"/>
      <c r="E1" s="900"/>
      <c r="F1" s="900"/>
      <c r="G1" s="900"/>
    </row>
    <row r="2" spans="1:8" ht="18.600000000000001" customHeight="1" x14ac:dyDescent="0.25">
      <c r="A2" s="901" t="s">
        <v>532</v>
      </c>
      <c r="B2" s="902" t="s">
        <v>533</v>
      </c>
      <c r="C2" s="902"/>
      <c r="D2" s="902"/>
      <c r="E2" s="902" t="s">
        <v>264</v>
      </c>
      <c r="F2" s="902"/>
      <c r="G2" s="902"/>
    </row>
    <row r="3" spans="1:8" ht="28.95" customHeight="1" x14ac:dyDescent="0.25">
      <c r="A3" s="901"/>
      <c r="B3" s="761" t="s">
        <v>534</v>
      </c>
      <c r="C3" s="761" t="s">
        <v>535</v>
      </c>
      <c r="D3" s="761" t="s">
        <v>288</v>
      </c>
      <c r="E3" s="761" t="s">
        <v>536</v>
      </c>
      <c r="F3" s="761" t="s">
        <v>535</v>
      </c>
      <c r="G3" s="761" t="s">
        <v>288</v>
      </c>
    </row>
    <row r="4" spans="1:8" ht="33.6" customHeight="1" x14ac:dyDescent="0.25">
      <c r="A4" s="325" t="str">
        <f>Zones!C3</f>
        <v>Dining Area (Cafeteria/Fast Food)</v>
      </c>
      <c r="B4" s="764">
        <v>0.45</v>
      </c>
      <c r="C4" s="764" t="s">
        <v>537</v>
      </c>
      <c r="D4" s="905" t="s">
        <v>538</v>
      </c>
      <c r="E4" s="763">
        <v>1</v>
      </c>
      <c r="F4" s="327" t="s">
        <v>539</v>
      </c>
      <c r="G4" s="904" t="s">
        <v>540</v>
      </c>
    </row>
    <row r="5" spans="1:8" ht="30" customHeight="1" x14ac:dyDescent="0.25">
      <c r="A5" s="325" t="str">
        <f>Zones!C4</f>
        <v>Kitchen/Food Preparation Area</v>
      </c>
      <c r="B5" s="764">
        <v>0.95</v>
      </c>
      <c r="C5" s="326"/>
      <c r="D5" s="905"/>
      <c r="E5" s="763">
        <v>1.2</v>
      </c>
      <c r="F5" s="378"/>
      <c r="G5" s="904"/>
    </row>
    <row r="6" spans="1:8" ht="16.95" customHeight="1" x14ac:dyDescent="0.25">
      <c r="A6" s="325" t="str">
        <f>Zones!C5</f>
        <v>Attic</v>
      </c>
      <c r="B6" s="764"/>
      <c r="C6" s="326"/>
      <c r="D6" s="326"/>
      <c r="E6" s="326"/>
      <c r="F6" s="326"/>
      <c r="G6" s="326"/>
    </row>
    <row r="7" spans="1:8" ht="16.95" customHeight="1" x14ac:dyDescent="0.25">
      <c r="A7" s="60"/>
      <c r="B7" s="61"/>
      <c r="D7" s="60"/>
    </row>
    <row r="8" spans="1:8" ht="16.95" customHeight="1" x14ac:dyDescent="0.25">
      <c r="A8" s="60"/>
      <c r="B8" s="61"/>
      <c r="D8" s="60"/>
    </row>
    <row r="9" spans="1:8" ht="13.2" customHeight="1" x14ac:dyDescent="0.25">
      <c r="B9" s="70"/>
      <c r="C9" s="70"/>
      <c r="D9" s="70"/>
      <c r="E9" s="70"/>
    </row>
    <row r="10" spans="1:8" s="71" customFormat="1" ht="13.2" hidden="1" customHeight="1" x14ac:dyDescent="0.25">
      <c r="A10" s="71" t="s">
        <v>88</v>
      </c>
      <c r="E10" s="72"/>
      <c r="F10" s="73"/>
      <c r="G10" s="74"/>
    </row>
    <row r="11" spans="1:8" ht="13.2" hidden="1" customHeight="1" x14ac:dyDescent="0.25">
      <c r="B11" s="70"/>
      <c r="C11" s="70"/>
      <c r="D11" s="70"/>
      <c r="E11" s="70"/>
    </row>
    <row r="12" spans="1:8" ht="13.2" hidden="1" customHeight="1" x14ac:dyDescent="0.25">
      <c r="B12" s="70"/>
      <c r="C12" s="70"/>
      <c r="D12" s="311" t="str">
        <f>A4</f>
        <v>Dining Area (Cafeteria/Fast Food)</v>
      </c>
      <c r="E12" s="762">
        <v>0.4</v>
      </c>
      <c r="F12" s="312" t="s">
        <v>541</v>
      </c>
      <c r="G12" s="903" t="s">
        <v>542</v>
      </c>
      <c r="H12" s="176" t="s">
        <v>543</v>
      </c>
    </row>
    <row r="13" spans="1:8" ht="13.2" hidden="1" customHeight="1" x14ac:dyDescent="0.25">
      <c r="B13" s="70"/>
      <c r="C13" s="70"/>
      <c r="D13" s="311" t="str">
        <f>A5</f>
        <v>Kitchen/Food Preparation Area</v>
      </c>
      <c r="E13" s="313">
        <v>0.95</v>
      </c>
      <c r="F13" s="312"/>
      <c r="G13" s="903"/>
    </row>
    <row r="14" spans="1:8" ht="13.2" hidden="1" customHeight="1" x14ac:dyDescent="0.25">
      <c r="B14" s="70"/>
      <c r="C14" s="70"/>
      <c r="D14" s="311" t="e">
        <f>#REF!</f>
        <v>#REF!</v>
      </c>
      <c r="E14" s="762"/>
      <c r="F14" s="312"/>
      <c r="G14" s="903"/>
    </row>
    <row r="15" spans="1:8" ht="13.2" hidden="1" customHeight="1" x14ac:dyDescent="0.25">
      <c r="B15" s="70"/>
      <c r="C15" s="70"/>
      <c r="D15" s="70"/>
      <c r="E15" s="70"/>
    </row>
    <row r="16" spans="1:8" ht="13.2" customHeight="1" x14ac:dyDescent="0.25">
      <c r="B16" s="70"/>
      <c r="C16" s="70"/>
      <c r="D16" s="70"/>
      <c r="E16" s="70"/>
    </row>
    <row r="17" spans="2:5" ht="13.2" customHeight="1" x14ac:dyDescent="0.25">
      <c r="B17" s="70"/>
      <c r="C17" s="70"/>
      <c r="D17" s="70"/>
      <c r="E17" s="70"/>
    </row>
    <row r="18" spans="2:5" ht="13.2" customHeight="1" x14ac:dyDescent="0.25">
      <c r="B18" s="70"/>
      <c r="C18" s="70"/>
      <c r="D18" s="70"/>
      <c r="E18" s="70"/>
    </row>
    <row r="19" spans="2:5" ht="13.2" customHeight="1" x14ac:dyDescent="0.25">
      <c r="B19" s="70"/>
      <c r="C19" s="70"/>
      <c r="D19" s="70"/>
      <c r="E19" s="70"/>
    </row>
    <row r="20" spans="2:5" ht="13.2" customHeight="1" x14ac:dyDescent="0.25">
      <c r="B20" s="70"/>
      <c r="C20" s="70"/>
      <c r="D20" s="70"/>
      <c r="E20" s="70"/>
    </row>
    <row r="21" spans="2:5" ht="13.2" customHeight="1" x14ac:dyDescent="0.25">
      <c r="B21" s="70"/>
      <c r="C21" s="70"/>
      <c r="D21" s="70"/>
      <c r="E21" s="70"/>
    </row>
    <row r="22" spans="2:5" ht="13.2" customHeight="1" x14ac:dyDescent="0.25">
      <c r="B22" s="70"/>
      <c r="C22" s="70"/>
      <c r="D22" s="70"/>
      <c r="E22" s="70"/>
    </row>
    <row r="23" spans="2:5" ht="13.2" customHeight="1" x14ac:dyDescent="0.25">
      <c r="B23" s="70"/>
      <c r="C23" s="70"/>
      <c r="D23" s="70"/>
      <c r="E23" s="70"/>
    </row>
    <row r="24" spans="2:5" ht="13.2" customHeight="1" x14ac:dyDescent="0.25">
      <c r="B24" s="70"/>
      <c r="C24" s="70"/>
      <c r="D24" s="70"/>
      <c r="E24" s="70"/>
    </row>
    <row r="25" spans="2:5" ht="13.2" customHeight="1" x14ac:dyDescent="0.25">
      <c r="B25" s="70"/>
      <c r="C25" s="70"/>
      <c r="D25" s="70"/>
      <c r="E25" s="70"/>
    </row>
    <row r="26" spans="2:5" ht="13.2" customHeight="1" x14ac:dyDescent="0.25">
      <c r="B26" s="70"/>
      <c r="C26" s="70"/>
      <c r="D26" s="70"/>
      <c r="E26" s="70"/>
    </row>
  </sheetData>
  <mergeCells count="7">
    <mergeCell ref="G4:G5"/>
    <mergeCell ref="D4:D5"/>
    <mergeCell ref="A1:G1"/>
    <mergeCell ref="A2:A3"/>
    <mergeCell ref="B2:D2"/>
    <mergeCell ref="E2:G2"/>
    <mergeCell ref="G12:G14"/>
  </mergeCells>
  <phoneticPr fontId="6"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98FA8-1D97-4D12-96EB-6911ACEC625A}">
  <sheetPr codeName="Sheet18"/>
  <dimension ref="A1:G39"/>
  <sheetViews>
    <sheetView zoomScaleNormal="100" workbookViewId="0">
      <selection sqref="A1:D1"/>
    </sheetView>
  </sheetViews>
  <sheetFormatPr defaultColWidth="8.6640625" defaultRowHeight="13.2" x14ac:dyDescent="0.25"/>
  <cols>
    <col min="1" max="1" width="34" style="57" customWidth="1"/>
    <col min="2" max="2" width="37.88671875" style="57" customWidth="1"/>
    <col min="3" max="3" width="12.44140625" style="57" customWidth="1"/>
    <col min="4" max="4" width="20.33203125" style="57" customWidth="1"/>
    <col min="5" max="5" width="33.109375" style="57" customWidth="1"/>
    <col min="6" max="6" width="12.5546875" style="57" customWidth="1"/>
    <col min="7" max="7" width="17.5546875" style="57" customWidth="1"/>
    <col min="8" max="8" width="15.5546875" style="57" customWidth="1"/>
    <col min="9" max="9" width="13.33203125" style="57" customWidth="1"/>
    <col min="10" max="16384" width="8.6640625" style="57"/>
  </cols>
  <sheetData>
    <row r="1" spans="1:7" ht="25.2" customHeight="1" x14ac:dyDescent="0.25">
      <c r="A1" s="907" t="str">
        <f>"Exterior Lighting - "&amp;Prototype!A2</f>
        <v>Exterior Lighting - RestaurantFastFood</v>
      </c>
      <c r="B1" s="907"/>
      <c r="C1" s="907"/>
      <c r="D1" s="907"/>
    </row>
    <row r="2" spans="1:7" ht="37.200000000000003" customHeight="1" x14ac:dyDescent="0.25">
      <c r="A2" s="218" t="s">
        <v>544</v>
      </c>
      <c r="B2" s="218" t="s">
        <v>545</v>
      </c>
      <c r="C2" s="218" t="s">
        <v>546</v>
      </c>
      <c r="D2" s="218" t="s">
        <v>288</v>
      </c>
    </row>
    <row r="3" spans="1:7" ht="22.2" customHeight="1" x14ac:dyDescent="0.25">
      <c r="A3" s="221">
        <f>G17</f>
        <v>351.02796799999999</v>
      </c>
      <c r="B3" s="221">
        <f>G18</f>
        <v>116.756164</v>
      </c>
      <c r="C3" s="221">
        <f>B3+A3</f>
        <v>467.784132</v>
      </c>
      <c r="D3" s="741" t="s">
        <v>547</v>
      </c>
    </row>
    <row r="8" spans="1:7" ht="22.2" customHeight="1" x14ac:dyDescent="0.25">
      <c r="A8" s="798" t="s">
        <v>548</v>
      </c>
      <c r="B8" s="798"/>
      <c r="C8" s="798"/>
      <c r="D8" s="798"/>
      <c r="E8" s="798"/>
      <c r="F8" s="798"/>
      <c r="G8" s="170"/>
    </row>
    <row r="9" spans="1:7" ht="57.6" customHeight="1" x14ac:dyDescent="0.25">
      <c r="A9" s="217" t="s">
        <v>549</v>
      </c>
      <c r="B9" s="908" t="s">
        <v>550</v>
      </c>
      <c r="C9" s="909"/>
      <c r="D9" s="218" t="s">
        <v>551</v>
      </c>
      <c r="E9" s="218" t="s">
        <v>552</v>
      </c>
      <c r="F9" s="218" t="s">
        <v>551</v>
      </c>
      <c r="G9" s="218" t="s">
        <v>553</v>
      </c>
    </row>
    <row r="10" spans="1:7" ht="19.2" customHeight="1" x14ac:dyDescent="0.25">
      <c r="A10" s="219" t="s">
        <v>554</v>
      </c>
      <c r="B10" s="252"/>
      <c r="C10" s="284"/>
      <c r="D10" s="742"/>
      <c r="E10" s="742">
        <v>200</v>
      </c>
      <c r="F10" s="742" t="s">
        <v>555</v>
      </c>
      <c r="G10" s="285">
        <f>$E10</f>
        <v>200</v>
      </c>
    </row>
    <row r="11" spans="1:7" ht="52.8" x14ac:dyDescent="0.25">
      <c r="A11" s="216" t="s">
        <v>556</v>
      </c>
      <c r="B11" s="268" t="s">
        <v>557</v>
      </c>
      <c r="C11" s="286">
        <f>B24/250*400</f>
        <v>4001.4720000000002</v>
      </c>
      <c r="D11" s="742" t="s">
        <v>558</v>
      </c>
      <c r="E11" s="742">
        <v>1.9E-2</v>
      </c>
      <c r="F11" s="742" t="s">
        <v>559</v>
      </c>
      <c r="G11" s="285">
        <f>$E11*C11</f>
        <v>76.027968000000001</v>
      </c>
    </row>
    <row r="12" spans="1:7" ht="18.600000000000001" customHeight="1" x14ac:dyDescent="0.25">
      <c r="A12" s="219" t="s">
        <v>560</v>
      </c>
      <c r="B12" s="268" t="s">
        <v>561</v>
      </c>
      <c r="C12" s="284">
        <v>1</v>
      </c>
      <c r="D12" s="742" t="s">
        <v>562</v>
      </c>
      <c r="E12" s="742">
        <v>15</v>
      </c>
      <c r="F12" s="742" t="s">
        <v>563</v>
      </c>
      <c r="G12" s="285">
        <f>E12*C12</f>
        <v>15</v>
      </c>
    </row>
    <row r="13" spans="1:7" ht="26.4" x14ac:dyDescent="0.25">
      <c r="A13" s="219" t="s">
        <v>564</v>
      </c>
      <c r="B13" s="268" t="s">
        <v>565</v>
      </c>
      <c r="C13" s="283">
        <f>B24*0.1</f>
        <v>250.09200000000001</v>
      </c>
      <c r="D13" s="742" t="s">
        <v>558</v>
      </c>
      <c r="E13" s="742">
        <v>7.0000000000000001E-3</v>
      </c>
      <c r="F13" s="742" t="s">
        <v>559</v>
      </c>
      <c r="G13" s="285">
        <f>E13*C13</f>
        <v>1.7506440000000001</v>
      </c>
    </row>
    <row r="14" spans="1:7" ht="96" customHeight="1" x14ac:dyDescent="0.25">
      <c r="A14" s="219" t="s">
        <v>566</v>
      </c>
      <c r="B14" s="268" t="s">
        <v>567</v>
      </c>
      <c r="C14" s="283">
        <f>B23*0.5*B26</f>
        <v>1000</v>
      </c>
      <c r="D14" s="742" t="s">
        <v>558</v>
      </c>
      <c r="E14" s="742">
        <v>0.1</v>
      </c>
      <c r="F14" s="742" t="s">
        <v>559</v>
      </c>
      <c r="G14" s="285">
        <f>E14*C14</f>
        <v>100</v>
      </c>
    </row>
    <row r="15" spans="1:7" ht="29.4" customHeight="1" x14ac:dyDescent="0.3">
      <c r="A15" s="287" t="s">
        <v>568</v>
      </c>
      <c r="B15" s="268" t="s">
        <v>569</v>
      </c>
      <c r="C15" s="283">
        <f>ROUND(B24/1500,0)</f>
        <v>2</v>
      </c>
      <c r="D15" s="742" t="s">
        <v>562</v>
      </c>
      <c r="E15" s="742">
        <v>30</v>
      </c>
      <c r="F15" s="742" t="s">
        <v>563</v>
      </c>
      <c r="G15" s="285">
        <f t="shared" ref="G15:G16" si="0">E15*C15</f>
        <v>60</v>
      </c>
    </row>
    <row r="16" spans="1:7" ht="33.6" customHeight="1" x14ac:dyDescent="0.3">
      <c r="A16" t="s">
        <v>570</v>
      </c>
      <c r="B16" s="268" t="s">
        <v>571</v>
      </c>
      <c r="C16" s="283">
        <f>1/5*B24</f>
        <v>500.18400000000003</v>
      </c>
      <c r="D16" s="742" t="s">
        <v>558</v>
      </c>
      <c r="E16" s="742">
        <v>0.03</v>
      </c>
      <c r="F16" s="742" t="s">
        <v>559</v>
      </c>
      <c r="G16" s="285">
        <f t="shared" si="0"/>
        <v>15.005520000000001</v>
      </c>
    </row>
    <row r="17" spans="1:7" ht="13.8" x14ac:dyDescent="0.25">
      <c r="A17" s="906" t="s">
        <v>572</v>
      </c>
      <c r="B17" s="906"/>
      <c r="C17" s="906"/>
      <c r="D17" s="906"/>
      <c r="E17" s="906"/>
      <c r="F17" s="906"/>
      <c r="G17" s="220">
        <f>G11+G10+G12+G15</f>
        <v>351.02796799999999</v>
      </c>
    </row>
    <row r="18" spans="1:7" ht="13.8" x14ac:dyDescent="0.25">
      <c r="A18" s="906" t="s">
        <v>573</v>
      </c>
      <c r="B18" s="906"/>
      <c r="C18" s="906"/>
      <c r="D18" s="906"/>
      <c r="E18" s="906"/>
      <c r="F18" s="906"/>
      <c r="G18" s="220">
        <f>G13+G14+G16</f>
        <v>116.756164</v>
      </c>
    </row>
    <row r="19" spans="1:7" ht="13.8" x14ac:dyDescent="0.25">
      <c r="A19" s="906" t="s">
        <v>574</v>
      </c>
      <c r="B19" s="906"/>
      <c r="C19" s="906"/>
      <c r="D19" s="906"/>
      <c r="E19" s="906"/>
      <c r="F19" s="906"/>
      <c r="G19" s="220">
        <f t="shared" ref="G19" si="1">G17+G18</f>
        <v>467.784132</v>
      </c>
    </row>
    <row r="20" spans="1:7" ht="13.8" x14ac:dyDescent="0.25">
      <c r="A20" s="745"/>
      <c r="B20" s="745"/>
      <c r="C20" s="745"/>
      <c r="D20" s="745"/>
      <c r="E20" s="745"/>
      <c r="F20" s="745"/>
      <c r="G20" s="190"/>
    </row>
    <row r="21" spans="1:7" x14ac:dyDescent="0.25">
      <c r="C21" s="740"/>
      <c r="F21" s="191"/>
    </row>
    <row r="22" spans="1:7" x14ac:dyDescent="0.25">
      <c r="B22" s="130"/>
      <c r="C22" s="740"/>
      <c r="F22" s="191"/>
    </row>
    <row r="23" spans="1:7" x14ac:dyDescent="0.25">
      <c r="A23" s="57" t="s">
        <v>575</v>
      </c>
      <c r="B23" s="282">
        <f>(50+50)*2</f>
        <v>200</v>
      </c>
      <c r="C23" s="740"/>
      <c r="F23" s="191"/>
    </row>
    <row r="24" spans="1:7" x14ac:dyDescent="0.25">
      <c r="A24" s="57" t="s">
        <v>576</v>
      </c>
      <c r="B24" s="288">
        <f>Zones!H6</f>
        <v>2500.92</v>
      </c>
      <c r="F24" s="191"/>
    </row>
    <row r="25" spans="1:7" x14ac:dyDescent="0.25">
      <c r="A25" s="57" t="s">
        <v>577</v>
      </c>
      <c r="B25" s="282">
        <v>1</v>
      </c>
      <c r="F25" s="191"/>
    </row>
    <row r="26" spans="1:7" x14ac:dyDescent="0.25">
      <c r="A26" s="57" t="s">
        <v>99</v>
      </c>
      <c r="B26" s="185">
        <v>10</v>
      </c>
    </row>
    <row r="27" spans="1:7" x14ac:dyDescent="0.25">
      <c r="B27" s="185"/>
    </row>
    <row r="28" spans="1:7" x14ac:dyDescent="0.25">
      <c r="B28" s="185"/>
    </row>
    <row r="29" spans="1:7" x14ac:dyDescent="0.25">
      <c r="B29" s="185"/>
    </row>
    <row r="31" spans="1:7" hidden="1" x14ac:dyDescent="0.25"/>
    <row r="32" spans="1:7" hidden="1" x14ac:dyDescent="0.25">
      <c r="A32" s="58" t="s">
        <v>578</v>
      </c>
    </row>
    <row r="33" hidden="1" x14ac:dyDescent="0.25"/>
    <row r="34" hidden="1" x14ac:dyDescent="0.25"/>
    <row r="35" hidden="1" x14ac:dyDescent="0.25"/>
    <row r="36" hidden="1" x14ac:dyDescent="0.25"/>
    <row r="37" hidden="1" x14ac:dyDescent="0.25"/>
    <row r="38" hidden="1" x14ac:dyDescent="0.25"/>
    <row r="39" hidden="1" x14ac:dyDescent="0.25"/>
  </sheetData>
  <mergeCells count="6">
    <mergeCell ref="A17:F17"/>
    <mergeCell ref="A18:F18"/>
    <mergeCell ref="A19:F19"/>
    <mergeCell ref="A1:D1"/>
    <mergeCell ref="B9:C9"/>
    <mergeCell ref="A8:F8"/>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9C81-B0B9-4AE9-9154-3628732CA590}">
  <sheetPr codeName="Sheet9"/>
  <dimension ref="A1:H12"/>
  <sheetViews>
    <sheetView zoomScaleNormal="100" workbookViewId="0">
      <selection sqref="A1:F1"/>
    </sheetView>
  </sheetViews>
  <sheetFormatPr defaultColWidth="8.6640625" defaultRowHeight="13.2" x14ac:dyDescent="0.25"/>
  <cols>
    <col min="1" max="1" width="36.44140625" style="57" customWidth="1"/>
    <col min="2" max="2" width="38.33203125" style="57" customWidth="1"/>
    <col min="3" max="3" width="35.6640625" style="57" customWidth="1"/>
    <col min="4" max="4" width="37.44140625" style="57" customWidth="1"/>
    <col min="5" max="5" width="30.6640625" style="57" customWidth="1"/>
    <col min="6" max="6" width="53.6640625" style="57" customWidth="1"/>
    <col min="7" max="7" width="35.33203125" style="57" customWidth="1"/>
    <col min="8" max="8" width="18.6640625" style="57" customWidth="1"/>
    <col min="9" max="9" width="14.33203125" style="57" customWidth="1"/>
    <col min="10" max="10" width="8.6640625" style="57"/>
    <col min="11" max="11" width="10.5546875" style="57" bestFit="1" customWidth="1"/>
    <col min="12" max="12" width="16.33203125" style="57" customWidth="1"/>
    <col min="13" max="13" width="10.6640625" style="57" bestFit="1" customWidth="1"/>
    <col min="14" max="14" width="10.5546875" style="57" bestFit="1" customWidth="1"/>
    <col min="15" max="16384" width="8.6640625" style="57"/>
  </cols>
  <sheetData>
    <row r="1" spans="1:8" ht="23.4" customHeight="1" x14ac:dyDescent="0.25">
      <c r="A1" s="910" t="str">
        <f>"Equipment - "&amp;Prototype!A2</f>
        <v>Equipment - RestaurantFastFood</v>
      </c>
      <c r="B1" s="911"/>
      <c r="C1" s="911"/>
      <c r="D1" s="911"/>
      <c r="E1" s="911"/>
      <c r="F1" s="911"/>
    </row>
    <row r="2" spans="1:8" ht="29.4" customHeight="1" x14ac:dyDescent="0.25">
      <c r="A2" s="215" t="s">
        <v>532</v>
      </c>
      <c r="B2" s="215" t="s">
        <v>579</v>
      </c>
      <c r="C2" s="331" t="s">
        <v>580</v>
      </c>
      <c r="D2" s="215" t="s">
        <v>581</v>
      </c>
      <c r="E2" s="215" t="s">
        <v>582</v>
      </c>
      <c r="F2" s="215" t="s">
        <v>288</v>
      </c>
      <c r="G2" s="59"/>
    </row>
    <row r="3" spans="1:8" ht="41.25" customHeight="1" x14ac:dyDescent="0.25">
      <c r="A3" s="741" t="str">
        <f>Zones!C3</f>
        <v>Dining Area (Cafeteria/Fast Food)</v>
      </c>
      <c r="B3" s="330">
        <v>0.5</v>
      </c>
      <c r="C3" s="328"/>
      <c r="D3" s="59">
        <v>0.25</v>
      </c>
      <c r="E3" s="742"/>
      <c r="F3" s="329" t="s">
        <v>583</v>
      </c>
      <c r="G3" s="60"/>
    </row>
    <row r="4" spans="1:8" ht="81" customHeight="1" x14ac:dyDescent="0.25">
      <c r="A4" s="741" t="str">
        <f>Zones!C4</f>
        <v>Kitchen/Food Preparation Area</v>
      </c>
      <c r="B4" s="742">
        <v>1.5</v>
      </c>
      <c r="C4" s="379">
        <v>590</v>
      </c>
      <c r="D4" s="742">
        <v>1.1200000000000001</v>
      </c>
      <c r="E4" s="742">
        <f>17.54*2500/1250</f>
        <v>35.08</v>
      </c>
      <c r="F4" s="364" t="s">
        <v>584</v>
      </c>
      <c r="G4" s="60"/>
      <c r="H4" s="102"/>
    </row>
    <row r="5" spans="1:8" ht="30.75" customHeight="1" x14ac:dyDescent="0.25">
      <c r="A5" s="741" t="str">
        <f>Zones!C5</f>
        <v>Attic</v>
      </c>
      <c r="B5" s="741"/>
      <c r="C5" s="741"/>
      <c r="D5" s="741"/>
      <c r="E5" s="741"/>
      <c r="F5" s="741"/>
      <c r="G5" s="60"/>
      <c r="H5" s="102"/>
    </row>
    <row r="6" spans="1:8" ht="18" customHeight="1" x14ac:dyDescent="0.25">
      <c r="A6" s="306" t="s">
        <v>585</v>
      </c>
      <c r="B6" s="380"/>
      <c r="C6" s="306"/>
      <c r="D6" s="59"/>
      <c r="F6" s="59"/>
      <c r="G6" s="60"/>
      <c r="H6" s="69"/>
    </row>
    <row r="7" spans="1:8" x14ac:dyDescent="0.25">
      <c r="A7" s="332" t="s">
        <v>586</v>
      </c>
      <c r="B7" s="141"/>
      <c r="C7" s="141"/>
    </row>
    <row r="8" spans="1:8" x14ac:dyDescent="0.25">
      <c r="A8" s="57" t="s">
        <v>587</v>
      </c>
    </row>
    <row r="9" spans="1:8" x14ac:dyDescent="0.25">
      <c r="A9" s="58"/>
    </row>
    <row r="10" spans="1:8" x14ac:dyDescent="0.25">
      <c r="A10" s="58"/>
    </row>
    <row r="11" spans="1:8" x14ac:dyDescent="0.25">
      <c r="A11" s="58"/>
    </row>
    <row r="12" spans="1:8" x14ac:dyDescent="0.25">
      <c r="A12" s="58"/>
    </row>
  </sheetData>
  <mergeCells count="1">
    <mergeCell ref="A1:F1"/>
  </mergeCells>
  <phoneticPr fontId="6"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D48C-EFB6-440B-BE4F-FD4465FADBA0}">
  <sheetPr codeName="Sheet20"/>
  <dimension ref="A1:Y134"/>
  <sheetViews>
    <sheetView zoomScale="70" zoomScaleNormal="70" workbookViewId="0">
      <selection sqref="A1:H1"/>
    </sheetView>
  </sheetViews>
  <sheetFormatPr defaultColWidth="8.6640625" defaultRowHeight="13.2" x14ac:dyDescent="0.25"/>
  <cols>
    <col min="1" max="2" width="8.6640625" style="57"/>
    <col min="3" max="5" width="13.109375" style="57" customWidth="1"/>
    <col min="6" max="8" width="19.33203125" style="57" customWidth="1"/>
    <col min="9" max="12" width="13.109375" style="57" customWidth="1"/>
    <col min="13" max="13" width="8.6640625" style="57"/>
    <col min="14" max="14" width="13.6640625" style="57" customWidth="1"/>
    <col min="15" max="15" width="7" style="57" customWidth="1"/>
    <col min="16" max="18" width="17.6640625" style="57" customWidth="1"/>
    <col min="19" max="19" width="14.5546875" style="57" customWidth="1"/>
    <col min="20" max="23" width="14.6640625" style="57" customWidth="1"/>
    <col min="24" max="26" width="13.6640625" style="57" customWidth="1"/>
    <col min="27" max="27" width="10.6640625" style="57" customWidth="1"/>
    <col min="28" max="29" width="8.6640625" style="57"/>
    <col min="30" max="30" width="13.6640625" style="57" customWidth="1"/>
    <col min="31" max="33" width="8.6640625" style="57"/>
    <col min="34" max="34" width="12.44140625" style="57" customWidth="1"/>
    <col min="35" max="16384" width="8.6640625" style="57"/>
  </cols>
  <sheetData>
    <row r="1" spans="1:23" ht="27" customHeight="1" x14ac:dyDescent="0.25">
      <c r="A1" s="918" t="str">
        <f>"CalBEM Energy Consumption - "&amp;Prototype!A2</f>
        <v>CalBEM Energy Consumption - RestaurantFastFood</v>
      </c>
      <c r="B1" s="919"/>
      <c r="C1" s="919"/>
      <c r="D1" s="919"/>
      <c r="E1" s="919"/>
      <c r="F1" s="919"/>
      <c r="G1" s="919"/>
      <c r="H1" s="919"/>
      <c r="I1" s="920" t="s">
        <v>588</v>
      </c>
      <c r="J1" s="920"/>
      <c r="K1" s="920"/>
      <c r="L1" s="920"/>
      <c r="N1" s="917" t="s">
        <v>589</v>
      </c>
      <c r="O1" s="798"/>
      <c r="P1" s="798"/>
      <c r="Q1" s="798"/>
      <c r="R1" s="798"/>
      <c r="S1" s="798"/>
      <c r="T1" s="798"/>
      <c r="U1" s="798"/>
      <c r="V1" s="798"/>
      <c r="W1" s="343"/>
    </row>
    <row r="2" spans="1:23" ht="39.6" customHeight="1" x14ac:dyDescent="0.25">
      <c r="A2" s="523" t="s">
        <v>7</v>
      </c>
      <c r="B2" s="524" t="s">
        <v>590</v>
      </c>
      <c r="C2" s="525" t="s">
        <v>591</v>
      </c>
      <c r="D2" s="526" t="s">
        <v>592</v>
      </c>
      <c r="E2" s="527" t="s">
        <v>593</v>
      </c>
      <c r="F2" s="525" t="s">
        <v>594</v>
      </c>
      <c r="G2" s="528" t="s">
        <v>595</v>
      </c>
      <c r="H2" s="529" t="s">
        <v>596</v>
      </c>
      <c r="I2" s="530" t="s">
        <v>597</v>
      </c>
      <c r="J2" s="531" t="s">
        <v>598</v>
      </c>
      <c r="K2" s="531" t="s">
        <v>599</v>
      </c>
      <c r="L2" s="532" t="s">
        <v>600</v>
      </c>
      <c r="N2" s="87" t="s">
        <v>7</v>
      </c>
      <c r="O2" s="92" t="s">
        <v>590</v>
      </c>
      <c r="P2" s="543" t="s">
        <v>601</v>
      </c>
      <c r="Q2" s="543" t="s">
        <v>602</v>
      </c>
      <c r="R2" s="543" t="s">
        <v>603</v>
      </c>
      <c r="S2" s="543" t="s">
        <v>604</v>
      </c>
      <c r="T2" s="543" t="s">
        <v>598</v>
      </c>
      <c r="U2" s="543" t="s">
        <v>599</v>
      </c>
      <c r="V2" s="543" t="s">
        <v>605</v>
      </c>
      <c r="W2" s="546"/>
    </row>
    <row r="3" spans="1:23" ht="19.2" customHeight="1" x14ac:dyDescent="0.3">
      <c r="A3" s="915" t="s">
        <v>606</v>
      </c>
      <c r="B3" s="533">
        <v>1</v>
      </c>
      <c r="C3" s="550"/>
      <c r="D3" s="551"/>
      <c r="E3" s="552"/>
      <c r="F3" s="24"/>
      <c r="G3" s="24"/>
      <c r="H3" s="547"/>
      <c r="I3" s="534">
        <v>442.6</v>
      </c>
      <c r="J3" s="535">
        <f>I3*1.25</f>
        <v>553.25</v>
      </c>
      <c r="K3" s="113">
        <f>0.75*I3</f>
        <v>331.95000000000005</v>
      </c>
      <c r="L3" s="536">
        <f>J3-K3</f>
        <v>221.29999999999995</v>
      </c>
      <c r="N3" s="912" t="s">
        <v>217</v>
      </c>
      <c r="O3" s="86">
        <v>1</v>
      </c>
      <c r="P3" s="266">
        <v>2670.2480256623271</v>
      </c>
      <c r="Q3" s="544">
        <v>140.21338150362919</v>
      </c>
      <c r="R3" s="544">
        <v>188.39676346573083</v>
      </c>
      <c r="S3" s="545">
        <f>Q3+R3</f>
        <v>328.61014496936002</v>
      </c>
      <c r="T3" s="545">
        <f>S3*1.25</f>
        <v>410.76268121170006</v>
      </c>
      <c r="U3" s="545">
        <f>S3*0.75</f>
        <v>246.45760872702002</v>
      </c>
      <c r="V3" s="545">
        <f>T3-U3</f>
        <v>164.30507248468004</v>
      </c>
      <c r="W3" s="542"/>
    </row>
    <row r="4" spans="1:23" ht="19.2" customHeight="1" x14ac:dyDescent="0.3">
      <c r="A4" s="915"/>
      <c r="B4" s="533">
        <v>2</v>
      </c>
      <c r="C4" s="550"/>
      <c r="D4" s="551"/>
      <c r="E4" s="552"/>
      <c r="F4" s="24"/>
      <c r="G4" s="24"/>
      <c r="H4" s="547"/>
      <c r="I4" s="534">
        <v>442.6</v>
      </c>
      <c r="J4" s="535">
        <f t="shared" ref="J4:J18" si="0">I4*1.25</f>
        <v>553.25</v>
      </c>
      <c r="K4" s="113">
        <f t="shared" ref="K4:K18" si="1">0.75*I4</f>
        <v>331.95000000000005</v>
      </c>
      <c r="L4" s="536">
        <f t="shared" ref="L4:L18" si="2">J4-K4</f>
        <v>221.29999999999995</v>
      </c>
      <c r="N4" s="913"/>
      <c r="O4" s="86">
        <v>2</v>
      </c>
      <c r="P4" s="266">
        <v>4962.8202372006817</v>
      </c>
      <c r="Q4" s="544">
        <v>115.43441558226802</v>
      </c>
      <c r="R4" s="544">
        <v>178.59593571391775</v>
      </c>
      <c r="S4" s="545">
        <f t="shared" ref="S4:S18" si="3">Q4+R4</f>
        <v>294.03035129618576</v>
      </c>
      <c r="T4" s="545">
        <f t="shared" ref="T4:T18" si="4">S4*1.25</f>
        <v>367.53793912023218</v>
      </c>
      <c r="U4" s="545">
        <f t="shared" ref="U4:U18" si="5">S4*0.75</f>
        <v>220.52276347213933</v>
      </c>
      <c r="V4" s="545">
        <f t="shared" ref="V4:V18" si="6">T4-U4</f>
        <v>147.01517564809285</v>
      </c>
      <c r="W4" s="542"/>
    </row>
    <row r="5" spans="1:23" ht="19.2" customHeight="1" x14ac:dyDescent="0.3">
      <c r="A5" s="915"/>
      <c r="B5" s="533">
        <v>3</v>
      </c>
      <c r="C5" s="550"/>
      <c r="D5" s="551"/>
      <c r="E5" s="552"/>
      <c r="F5" s="24"/>
      <c r="G5" s="24"/>
      <c r="H5" s="547"/>
      <c r="I5" s="534">
        <v>442.6</v>
      </c>
      <c r="J5" s="535">
        <f t="shared" si="0"/>
        <v>553.25</v>
      </c>
      <c r="K5" s="113">
        <f t="shared" si="1"/>
        <v>331.95000000000005</v>
      </c>
      <c r="L5" s="536">
        <f t="shared" si="2"/>
        <v>221.29999999999995</v>
      </c>
      <c r="N5" s="913"/>
      <c r="O5" s="86">
        <v>3</v>
      </c>
      <c r="P5" s="266">
        <v>23016.188800795153</v>
      </c>
      <c r="Q5" s="544">
        <v>121.68254521688108</v>
      </c>
      <c r="R5" s="544">
        <v>177.66531929741396</v>
      </c>
      <c r="S5" s="545">
        <f t="shared" si="3"/>
        <v>299.34786451429505</v>
      </c>
      <c r="T5" s="545">
        <f t="shared" si="4"/>
        <v>374.1848306428688</v>
      </c>
      <c r="U5" s="545">
        <f t="shared" si="5"/>
        <v>224.5108983857213</v>
      </c>
      <c r="V5" s="545">
        <f t="shared" si="6"/>
        <v>149.6739322571475</v>
      </c>
      <c r="W5" s="542"/>
    </row>
    <row r="6" spans="1:23" ht="19.2" customHeight="1" x14ac:dyDescent="0.3">
      <c r="A6" s="915"/>
      <c r="B6" s="533">
        <v>4</v>
      </c>
      <c r="C6" s="550"/>
      <c r="D6" s="551"/>
      <c r="E6" s="552"/>
      <c r="F6" s="24"/>
      <c r="G6" s="24"/>
      <c r="H6" s="547"/>
      <c r="I6" s="534">
        <v>442.6</v>
      </c>
      <c r="J6" s="535">
        <f t="shared" si="0"/>
        <v>553.25</v>
      </c>
      <c r="K6" s="113">
        <f t="shared" si="1"/>
        <v>331.95000000000005</v>
      </c>
      <c r="L6" s="536">
        <f t="shared" si="2"/>
        <v>221.29999999999995</v>
      </c>
      <c r="N6" s="913"/>
      <c r="O6" s="86">
        <v>4</v>
      </c>
      <c r="P6" s="266">
        <v>11906.950094339501</v>
      </c>
      <c r="Q6" s="544">
        <v>121.67946974211769</v>
      </c>
      <c r="R6" s="544">
        <v>177.22979612539538</v>
      </c>
      <c r="S6" s="545">
        <f t="shared" si="3"/>
        <v>298.90926586751306</v>
      </c>
      <c r="T6" s="545">
        <f t="shared" si="4"/>
        <v>373.63658233439133</v>
      </c>
      <c r="U6" s="545">
        <f t="shared" si="5"/>
        <v>224.18194940063478</v>
      </c>
      <c r="V6" s="545">
        <f t="shared" si="6"/>
        <v>149.45463293375656</v>
      </c>
      <c r="W6" s="542"/>
    </row>
    <row r="7" spans="1:23" ht="19.2" customHeight="1" x14ac:dyDescent="0.3">
      <c r="A7" s="915"/>
      <c r="B7" s="533">
        <v>5</v>
      </c>
      <c r="C7" s="550"/>
      <c r="D7" s="551"/>
      <c r="E7" s="552"/>
      <c r="F7" s="24"/>
      <c r="G7" s="24"/>
      <c r="H7" s="547"/>
      <c r="I7" s="534">
        <v>442.6</v>
      </c>
      <c r="J7" s="535">
        <f t="shared" si="0"/>
        <v>553.25</v>
      </c>
      <c r="K7" s="113">
        <f t="shared" si="1"/>
        <v>331.95000000000005</v>
      </c>
      <c r="L7" s="536">
        <f t="shared" si="2"/>
        <v>221.29999999999995</v>
      </c>
      <c r="N7" s="913"/>
      <c r="O7" s="86">
        <v>5</v>
      </c>
      <c r="P7" s="266">
        <v>2232.1751752228543</v>
      </c>
      <c r="Q7" s="544">
        <v>116.89706808804395</v>
      </c>
      <c r="R7" s="544">
        <v>182.67997772737826</v>
      </c>
      <c r="S7" s="545">
        <f t="shared" si="3"/>
        <v>299.5770458154222</v>
      </c>
      <c r="T7" s="545">
        <f t="shared" si="4"/>
        <v>374.47130726927776</v>
      </c>
      <c r="U7" s="545">
        <f t="shared" si="5"/>
        <v>224.68278436156663</v>
      </c>
      <c r="V7" s="545">
        <f t="shared" si="6"/>
        <v>149.78852290771113</v>
      </c>
      <c r="W7" s="542"/>
    </row>
    <row r="8" spans="1:23" ht="19.2" customHeight="1" x14ac:dyDescent="0.3">
      <c r="A8" s="915"/>
      <c r="B8" s="533">
        <v>6</v>
      </c>
      <c r="C8" s="550"/>
      <c r="D8" s="551"/>
      <c r="E8" s="552"/>
      <c r="F8" s="24"/>
      <c r="G8" s="24"/>
      <c r="H8" s="547"/>
      <c r="I8" s="534">
        <v>442.6</v>
      </c>
      <c r="J8" s="535">
        <f t="shared" si="0"/>
        <v>553.25</v>
      </c>
      <c r="K8" s="113">
        <f t="shared" si="1"/>
        <v>331.95000000000005</v>
      </c>
      <c r="L8" s="536">
        <f t="shared" si="2"/>
        <v>221.29999999999995</v>
      </c>
      <c r="N8" s="913"/>
      <c r="O8" s="86">
        <v>6</v>
      </c>
      <c r="P8" s="266">
        <v>19264.557709840425</v>
      </c>
      <c r="Q8" s="544">
        <v>114.30760646839242</v>
      </c>
      <c r="R8" s="544">
        <v>210.8626210635226</v>
      </c>
      <c r="S8" s="545">
        <f t="shared" si="3"/>
        <v>325.17022753191503</v>
      </c>
      <c r="T8" s="545">
        <f t="shared" si="4"/>
        <v>406.4627844148938</v>
      </c>
      <c r="U8" s="545">
        <f t="shared" si="5"/>
        <v>243.87767064893626</v>
      </c>
      <c r="V8" s="545">
        <f t="shared" si="6"/>
        <v>162.58511376595754</v>
      </c>
      <c r="W8" s="542"/>
    </row>
    <row r="9" spans="1:23" ht="19.2" customHeight="1" x14ac:dyDescent="0.3">
      <c r="A9" s="915"/>
      <c r="B9" s="533">
        <v>7</v>
      </c>
      <c r="C9" s="550"/>
      <c r="D9" s="551"/>
      <c r="E9" s="552"/>
      <c r="F9" s="24"/>
      <c r="G9" s="24"/>
      <c r="H9" s="547"/>
      <c r="I9" s="534">
        <v>442.6</v>
      </c>
      <c r="J9" s="535">
        <f t="shared" si="0"/>
        <v>553.25</v>
      </c>
      <c r="K9" s="113">
        <f t="shared" si="1"/>
        <v>331.95000000000005</v>
      </c>
      <c r="L9" s="536">
        <f t="shared" si="2"/>
        <v>221.29999999999995</v>
      </c>
      <c r="N9" s="913"/>
      <c r="O9" s="86">
        <v>7</v>
      </c>
      <c r="P9" s="266">
        <v>11474.843705067249</v>
      </c>
      <c r="Q9" s="544">
        <v>139.92699069303819</v>
      </c>
      <c r="R9" s="544">
        <v>228.2706023973343</v>
      </c>
      <c r="S9" s="545">
        <f t="shared" si="3"/>
        <v>368.19759309037249</v>
      </c>
      <c r="T9" s="545">
        <f t="shared" si="4"/>
        <v>460.24699136296562</v>
      </c>
      <c r="U9" s="545">
        <f t="shared" si="5"/>
        <v>276.14819481777937</v>
      </c>
      <c r="V9" s="545">
        <f t="shared" si="6"/>
        <v>184.09879654518625</v>
      </c>
      <c r="W9" s="542"/>
    </row>
    <row r="10" spans="1:23" ht="19.2" customHeight="1" x14ac:dyDescent="0.3">
      <c r="A10" s="915"/>
      <c r="B10" s="533">
        <v>8</v>
      </c>
      <c r="C10" s="550"/>
      <c r="D10" s="551"/>
      <c r="E10" s="552"/>
      <c r="F10" s="24"/>
      <c r="G10" s="24"/>
      <c r="H10" s="547"/>
      <c r="I10" s="534">
        <v>442.6</v>
      </c>
      <c r="J10" s="535">
        <f t="shared" si="0"/>
        <v>553.25</v>
      </c>
      <c r="K10" s="113">
        <f t="shared" si="1"/>
        <v>331.95000000000005</v>
      </c>
      <c r="L10" s="536">
        <f t="shared" si="2"/>
        <v>221.29999999999995</v>
      </c>
      <c r="N10" s="913"/>
      <c r="O10" s="86">
        <v>8</v>
      </c>
      <c r="P10" s="266">
        <v>29165.646847720276</v>
      </c>
      <c r="Q10" s="544">
        <v>124.09734330449336</v>
      </c>
      <c r="R10" s="544">
        <v>226.01400300671699</v>
      </c>
      <c r="S10" s="545">
        <f t="shared" si="3"/>
        <v>350.11134631121035</v>
      </c>
      <c r="T10" s="545">
        <f t="shared" si="4"/>
        <v>437.63918288901294</v>
      </c>
      <c r="U10" s="545">
        <f t="shared" si="5"/>
        <v>262.58350973340777</v>
      </c>
      <c r="V10" s="545">
        <f t="shared" si="6"/>
        <v>175.05567315560518</v>
      </c>
      <c r="W10" s="542"/>
    </row>
    <row r="11" spans="1:23" ht="19.2" customHeight="1" x14ac:dyDescent="0.3">
      <c r="A11" s="915"/>
      <c r="B11" s="533">
        <v>9</v>
      </c>
      <c r="C11" s="550"/>
      <c r="D11" s="551"/>
      <c r="E11" s="552"/>
      <c r="F11" s="24"/>
      <c r="G11" s="24"/>
      <c r="H11" s="547"/>
      <c r="I11" s="534">
        <v>442.6</v>
      </c>
      <c r="J11" s="535">
        <f t="shared" si="0"/>
        <v>553.25</v>
      </c>
      <c r="K11" s="113">
        <f t="shared" si="1"/>
        <v>331.95000000000005</v>
      </c>
      <c r="L11" s="536">
        <f t="shared" si="2"/>
        <v>221.29999999999995</v>
      </c>
      <c r="N11" s="913"/>
      <c r="O11" s="86">
        <v>9</v>
      </c>
      <c r="P11" s="266">
        <v>44906.607163572553</v>
      </c>
      <c r="Q11" s="544">
        <v>111.94888584545326</v>
      </c>
      <c r="R11" s="544">
        <v>217.895288890361</v>
      </c>
      <c r="S11" s="545">
        <f t="shared" si="3"/>
        <v>329.84417473581425</v>
      </c>
      <c r="T11" s="545">
        <f t="shared" si="4"/>
        <v>412.30521841976781</v>
      </c>
      <c r="U11" s="545">
        <f t="shared" si="5"/>
        <v>247.38313105186069</v>
      </c>
      <c r="V11" s="545">
        <f t="shared" si="6"/>
        <v>164.92208736790712</v>
      </c>
      <c r="W11" s="542"/>
    </row>
    <row r="12" spans="1:23" ht="19.2" customHeight="1" x14ac:dyDescent="0.3">
      <c r="A12" s="915"/>
      <c r="B12" s="533">
        <v>10</v>
      </c>
      <c r="C12" s="550"/>
      <c r="D12" s="551"/>
      <c r="E12" s="552"/>
      <c r="F12" s="24"/>
      <c r="G12" s="24"/>
      <c r="H12" s="547"/>
      <c r="I12" s="534">
        <v>442.6</v>
      </c>
      <c r="J12" s="535">
        <f t="shared" si="0"/>
        <v>553.25</v>
      </c>
      <c r="K12" s="113">
        <f t="shared" si="1"/>
        <v>331.95000000000005</v>
      </c>
      <c r="L12" s="536">
        <f t="shared" si="2"/>
        <v>221.29999999999995</v>
      </c>
      <c r="N12" s="913"/>
      <c r="O12" s="86">
        <v>10</v>
      </c>
      <c r="P12" s="266">
        <v>24025.703324145445</v>
      </c>
      <c r="Q12" s="544">
        <v>129.08381432015861</v>
      </c>
      <c r="R12" s="544">
        <v>231.92373420740969</v>
      </c>
      <c r="S12" s="545">
        <f t="shared" si="3"/>
        <v>361.0075485275683</v>
      </c>
      <c r="T12" s="545">
        <f t="shared" si="4"/>
        <v>451.25943565946039</v>
      </c>
      <c r="U12" s="545">
        <f t="shared" si="5"/>
        <v>270.75566139567621</v>
      </c>
      <c r="V12" s="545">
        <f t="shared" si="6"/>
        <v>180.50377426378418</v>
      </c>
      <c r="W12" s="542"/>
    </row>
    <row r="13" spans="1:23" ht="19.2" customHeight="1" x14ac:dyDescent="0.3">
      <c r="A13" s="915"/>
      <c r="B13" s="533">
        <v>11</v>
      </c>
      <c r="C13" s="550"/>
      <c r="D13" s="551"/>
      <c r="E13" s="552"/>
      <c r="F13" s="24"/>
      <c r="G13" s="24"/>
      <c r="H13" s="547"/>
      <c r="I13" s="534">
        <v>442.6</v>
      </c>
      <c r="J13" s="535">
        <f t="shared" si="0"/>
        <v>553.25</v>
      </c>
      <c r="K13" s="113">
        <f t="shared" si="1"/>
        <v>331.95000000000005</v>
      </c>
      <c r="L13" s="536">
        <f t="shared" si="2"/>
        <v>221.29999999999995</v>
      </c>
      <c r="N13" s="913"/>
      <c r="O13" s="86">
        <v>11</v>
      </c>
      <c r="P13" s="266">
        <v>8514.5666141905203</v>
      </c>
      <c r="Q13" s="544">
        <v>141.13316598515738</v>
      </c>
      <c r="R13" s="544">
        <v>172.39687990856154</v>
      </c>
      <c r="S13" s="545">
        <f t="shared" si="3"/>
        <v>313.53004589371892</v>
      </c>
      <c r="T13" s="545">
        <f t="shared" si="4"/>
        <v>391.91255736714868</v>
      </c>
      <c r="U13" s="545">
        <f t="shared" si="5"/>
        <v>235.14753442028919</v>
      </c>
      <c r="V13" s="545">
        <f t="shared" si="6"/>
        <v>156.76502294685949</v>
      </c>
      <c r="W13" s="542"/>
    </row>
    <row r="14" spans="1:23" ht="19.2" customHeight="1" x14ac:dyDescent="0.3">
      <c r="A14" s="915"/>
      <c r="B14" s="533">
        <v>12</v>
      </c>
      <c r="C14" s="550"/>
      <c r="D14" s="551"/>
      <c r="E14" s="552"/>
      <c r="F14" s="24"/>
      <c r="G14" s="24"/>
      <c r="H14" s="547"/>
      <c r="I14" s="534">
        <v>442.6</v>
      </c>
      <c r="J14" s="535">
        <f t="shared" si="0"/>
        <v>553.25</v>
      </c>
      <c r="K14" s="113">
        <f t="shared" si="1"/>
        <v>331.95000000000005</v>
      </c>
      <c r="L14" s="536">
        <f t="shared" si="2"/>
        <v>221.29999999999995</v>
      </c>
      <c r="N14" s="913"/>
      <c r="O14" s="86">
        <v>12</v>
      </c>
      <c r="P14" s="266">
        <v>37639.220350511998</v>
      </c>
      <c r="Q14" s="544">
        <v>145.52445498182462</v>
      </c>
      <c r="R14" s="544">
        <v>191.73773864813649</v>
      </c>
      <c r="S14" s="545">
        <f t="shared" si="3"/>
        <v>337.26219362996108</v>
      </c>
      <c r="T14" s="545">
        <f t="shared" si="4"/>
        <v>421.57774203745134</v>
      </c>
      <c r="U14" s="545">
        <f t="shared" si="5"/>
        <v>252.94664522247081</v>
      </c>
      <c r="V14" s="545">
        <f t="shared" si="6"/>
        <v>168.63109681498054</v>
      </c>
      <c r="W14" s="542"/>
    </row>
    <row r="15" spans="1:23" ht="19.2" customHeight="1" x14ac:dyDescent="0.3">
      <c r="A15" s="915"/>
      <c r="B15" s="533">
        <v>13</v>
      </c>
      <c r="C15" s="550"/>
      <c r="D15" s="551"/>
      <c r="E15" s="552"/>
      <c r="F15" s="24"/>
      <c r="G15" s="24"/>
      <c r="H15" s="547"/>
      <c r="I15" s="534">
        <v>442.6</v>
      </c>
      <c r="J15" s="535">
        <f t="shared" si="0"/>
        <v>553.25</v>
      </c>
      <c r="K15" s="113">
        <f t="shared" si="1"/>
        <v>331.95000000000005</v>
      </c>
      <c r="L15" s="536">
        <f t="shared" si="2"/>
        <v>221.29999999999995</v>
      </c>
      <c r="N15" s="913"/>
      <c r="O15" s="86">
        <v>13</v>
      </c>
      <c r="P15" s="266">
        <v>12120.121471824446</v>
      </c>
      <c r="Q15" s="544">
        <v>147.93231721130871</v>
      </c>
      <c r="R15" s="544">
        <v>194.1850066127044</v>
      </c>
      <c r="S15" s="545">
        <f t="shared" si="3"/>
        <v>342.11732382401311</v>
      </c>
      <c r="T15" s="545">
        <f t="shared" si="4"/>
        <v>427.64665478001638</v>
      </c>
      <c r="U15" s="545">
        <f t="shared" si="5"/>
        <v>256.58799286800985</v>
      </c>
      <c r="V15" s="545">
        <f t="shared" si="6"/>
        <v>171.05866191200653</v>
      </c>
      <c r="W15" s="542"/>
    </row>
    <row r="16" spans="1:23" ht="19.2" customHeight="1" x14ac:dyDescent="0.3">
      <c r="A16" s="915"/>
      <c r="B16" s="533">
        <v>14</v>
      </c>
      <c r="C16" s="550"/>
      <c r="D16" s="551"/>
      <c r="E16" s="552"/>
      <c r="F16" s="24"/>
      <c r="G16" s="24"/>
      <c r="H16" s="547"/>
      <c r="I16" s="534">
        <v>442.6</v>
      </c>
      <c r="J16" s="535">
        <f t="shared" si="0"/>
        <v>553.25</v>
      </c>
      <c r="K16" s="113">
        <f t="shared" si="1"/>
        <v>331.95000000000005</v>
      </c>
      <c r="L16" s="536">
        <f t="shared" si="2"/>
        <v>221.29999999999995</v>
      </c>
      <c r="N16" s="913"/>
      <c r="O16" s="86">
        <v>14</v>
      </c>
      <c r="P16" s="266">
        <v>6251.7396423401924</v>
      </c>
      <c r="Q16" s="544">
        <v>119.76581800490224</v>
      </c>
      <c r="R16" s="544">
        <v>215.32540861567716</v>
      </c>
      <c r="S16" s="545">
        <f t="shared" si="3"/>
        <v>335.09122662057939</v>
      </c>
      <c r="T16" s="545">
        <f t="shared" si="4"/>
        <v>418.86403327572424</v>
      </c>
      <c r="U16" s="545">
        <f t="shared" si="5"/>
        <v>251.31841996543454</v>
      </c>
      <c r="V16" s="545">
        <f t="shared" si="6"/>
        <v>167.5456133102897</v>
      </c>
      <c r="W16" s="542"/>
    </row>
    <row r="17" spans="1:23" ht="19.2" customHeight="1" x14ac:dyDescent="0.3">
      <c r="A17" s="915"/>
      <c r="B17" s="533">
        <v>15</v>
      </c>
      <c r="C17" s="550"/>
      <c r="D17" s="551"/>
      <c r="E17" s="552"/>
      <c r="F17" s="24"/>
      <c r="G17" s="24"/>
      <c r="H17" s="547"/>
      <c r="I17" s="534">
        <v>442.6</v>
      </c>
      <c r="J17" s="535">
        <f t="shared" si="0"/>
        <v>553.25</v>
      </c>
      <c r="K17" s="113">
        <f t="shared" si="1"/>
        <v>331.95000000000005</v>
      </c>
      <c r="L17" s="536">
        <f t="shared" si="2"/>
        <v>221.29999999999995</v>
      </c>
      <c r="N17" s="913"/>
      <c r="O17" s="86">
        <v>15</v>
      </c>
      <c r="P17" s="266">
        <v>12622.504869331902</v>
      </c>
      <c r="Q17" s="544">
        <v>139.19634494603389</v>
      </c>
      <c r="R17" s="544">
        <v>260.79219260027367</v>
      </c>
      <c r="S17" s="545">
        <f t="shared" si="3"/>
        <v>399.98853754630755</v>
      </c>
      <c r="T17" s="545">
        <f t="shared" si="4"/>
        <v>499.98567193288443</v>
      </c>
      <c r="U17" s="545">
        <f t="shared" si="5"/>
        <v>299.99140315973068</v>
      </c>
      <c r="V17" s="545">
        <f t="shared" si="6"/>
        <v>199.99426877315375</v>
      </c>
      <c r="W17" s="542"/>
    </row>
    <row r="18" spans="1:23" ht="19.2" customHeight="1" x14ac:dyDescent="0.3">
      <c r="A18" s="916"/>
      <c r="B18" s="537">
        <v>16</v>
      </c>
      <c r="C18" s="553"/>
      <c r="D18" s="554"/>
      <c r="E18" s="555"/>
      <c r="F18" s="548"/>
      <c r="G18" s="548"/>
      <c r="H18" s="549"/>
      <c r="I18" s="538">
        <v>442.6</v>
      </c>
      <c r="J18" s="539">
        <f t="shared" si="0"/>
        <v>553.25</v>
      </c>
      <c r="K18" s="540">
        <f t="shared" si="1"/>
        <v>331.95000000000005</v>
      </c>
      <c r="L18" s="541">
        <f t="shared" si="2"/>
        <v>221.29999999999995</v>
      </c>
      <c r="N18" s="914"/>
      <c r="O18" s="86">
        <v>16</v>
      </c>
      <c r="P18" s="266">
        <v>23693.285258809548</v>
      </c>
      <c r="Q18" s="544">
        <v>127.46411521096162</v>
      </c>
      <c r="R18" s="544">
        <v>198.83728167839649</v>
      </c>
      <c r="S18" s="545">
        <f t="shared" si="3"/>
        <v>326.3013968893581</v>
      </c>
      <c r="T18" s="545">
        <f t="shared" si="4"/>
        <v>407.87674611169763</v>
      </c>
      <c r="U18" s="545">
        <f t="shared" si="5"/>
        <v>244.72604766701858</v>
      </c>
      <c r="V18" s="545">
        <f t="shared" si="6"/>
        <v>163.15069844467905</v>
      </c>
      <c r="W18" s="542"/>
    </row>
    <row r="19" spans="1:23" x14ac:dyDescent="0.25">
      <c r="P19" s="119"/>
    </row>
    <row r="20" spans="1:23" x14ac:dyDescent="0.25">
      <c r="N20" s="57" t="s">
        <v>607</v>
      </c>
    </row>
    <row r="21" spans="1:23" x14ac:dyDescent="0.25">
      <c r="N21" s="57" t="s">
        <v>608</v>
      </c>
    </row>
    <row r="22" spans="1:23" ht="14.4" x14ac:dyDescent="0.3">
      <c r="I22"/>
      <c r="N22" s="57" t="s">
        <v>609</v>
      </c>
    </row>
    <row r="23" spans="1:23" ht="14.4" x14ac:dyDescent="0.3">
      <c r="B23"/>
    </row>
    <row r="50" spans="2:25" s="71" customFormat="1" hidden="1" x14ac:dyDescent="0.25">
      <c r="N50" s="71" t="s">
        <v>88</v>
      </c>
      <c r="R50" s="72"/>
      <c r="S50" s="72"/>
      <c r="T50" s="72"/>
      <c r="U50" s="72"/>
      <c r="V50" s="72"/>
      <c r="W50" s="72"/>
      <c r="X50" s="73"/>
      <c r="Y50" s="74"/>
    </row>
    <row r="51" spans="2:25" s="58" customFormat="1" hidden="1" x14ac:dyDescent="0.25">
      <c r="R51" s="261"/>
      <c r="S51" s="261"/>
      <c r="T51" s="261"/>
      <c r="U51" s="261"/>
      <c r="V51" s="261"/>
      <c r="W51" s="261"/>
      <c r="X51" s="262"/>
      <c r="Y51" s="263"/>
    </row>
    <row r="52" spans="2:25" s="58" customFormat="1" ht="14.4" hidden="1" x14ac:dyDescent="0.3">
      <c r="B52" s="58" t="s">
        <v>610</v>
      </c>
      <c r="N52" s="58" t="s">
        <v>611</v>
      </c>
      <c r="O52" s="184" t="s">
        <v>53</v>
      </c>
      <c r="P52" s="57"/>
      <c r="Q52" s="57"/>
      <c r="R52" s="261"/>
      <c r="S52" s="261"/>
      <c r="T52" s="261"/>
      <c r="U52" s="261"/>
      <c r="V52" s="261"/>
      <c r="W52" s="261"/>
      <c r="X52" s="262"/>
      <c r="Y52" s="263"/>
    </row>
    <row r="53" spans="2:25" ht="14.4" hidden="1" x14ac:dyDescent="0.3">
      <c r="B53" s="184" t="s">
        <v>612</v>
      </c>
    </row>
    <row r="54" spans="2:25" hidden="1" x14ac:dyDescent="0.25"/>
    <row r="55" spans="2:25" hidden="1" x14ac:dyDescent="0.25"/>
    <row r="56" spans="2:25" hidden="1" x14ac:dyDescent="0.25"/>
    <row r="57" spans="2:25" hidden="1" x14ac:dyDescent="0.25"/>
    <row r="58" spans="2:25" hidden="1" x14ac:dyDescent="0.25"/>
    <row r="59" spans="2:25" hidden="1" x14ac:dyDescent="0.25"/>
    <row r="60" spans="2:25" hidden="1" x14ac:dyDescent="0.25"/>
    <row r="61" spans="2:25" hidden="1" x14ac:dyDescent="0.25"/>
    <row r="62" spans="2:25" hidden="1" x14ac:dyDescent="0.25"/>
    <row r="63" spans="2:25" hidden="1" x14ac:dyDescent="0.25"/>
    <row r="64" spans="2:25" hidden="1" x14ac:dyDescent="0.25"/>
    <row r="65" hidden="1" x14ac:dyDescent="0.25"/>
    <row r="66" hidden="1" x14ac:dyDescent="0.25"/>
    <row r="67" hidden="1" x14ac:dyDescent="0.25"/>
    <row r="68" hidden="1" x14ac:dyDescent="0.25"/>
    <row r="69" hidden="1" x14ac:dyDescent="0.25"/>
    <row r="70" hidden="1" x14ac:dyDescent="0.25"/>
    <row r="71" hidden="1" x14ac:dyDescent="0.25"/>
    <row r="72" hidden="1" x14ac:dyDescent="0.25"/>
    <row r="73" hidden="1" x14ac:dyDescent="0.25"/>
    <row r="74" hidden="1" x14ac:dyDescent="0.25"/>
    <row r="75" hidden="1" x14ac:dyDescent="0.25"/>
    <row r="76" hidden="1" x14ac:dyDescent="0.25"/>
    <row r="77" hidden="1" x14ac:dyDescent="0.25"/>
    <row r="78" hidden="1" x14ac:dyDescent="0.25"/>
    <row r="79" hidden="1" x14ac:dyDescent="0.25"/>
    <row r="80" hidden="1" x14ac:dyDescent="0.25"/>
    <row r="81" hidden="1" x14ac:dyDescent="0.25"/>
    <row r="82" hidden="1" x14ac:dyDescent="0.25"/>
    <row r="83" hidden="1" x14ac:dyDescent="0.25"/>
    <row r="84" hidden="1" x14ac:dyDescent="0.25"/>
    <row r="85" hidden="1" x14ac:dyDescent="0.25"/>
    <row r="86" hidden="1" x14ac:dyDescent="0.25"/>
    <row r="87" hidden="1" x14ac:dyDescent="0.25"/>
    <row r="88" hidden="1" x14ac:dyDescent="0.25"/>
    <row r="89" hidden="1" x14ac:dyDescent="0.25"/>
    <row r="90" hidden="1" x14ac:dyDescent="0.25"/>
    <row r="91" hidden="1" x14ac:dyDescent="0.25"/>
    <row r="92" hidden="1" x14ac:dyDescent="0.25"/>
    <row r="93" hidden="1" x14ac:dyDescent="0.25"/>
    <row r="94" hidden="1" x14ac:dyDescent="0.25"/>
    <row r="95" hidden="1" x14ac:dyDescent="0.25"/>
    <row r="96"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sheetData>
  <mergeCells count="5">
    <mergeCell ref="N3:N18"/>
    <mergeCell ref="A3:A18"/>
    <mergeCell ref="N1:V1"/>
    <mergeCell ref="A1:H1"/>
    <mergeCell ref="I1:L1"/>
  </mergeCells>
  <hyperlinks>
    <hyperlink ref="O52" r:id="rId1" display="https://www.eia.gov/consumption/commercial/pba/food-service.php" xr:uid="{9069EF0D-67DD-43E6-B31B-C965F6A51904}"/>
    <hyperlink ref="B53" r:id="rId2" display="https://portfoliomanager.energystar.gov/pm/targetFinder?execution=e1s1" xr:uid="{6C4949DD-D55E-4C52-B59D-42B562697220}"/>
  </hyperlinks>
  <pageMargins left="0.7" right="0.7" top="0.75" bottom="0.75" header="0.3" footer="0.3"/>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AEBC7-570E-431D-A891-0E68E13886AA}">
  <sheetPr codeName="Sheet11"/>
  <dimension ref="A1:AZ10319"/>
  <sheetViews>
    <sheetView topLeftCell="A66" zoomScale="85" zoomScaleNormal="85" workbookViewId="0">
      <selection activeCell="G86" sqref="G86"/>
    </sheetView>
  </sheetViews>
  <sheetFormatPr defaultColWidth="9.33203125" defaultRowHeight="11.4" x14ac:dyDescent="0.3"/>
  <cols>
    <col min="1" max="1" width="17.109375" style="88" customWidth="1"/>
    <col min="2" max="2" width="17.88671875" style="88" customWidth="1"/>
    <col min="3" max="3" width="37.88671875" style="88" customWidth="1"/>
    <col min="4" max="4" width="26" style="88" customWidth="1"/>
    <col min="5" max="5" width="9.33203125" style="88"/>
    <col min="6" max="29" width="5.6640625" style="88" customWidth="1"/>
    <col min="30" max="16384" width="9.33203125" style="88"/>
  </cols>
  <sheetData>
    <row r="1" spans="1:39" ht="24" customHeight="1" x14ac:dyDescent="0.3">
      <c r="A1" s="849" t="str">
        <f>"Schedules - "&amp;Prototype!A2</f>
        <v>Schedules - RestaurantFastFood</v>
      </c>
      <c r="B1" s="849"/>
      <c r="C1" s="849"/>
      <c r="D1" s="849"/>
      <c r="E1" s="849"/>
      <c r="F1" s="849"/>
      <c r="G1" s="849"/>
      <c r="H1" s="849"/>
      <c r="I1" s="849"/>
      <c r="J1" s="849"/>
      <c r="K1" s="849"/>
      <c r="L1" s="849"/>
      <c r="M1" s="849"/>
      <c r="N1" s="849"/>
      <c r="O1" s="849"/>
      <c r="P1" s="849"/>
      <c r="Q1" s="849"/>
      <c r="R1" s="849"/>
      <c r="S1" s="849"/>
      <c r="T1" s="849"/>
      <c r="U1" s="849"/>
      <c r="V1" s="849"/>
      <c r="W1" s="849"/>
      <c r="X1" s="849"/>
      <c r="Y1" s="849"/>
      <c r="Z1" s="849"/>
      <c r="AA1" s="849"/>
      <c r="AB1" s="849"/>
      <c r="AC1" s="1047"/>
      <c r="AD1" s="89"/>
      <c r="AE1" s="89"/>
      <c r="AF1" s="89"/>
      <c r="AG1" s="89"/>
      <c r="AH1" s="89"/>
      <c r="AI1" s="90"/>
      <c r="AJ1" s="90"/>
      <c r="AK1" s="90"/>
    </row>
    <row r="2" spans="1:39" ht="24" customHeight="1" x14ac:dyDescent="0.3">
      <c r="A2" s="1045" t="s">
        <v>613</v>
      </c>
      <c r="B2" s="1045" t="s">
        <v>207</v>
      </c>
      <c r="C2" s="1045" t="s">
        <v>614</v>
      </c>
      <c r="D2" s="1045" t="s">
        <v>288</v>
      </c>
      <c r="E2" s="1045" t="s">
        <v>615</v>
      </c>
      <c r="F2" s="1050" t="s">
        <v>616</v>
      </c>
      <c r="G2" s="1050"/>
      <c r="H2" s="1050"/>
      <c r="I2" s="1050"/>
      <c r="J2" s="1050"/>
      <c r="K2" s="1050"/>
      <c r="L2" s="1050"/>
      <c r="M2" s="1050"/>
      <c r="N2" s="1050"/>
      <c r="O2" s="1050"/>
      <c r="P2" s="1050"/>
      <c r="Q2" s="1050"/>
      <c r="R2" s="1050"/>
      <c r="S2" s="1050"/>
      <c r="T2" s="1050"/>
      <c r="U2" s="1050"/>
      <c r="V2" s="1050"/>
      <c r="W2" s="1050"/>
      <c r="X2" s="1050"/>
      <c r="Y2" s="1050"/>
      <c r="Z2" s="1050"/>
      <c r="AA2" s="1050"/>
      <c r="AB2" s="1050"/>
      <c r="AC2" s="1050"/>
      <c r="AD2" s="89"/>
      <c r="AE2" s="89"/>
      <c r="AF2" s="89"/>
      <c r="AG2" s="89"/>
      <c r="AH2" s="89"/>
      <c r="AI2" s="90"/>
      <c r="AJ2" s="90"/>
      <c r="AK2" s="90"/>
    </row>
    <row r="3" spans="1:39" ht="25.2" customHeight="1" thickBot="1" x14ac:dyDescent="0.35">
      <c r="A3" s="1046"/>
      <c r="B3" s="1046"/>
      <c r="C3" s="1046"/>
      <c r="D3" s="1046"/>
      <c r="E3" s="1046"/>
      <c r="F3" s="769">
        <v>1</v>
      </c>
      <c r="G3" s="769">
        <v>2</v>
      </c>
      <c r="H3" s="769">
        <v>3</v>
      </c>
      <c r="I3" s="769">
        <v>4</v>
      </c>
      <c r="J3" s="769">
        <v>5</v>
      </c>
      <c r="K3" s="769">
        <v>6</v>
      </c>
      <c r="L3" s="769">
        <v>7</v>
      </c>
      <c r="M3" s="769">
        <v>8</v>
      </c>
      <c r="N3" s="769">
        <v>9</v>
      </c>
      <c r="O3" s="769">
        <v>10</v>
      </c>
      <c r="P3" s="769">
        <v>11</v>
      </c>
      <c r="Q3" s="769">
        <v>12</v>
      </c>
      <c r="R3" s="769">
        <v>13</v>
      </c>
      <c r="S3" s="769">
        <v>14</v>
      </c>
      <c r="T3" s="769">
        <v>15</v>
      </c>
      <c r="U3" s="769">
        <v>16</v>
      </c>
      <c r="V3" s="769">
        <v>17</v>
      </c>
      <c r="W3" s="769">
        <v>18</v>
      </c>
      <c r="X3" s="769">
        <v>19</v>
      </c>
      <c r="Y3" s="769">
        <v>20</v>
      </c>
      <c r="Z3" s="769">
        <v>21</v>
      </c>
      <c r="AA3" s="769">
        <v>22</v>
      </c>
      <c r="AB3" s="769">
        <v>23</v>
      </c>
      <c r="AC3" s="769">
        <v>24</v>
      </c>
      <c r="AD3" s="90"/>
      <c r="AE3" s="90"/>
      <c r="AF3" s="90"/>
      <c r="AG3" s="90"/>
      <c r="AH3" s="90"/>
      <c r="AI3" s="90"/>
      <c r="AJ3" s="90"/>
      <c r="AK3" s="90"/>
    </row>
    <row r="4" spans="1:39" ht="32.4" customHeight="1" thickBot="1" x14ac:dyDescent="0.35">
      <c r="A4" s="989" t="s">
        <v>107</v>
      </c>
      <c r="B4" s="936" t="s">
        <v>217</v>
      </c>
      <c r="C4" s="936" t="s">
        <v>617</v>
      </c>
      <c r="D4" s="983" t="s">
        <v>618</v>
      </c>
      <c r="E4" s="455" t="s">
        <v>619</v>
      </c>
      <c r="F4" s="334">
        <v>0.05</v>
      </c>
      <c r="G4" s="334">
        <v>0</v>
      </c>
      <c r="H4" s="334">
        <v>0</v>
      </c>
      <c r="I4" s="334">
        <v>0</v>
      </c>
      <c r="J4" s="334">
        <v>0</v>
      </c>
      <c r="K4" s="334">
        <v>0.05</v>
      </c>
      <c r="L4" s="334">
        <v>0.1</v>
      </c>
      <c r="M4" s="334">
        <v>0.4</v>
      </c>
      <c r="N4" s="334">
        <v>0.4</v>
      </c>
      <c r="O4" s="334">
        <v>0.4</v>
      </c>
      <c r="P4" s="334">
        <v>0.2</v>
      </c>
      <c r="Q4" s="334">
        <v>0.5</v>
      </c>
      <c r="R4" s="334">
        <v>0.8</v>
      </c>
      <c r="S4" s="334">
        <v>0.7</v>
      </c>
      <c r="T4" s="334">
        <v>0.4</v>
      </c>
      <c r="U4" s="334">
        <v>0.2</v>
      </c>
      <c r="V4" s="334">
        <v>0.25</v>
      </c>
      <c r="W4" s="334">
        <v>0.5</v>
      </c>
      <c r="X4" s="334">
        <v>0.8</v>
      </c>
      <c r="Y4" s="334">
        <v>0.8</v>
      </c>
      <c r="Z4" s="334">
        <v>0.8</v>
      </c>
      <c r="AA4" s="334">
        <v>0.5</v>
      </c>
      <c r="AB4" s="334">
        <v>0.35</v>
      </c>
      <c r="AC4" s="335">
        <v>0.2</v>
      </c>
      <c r="AD4" s="90"/>
      <c r="AE4" s="90"/>
      <c r="AF4" s="90"/>
      <c r="AG4" s="90"/>
      <c r="AH4" s="90"/>
      <c r="AI4" s="90"/>
      <c r="AJ4" s="90"/>
      <c r="AK4" s="90"/>
    </row>
    <row r="5" spans="1:39" ht="32.4" customHeight="1" thickBot="1" x14ac:dyDescent="0.35">
      <c r="A5" s="945"/>
      <c r="B5" s="924"/>
      <c r="C5" s="924"/>
      <c r="D5" s="980"/>
      <c r="E5" s="456" t="s">
        <v>620</v>
      </c>
      <c r="F5" s="144">
        <v>0.05</v>
      </c>
      <c r="G5" s="144">
        <v>0</v>
      </c>
      <c r="H5" s="144">
        <v>0</v>
      </c>
      <c r="I5" s="144">
        <v>0</v>
      </c>
      <c r="J5" s="144">
        <v>0</v>
      </c>
      <c r="K5" s="144">
        <v>0</v>
      </c>
      <c r="L5" s="144">
        <v>0.05</v>
      </c>
      <c r="M5" s="144">
        <v>0.5</v>
      </c>
      <c r="N5" s="144">
        <v>0.5</v>
      </c>
      <c r="O5" s="144">
        <v>0.4</v>
      </c>
      <c r="P5" s="144">
        <v>0.2</v>
      </c>
      <c r="Q5" s="144">
        <v>0.45</v>
      </c>
      <c r="R5" s="144">
        <v>0.5</v>
      </c>
      <c r="S5" s="144">
        <v>0.5</v>
      </c>
      <c r="T5" s="144">
        <v>0.35</v>
      </c>
      <c r="U5" s="144">
        <v>0.3</v>
      </c>
      <c r="V5" s="144">
        <v>0.3</v>
      </c>
      <c r="W5" s="144">
        <v>0.3</v>
      </c>
      <c r="X5" s="144">
        <v>0.7</v>
      </c>
      <c r="Y5" s="144">
        <v>0.9</v>
      </c>
      <c r="Z5" s="144">
        <v>0.7</v>
      </c>
      <c r="AA5" s="144">
        <v>0.65</v>
      </c>
      <c r="AB5" s="144">
        <v>0.55000000000000004</v>
      </c>
      <c r="AC5" s="337">
        <v>0.35</v>
      </c>
      <c r="AD5" s="90"/>
      <c r="AE5" s="90"/>
      <c r="AF5" s="90"/>
      <c r="AG5" s="90"/>
      <c r="AH5" s="90"/>
      <c r="AI5" s="90"/>
      <c r="AJ5" s="90"/>
      <c r="AK5" s="90"/>
    </row>
    <row r="6" spans="1:39" ht="32.4" customHeight="1" thickBot="1" x14ac:dyDescent="0.35">
      <c r="A6" s="990"/>
      <c r="B6" s="981"/>
      <c r="C6" s="981"/>
      <c r="D6" s="984"/>
      <c r="E6" s="457" t="s">
        <v>621</v>
      </c>
      <c r="F6" s="339">
        <v>0.05</v>
      </c>
      <c r="G6" s="339">
        <v>0</v>
      </c>
      <c r="H6" s="339">
        <v>0</v>
      </c>
      <c r="I6" s="339">
        <v>0</v>
      </c>
      <c r="J6" s="339">
        <v>0</v>
      </c>
      <c r="K6" s="339">
        <v>0</v>
      </c>
      <c r="L6" s="339">
        <v>0.05</v>
      </c>
      <c r="M6" s="339">
        <v>0.5</v>
      </c>
      <c r="N6" s="339">
        <v>0.5</v>
      </c>
      <c r="O6" s="339">
        <v>0.2</v>
      </c>
      <c r="P6" s="339">
        <v>0.2</v>
      </c>
      <c r="Q6" s="339">
        <v>0.3</v>
      </c>
      <c r="R6" s="339">
        <v>0.5</v>
      </c>
      <c r="S6" s="339">
        <v>0.5</v>
      </c>
      <c r="T6" s="339">
        <v>0.3</v>
      </c>
      <c r="U6" s="339">
        <v>0.2</v>
      </c>
      <c r="V6" s="339">
        <v>0.25</v>
      </c>
      <c r="W6" s="339">
        <v>0.35</v>
      </c>
      <c r="X6" s="339">
        <v>0.55000000000000004</v>
      </c>
      <c r="Y6" s="339">
        <v>0.65</v>
      </c>
      <c r="Z6" s="339">
        <v>0.7</v>
      </c>
      <c r="AA6" s="339">
        <v>0.35</v>
      </c>
      <c r="AB6" s="339">
        <v>0.2</v>
      </c>
      <c r="AC6" s="340">
        <v>0.2</v>
      </c>
      <c r="AD6" s="90"/>
      <c r="AE6" s="90"/>
      <c r="AF6" s="90"/>
      <c r="AG6" s="90"/>
      <c r="AH6" s="90"/>
      <c r="AI6" s="90"/>
      <c r="AJ6" s="90"/>
      <c r="AK6" s="90"/>
    </row>
    <row r="7" spans="1:39" ht="37.950000000000003" customHeight="1" thickBot="1" x14ac:dyDescent="0.35">
      <c r="A7" s="1051" t="str">
        <f>A4</f>
        <v>Dining</v>
      </c>
      <c r="B7" s="985" t="s">
        <v>217</v>
      </c>
      <c r="C7" s="985" t="s">
        <v>622</v>
      </c>
      <c r="D7" s="1019" t="s">
        <v>623</v>
      </c>
      <c r="E7" s="150" t="s">
        <v>619</v>
      </c>
      <c r="F7" s="151">
        <v>0.15</v>
      </c>
      <c r="G7" s="151">
        <v>0.15</v>
      </c>
      <c r="H7" s="151">
        <v>0.15</v>
      </c>
      <c r="I7" s="151">
        <v>0.15</v>
      </c>
      <c r="J7" s="151">
        <v>0.15</v>
      </c>
      <c r="K7" s="151">
        <v>0.2</v>
      </c>
      <c r="L7" s="352">
        <v>0.3</v>
      </c>
      <c r="M7" s="352">
        <f t="shared" ref="M7:AA7" si="0">M10-5%</f>
        <v>0.66999999999999993</v>
      </c>
      <c r="N7" s="352">
        <f t="shared" si="0"/>
        <v>0.73</v>
      </c>
      <c r="O7" s="352">
        <f t="shared" si="0"/>
        <v>0.75</v>
      </c>
      <c r="P7" s="352">
        <f t="shared" si="0"/>
        <v>0.85</v>
      </c>
      <c r="Q7" s="352">
        <f t="shared" si="0"/>
        <v>0.85</v>
      </c>
      <c r="R7" s="352">
        <f t="shared" si="0"/>
        <v>0.85</v>
      </c>
      <c r="S7" s="352">
        <f t="shared" si="0"/>
        <v>0.83</v>
      </c>
      <c r="T7" s="352">
        <f t="shared" si="0"/>
        <v>0.72</v>
      </c>
      <c r="U7" s="352">
        <f t="shared" si="0"/>
        <v>0.64999999999999991</v>
      </c>
      <c r="V7" s="352">
        <f t="shared" si="0"/>
        <v>0.66999999999999993</v>
      </c>
      <c r="W7" s="352">
        <f t="shared" si="0"/>
        <v>0.75</v>
      </c>
      <c r="X7" s="352">
        <f t="shared" si="0"/>
        <v>0.85</v>
      </c>
      <c r="Y7" s="352">
        <f t="shared" si="0"/>
        <v>0.85</v>
      </c>
      <c r="Z7" s="352">
        <f t="shared" si="0"/>
        <v>0.85</v>
      </c>
      <c r="AA7" s="352">
        <f t="shared" si="0"/>
        <v>0.75</v>
      </c>
      <c r="AB7" s="352">
        <f>AB10-5%</f>
        <v>0.56999999999999995</v>
      </c>
      <c r="AC7" s="152">
        <v>0.3</v>
      </c>
      <c r="AD7" s="90"/>
      <c r="AE7" s="90"/>
      <c r="AF7" s="90"/>
      <c r="AG7" s="90"/>
      <c r="AH7" s="90"/>
      <c r="AI7" s="90"/>
      <c r="AJ7" s="90"/>
      <c r="AK7" s="90"/>
    </row>
    <row r="8" spans="1:39" ht="37.950000000000003" customHeight="1" thickBot="1" x14ac:dyDescent="0.35">
      <c r="A8" s="1006"/>
      <c r="B8" s="986"/>
      <c r="C8" s="986"/>
      <c r="D8" s="1010"/>
      <c r="E8" s="143" t="s">
        <v>620</v>
      </c>
      <c r="F8" s="353">
        <f>F11</f>
        <v>0.15</v>
      </c>
      <c r="G8" s="144">
        <v>0.15</v>
      </c>
      <c r="H8" s="144">
        <v>0.15</v>
      </c>
      <c r="I8" s="144">
        <v>0.15</v>
      </c>
      <c r="J8" s="144">
        <v>0.15</v>
      </c>
      <c r="K8" s="353">
        <f>K11</f>
        <v>0.2</v>
      </c>
      <c r="L8" s="144">
        <v>0.3</v>
      </c>
      <c r="M8" s="353">
        <f t="shared" ref="M8:AA8" si="1">M11-5%</f>
        <v>0.66999999999999993</v>
      </c>
      <c r="N8" s="353">
        <f t="shared" si="1"/>
        <v>0.73</v>
      </c>
      <c r="O8" s="353">
        <f t="shared" si="1"/>
        <v>0.75</v>
      </c>
      <c r="P8" s="353">
        <f t="shared" si="1"/>
        <v>0.85</v>
      </c>
      <c r="Q8" s="353">
        <f t="shared" si="1"/>
        <v>0.85</v>
      </c>
      <c r="R8" s="353">
        <f t="shared" si="1"/>
        <v>0.85</v>
      </c>
      <c r="S8" s="353">
        <f t="shared" si="1"/>
        <v>0.83</v>
      </c>
      <c r="T8" s="353">
        <f t="shared" si="1"/>
        <v>0.72</v>
      </c>
      <c r="U8" s="353">
        <f t="shared" si="1"/>
        <v>0.64999999999999991</v>
      </c>
      <c r="V8" s="353">
        <f t="shared" si="1"/>
        <v>0.66999999999999993</v>
      </c>
      <c r="W8" s="353">
        <f t="shared" si="1"/>
        <v>0.75</v>
      </c>
      <c r="X8" s="353">
        <f t="shared" si="1"/>
        <v>0.85</v>
      </c>
      <c r="Y8" s="353">
        <f t="shared" si="1"/>
        <v>0.85</v>
      </c>
      <c r="Z8" s="353">
        <f t="shared" si="1"/>
        <v>0.85</v>
      </c>
      <c r="AA8" s="353">
        <f t="shared" si="1"/>
        <v>0.75</v>
      </c>
      <c r="AB8" s="353">
        <f>AB11-5%</f>
        <v>0.56999999999999995</v>
      </c>
      <c r="AC8" s="145">
        <v>0.3</v>
      </c>
      <c r="AD8" s="90"/>
      <c r="AE8" s="90"/>
      <c r="AF8" s="90"/>
      <c r="AG8" s="90"/>
      <c r="AH8" s="90"/>
      <c r="AI8" s="90"/>
      <c r="AJ8" s="90"/>
      <c r="AK8" s="90"/>
    </row>
    <row r="9" spans="1:39" ht="37.950000000000003" customHeight="1" thickBot="1" x14ac:dyDescent="0.35">
      <c r="A9" s="1006"/>
      <c r="B9" s="986"/>
      <c r="C9" s="986"/>
      <c r="D9" s="1010"/>
      <c r="E9" s="146" t="s">
        <v>621</v>
      </c>
      <c r="F9" s="147">
        <v>0.2</v>
      </c>
      <c r="G9" s="147">
        <v>0.15</v>
      </c>
      <c r="H9" s="147">
        <v>0.15</v>
      </c>
      <c r="I9" s="147">
        <v>0.15</v>
      </c>
      <c r="J9" s="147">
        <v>0.15</v>
      </c>
      <c r="K9" s="147">
        <v>0.15</v>
      </c>
      <c r="L9" s="147">
        <v>0.3</v>
      </c>
      <c r="M9" s="354">
        <f t="shared" ref="M9:AA9" si="2">M12-5%</f>
        <v>0.66999999999999993</v>
      </c>
      <c r="N9" s="354">
        <f t="shared" si="2"/>
        <v>0.73</v>
      </c>
      <c r="O9" s="354">
        <f t="shared" si="2"/>
        <v>0.75</v>
      </c>
      <c r="P9" s="354">
        <f t="shared" si="2"/>
        <v>0.85</v>
      </c>
      <c r="Q9" s="354">
        <f t="shared" si="2"/>
        <v>0.85</v>
      </c>
      <c r="R9" s="354">
        <f t="shared" si="2"/>
        <v>0.85</v>
      </c>
      <c r="S9" s="354">
        <f t="shared" si="2"/>
        <v>0.83</v>
      </c>
      <c r="T9" s="354">
        <f t="shared" si="2"/>
        <v>0.72</v>
      </c>
      <c r="U9" s="354">
        <f t="shared" si="2"/>
        <v>0.64999999999999991</v>
      </c>
      <c r="V9" s="354">
        <f t="shared" si="2"/>
        <v>0.66999999999999993</v>
      </c>
      <c r="W9" s="354">
        <f t="shared" si="2"/>
        <v>0.75</v>
      </c>
      <c r="X9" s="354">
        <f t="shared" si="2"/>
        <v>0.85</v>
      </c>
      <c r="Y9" s="354">
        <f t="shared" si="2"/>
        <v>0.85</v>
      </c>
      <c r="Z9" s="354">
        <f t="shared" si="2"/>
        <v>0.85</v>
      </c>
      <c r="AA9" s="354">
        <f t="shared" si="2"/>
        <v>0.75</v>
      </c>
      <c r="AB9" s="354">
        <f>AB12-5%</f>
        <v>0.56999999999999995</v>
      </c>
      <c r="AC9" s="148">
        <v>0.3</v>
      </c>
      <c r="AD9" s="90"/>
      <c r="AE9" s="90"/>
      <c r="AF9" s="90"/>
      <c r="AG9" s="90"/>
      <c r="AH9" s="90"/>
      <c r="AI9" s="90"/>
      <c r="AJ9" s="90"/>
      <c r="AK9" s="90"/>
    </row>
    <row r="10" spans="1:39" ht="38.700000000000003" customHeight="1" thickBot="1" x14ac:dyDescent="0.35">
      <c r="A10" s="1006" t="str">
        <f>A4</f>
        <v>Dining</v>
      </c>
      <c r="B10" s="986" t="s">
        <v>217</v>
      </c>
      <c r="C10" s="986" t="s">
        <v>624</v>
      </c>
      <c r="D10" s="1049" t="s">
        <v>625</v>
      </c>
      <c r="E10" s="333" t="s">
        <v>619</v>
      </c>
      <c r="F10" s="334">
        <v>0.15</v>
      </c>
      <c r="G10" s="334">
        <v>0.15</v>
      </c>
      <c r="H10" s="334">
        <v>0.15</v>
      </c>
      <c r="I10" s="334">
        <v>0.15</v>
      </c>
      <c r="J10" s="334">
        <v>0.15</v>
      </c>
      <c r="K10" s="334">
        <v>0.2</v>
      </c>
      <c r="L10" s="346">
        <v>0.3</v>
      </c>
      <c r="M10" s="346">
        <v>0.72</v>
      </c>
      <c r="N10" s="346">
        <v>0.78</v>
      </c>
      <c r="O10" s="346">
        <v>0.8</v>
      </c>
      <c r="P10" s="334">
        <v>0.9</v>
      </c>
      <c r="Q10" s="334">
        <v>0.9</v>
      </c>
      <c r="R10" s="334">
        <v>0.9</v>
      </c>
      <c r="S10" s="346">
        <v>0.88</v>
      </c>
      <c r="T10" s="346">
        <v>0.77</v>
      </c>
      <c r="U10" s="346">
        <v>0.7</v>
      </c>
      <c r="V10" s="346">
        <v>0.72</v>
      </c>
      <c r="W10" s="346">
        <v>0.8</v>
      </c>
      <c r="X10" s="334">
        <v>0.9</v>
      </c>
      <c r="Y10" s="334">
        <v>0.9</v>
      </c>
      <c r="Z10" s="334">
        <v>0.9</v>
      </c>
      <c r="AA10" s="346">
        <v>0.8</v>
      </c>
      <c r="AB10" s="346">
        <v>0.62</v>
      </c>
      <c r="AC10" s="335">
        <v>0.3</v>
      </c>
      <c r="AD10" s="90"/>
      <c r="AE10" s="90"/>
      <c r="AF10" s="90"/>
      <c r="AG10" s="90"/>
      <c r="AH10" s="90"/>
      <c r="AI10" s="90"/>
      <c r="AJ10" s="90"/>
      <c r="AK10" s="90"/>
      <c r="AM10" s="100"/>
    </row>
    <row r="11" spans="1:39" ht="38.700000000000003" customHeight="1" thickBot="1" x14ac:dyDescent="0.35">
      <c r="A11" s="1006"/>
      <c r="B11" s="986"/>
      <c r="C11" s="986"/>
      <c r="D11" s="1049"/>
      <c r="E11" s="336" t="s">
        <v>620</v>
      </c>
      <c r="F11" s="344">
        <v>0.15</v>
      </c>
      <c r="G11" s="144">
        <v>0.15</v>
      </c>
      <c r="H11" s="144">
        <v>0.15</v>
      </c>
      <c r="I11" s="144">
        <v>0.15</v>
      </c>
      <c r="J11" s="144">
        <v>0.15</v>
      </c>
      <c r="K11" s="344">
        <v>0.2</v>
      </c>
      <c r="L11" s="144">
        <v>0.3</v>
      </c>
      <c r="M11" s="344">
        <v>0.72</v>
      </c>
      <c r="N11" s="344">
        <v>0.78</v>
      </c>
      <c r="O11" s="344">
        <v>0.8</v>
      </c>
      <c r="P11" s="344">
        <v>0.9</v>
      </c>
      <c r="Q11" s="344">
        <v>0.9</v>
      </c>
      <c r="R11" s="344">
        <v>0.9</v>
      </c>
      <c r="S11" s="344">
        <v>0.88</v>
      </c>
      <c r="T11" s="344">
        <v>0.77</v>
      </c>
      <c r="U11" s="344">
        <v>0.7</v>
      </c>
      <c r="V11" s="344">
        <v>0.72</v>
      </c>
      <c r="W11" s="344">
        <v>0.8</v>
      </c>
      <c r="X11" s="144">
        <v>0.9</v>
      </c>
      <c r="Y11" s="144">
        <v>0.9</v>
      </c>
      <c r="Z11" s="144">
        <v>0.9</v>
      </c>
      <c r="AA11" s="344">
        <v>0.8</v>
      </c>
      <c r="AB11" s="344">
        <v>0.62</v>
      </c>
      <c r="AC11" s="337">
        <v>0.3</v>
      </c>
      <c r="AD11" s="90"/>
      <c r="AE11" s="90"/>
      <c r="AF11" s="90"/>
      <c r="AG11" s="90"/>
      <c r="AH11" s="90"/>
      <c r="AI11" s="90"/>
      <c r="AJ11" s="90"/>
      <c r="AK11" s="90"/>
      <c r="AM11" s="100"/>
    </row>
    <row r="12" spans="1:39" ht="38.700000000000003" customHeight="1" thickBot="1" x14ac:dyDescent="0.35">
      <c r="A12" s="1006"/>
      <c r="B12" s="986"/>
      <c r="C12" s="986"/>
      <c r="D12" s="1049"/>
      <c r="E12" s="338" t="s">
        <v>621</v>
      </c>
      <c r="F12" s="345">
        <v>0.2</v>
      </c>
      <c r="G12" s="339">
        <v>0.15</v>
      </c>
      <c r="H12" s="339">
        <v>0.15</v>
      </c>
      <c r="I12" s="339">
        <v>0.15</v>
      </c>
      <c r="J12" s="339">
        <v>0.15</v>
      </c>
      <c r="K12" s="345">
        <v>0.15</v>
      </c>
      <c r="L12" s="339">
        <v>0.3</v>
      </c>
      <c r="M12" s="345">
        <v>0.72</v>
      </c>
      <c r="N12" s="345">
        <v>0.78</v>
      </c>
      <c r="O12" s="345">
        <v>0.8</v>
      </c>
      <c r="P12" s="345">
        <v>0.9</v>
      </c>
      <c r="Q12" s="345">
        <v>0.9</v>
      </c>
      <c r="R12" s="345">
        <v>0.9</v>
      </c>
      <c r="S12" s="345">
        <v>0.88</v>
      </c>
      <c r="T12" s="345">
        <v>0.77</v>
      </c>
      <c r="U12" s="345">
        <v>0.7</v>
      </c>
      <c r="V12" s="345">
        <v>0.72</v>
      </c>
      <c r="W12" s="345">
        <v>0.8</v>
      </c>
      <c r="X12" s="345">
        <v>0.9</v>
      </c>
      <c r="Y12" s="345">
        <v>0.9</v>
      </c>
      <c r="Z12" s="345">
        <v>0.9</v>
      </c>
      <c r="AA12" s="345">
        <v>0.8</v>
      </c>
      <c r="AB12" s="345">
        <v>0.62</v>
      </c>
      <c r="AC12" s="340">
        <v>0.3</v>
      </c>
      <c r="AD12" s="90"/>
      <c r="AE12" s="90"/>
      <c r="AF12" s="90"/>
      <c r="AG12" s="90"/>
      <c r="AH12" s="90"/>
      <c r="AI12" s="90"/>
      <c r="AJ12" s="90"/>
      <c r="AK12" s="90"/>
      <c r="AM12" s="100"/>
    </row>
    <row r="13" spans="1:39" ht="38.4" customHeight="1" thickBot="1" x14ac:dyDescent="0.35">
      <c r="A13" s="1006" t="str">
        <f>A4</f>
        <v>Dining</v>
      </c>
      <c r="B13" s="986" t="s">
        <v>217</v>
      </c>
      <c r="C13" s="987" t="s">
        <v>626</v>
      </c>
      <c r="D13" s="1048" t="s">
        <v>627</v>
      </c>
      <c r="E13" s="333" t="s">
        <v>619</v>
      </c>
      <c r="F13" s="334">
        <v>1</v>
      </c>
      <c r="G13" s="349">
        <v>0</v>
      </c>
      <c r="H13" s="349">
        <v>0</v>
      </c>
      <c r="I13" s="334">
        <v>0</v>
      </c>
      <c r="J13" s="349">
        <v>1</v>
      </c>
      <c r="K13" s="349">
        <v>1</v>
      </c>
      <c r="L13" s="334">
        <v>1</v>
      </c>
      <c r="M13" s="334">
        <v>1</v>
      </c>
      <c r="N13" s="334">
        <v>1</v>
      </c>
      <c r="O13" s="334">
        <v>1</v>
      </c>
      <c r="P13" s="334">
        <v>1</v>
      </c>
      <c r="Q13" s="334">
        <v>1</v>
      </c>
      <c r="R13" s="334">
        <v>1</v>
      </c>
      <c r="S13" s="334">
        <v>1</v>
      </c>
      <c r="T13" s="334">
        <v>1</v>
      </c>
      <c r="U13" s="334">
        <v>1</v>
      </c>
      <c r="V13" s="334">
        <v>1</v>
      </c>
      <c r="W13" s="334">
        <v>1</v>
      </c>
      <c r="X13" s="334">
        <v>1</v>
      </c>
      <c r="Y13" s="334">
        <v>1</v>
      </c>
      <c r="Z13" s="334">
        <v>1</v>
      </c>
      <c r="AA13" s="334">
        <v>1</v>
      </c>
      <c r="AB13" s="334">
        <v>1</v>
      </c>
      <c r="AC13" s="335">
        <v>1</v>
      </c>
      <c r="AD13" s="90"/>
      <c r="AE13" s="90"/>
      <c r="AF13" s="90"/>
      <c r="AG13" s="90"/>
      <c r="AH13" s="90"/>
      <c r="AI13" s="90"/>
      <c r="AJ13" s="90"/>
      <c r="AK13" s="90"/>
      <c r="AM13" s="100"/>
    </row>
    <row r="14" spans="1:39" ht="38.700000000000003" customHeight="1" x14ac:dyDescent="0.3">
      <c r="A14" s="1006"/>
      <c r="B14" s="986"/>
      <c r="C14" s="987"/>
      <c r="D14" s="1048"/>
      <c r="E14" s="336" t="s">
        <v>620</v>
      </c>
      <c r="F14" s="144">
        <v>1</v>
      </c>
      <c r="G14" s="352">
        <v>0</v>
      </c>
      <c r="H14" s="352">
        <v>0</v>
      </c>
      <c r="I14" s="144">
        <v>0</v>
      </c>
      <c r="J14" s="144">
        <v>0</v>
      </c>
      <c r="K14" s="353">
        <v>1</v>
      </c>
      <c r="L14" s="353">
        <v>1</v>
      </c>
      <c r="M14" s="353">
        <v>1</v>
      </c>
      <c r="N14" s="144">
        <v>1</v>
      </c>
      <c r="O14" s="144">
        <v>1</v>
      </c>
      <c r="P14" s="144">
        <v>1</v>
      </c>
      <c r="Q14" s="144">
        <v>1</v>
      </c>
      <c r="R14" s="144">
        <v>1</v>
      </c>
      <c r="S14" s="144">
        <v>1</v>
      </c>
      <c r="T14" s="144">
        <v>1</v>
      </c>
      <c r="U14" s="144">
        <v>1</v>
      </c>
      <c r="V14" s="144">
        <v>1</v>
      </c>
      <c r="W14" s="144">
        <v>1</v>
      </c>
      <c r="X14" s="144">
        <v>1</v>
      </c>
      <c r="Y14" s="144">
        <v>1</v>
      </c>
      <c r="Z14" s="144">
        <v>1</v>
      </c>
      <c r="AA14" s="144">
        <v>1</v>
      </c>
      <c r="AB14" s="144">
        <v>1</v>
      </c>
      <c r="AC14" s="337">
        <v>1</v>
      </c>
      <c r="AD14" s="90"/>
      <c r="AE14" s="90"/>
      <c r="AF14" s="90"/>
      <c r="AG14" s="90"/>
      <c r="AH14" s="90"/>
      <c r="AI14" s="90"/>
      <c r="AJ14" s="90"/>
      <c r="AK14" s="90"/>
      <c r="AM14" s="100"/>
    </row>
    <row r="15" spans="1:39" ht="38.4" customHeight="1" thickBot="1" x14ac:dyDescent="0.35">
      <c r="A15" s="1006"/>
      <c r="B15" s="986"/>
      <c r="C15" s="987"/>
      <c r="D15" s="1048"/>
      <c r="E15" s="338" t="s">
        <v>621</v>
      </c>
      <c r="F15" s="339">
        <v>1</v>
      </c>
      <c r="G15" s="355">
        <v>0</v>
      </c>
      <c r="H15" s="355">
        <v>0</v>
      </c>
      <c r="I15" s="339">
        <v>0</v>
      </c>
      <c r="J15" s="339">
        <v>0</v>
      </c>
      <c r="K15" s="356">
        <v>1</v>
      </c>
      <c r="L15" s="356">
        <v>1</v>
      </c>
      <c r="M15" s="356">
        <v>1</v>
      </c>
      <c r="N15" s="356">
        <v>1</v>
      </c>
      <c r="O15" s="339">
        <v>1</v>
      </c>
      <c r="P15" s="339">
        <v>1</v>
      </c>
      <c r="Q15" s="339">
        <v>1</v>
      </c>
      <c r="R15" s="339">
        <v>1</v>
      </c>
      <c r="S15" s="339">
        <v>1</v>
      </c>
      <c r="T15" s="339">
        <v>1</v>
      </c>
      <c r="U15" s="339">
        <v>1</v>
      </c>
      <c r="V15" s="339">
        <v>1</v>
      </c>
      <c r="W15" s="339">
        <v>1</v>
      </c>
      <c r="X15" s="339">
        <v>1</v>
      </c>
      <c r="Y15" s="339">
        <v>1</v>
      </c>
      <c r="Z15" s="339">
        <v>1</v>
      </c>
      <c r="AA15" s="339">
        <v>1</v>
      </c>
      <c r="AB15" s="339">
        <v>1</v>
      </c>
      <c r="AC15" s="340">
        <v>1</v>
      </c>
      <c r="AD15" s="90"/>
      <c r="AE15" s="90"/>
      <c r="AF15" s="90"/>
      <c r="AG15" s="90"/>
      <c r="AH15" s="90"/>
      <c r="AI15" s="90"/>
      <c r="AJ15" s="90"/>
      <c r="AK15" s="90"/>
      <c r="AM15" s="100"/>
    </row>
    <row r="16" spans="1:39" ht="38.700000000000003" customHeight="1" x14ac:dyDescent="0.3">
      <c r="A16" s="1006" t="str">
        <f>A7</f>
        <v>Dining</v>
      </c>
      <c r="B16" s="986" t="s">
        <v>217</v>
      </c>
      <c r="C16" s="987" t="s">
        <v>628</v>
      </c>
      <c r="D16" s="1010" t="s">
        <v>629</v>
      </c>
      <c r="E16" s="150" t="s">
        <v>619</v>
      </c>
      <c r="F16" s="151">
        <v>0.2</v>
      </c>
      <c r="G16" s="352">
        <v>0</v>
      </c>
      <c r="H16" s="352">
        <v>0</v>
      </c>
      <c r="I16" s="151">
        <v>0</v>
      </c>
      <c r="J16" s="151">
        <v>0</v>
      </c>
      <c r="K16" s="352">
        <v>0.6</v>
      </c>
      <c r="L16" s="352">
        <v>0.6</v>
      </c>
      <c r="M16" s="151">
        <v>0.6</v>
      </c>
      <c r="N16" s="151">
        <v>0.55000000000000004</v>
      </c>
      <c r="O16" s="151">
        <v>0.45</v>
      </c>
      <c r="P16" s="151">
        <v>0.4</v>
      </c>
      <c r="Q16" s="151">
        <v>0.45</v>
      </c>
      <c r="R16" s="151">
        <v>0.4</v>
      </c>
      <c r="S16" s="151">
        <v>0.35</v>
      </c>
      <c r="T16" s="151">
        <v>0.3</v>
      </c>
      <c r="U16" s="151">
        <v>0.3</v>
      </c>
      <c r="V16" s="151">
        <v>0.3</v>
      </c>
      <c r="W16" s="151">
        <v>0.4</v>
      </c>
      <c r="X16" s="151">
        <v>0.55000000000000004</v>
      </c>
      <c r="Y16" s="151">
        <v>0.6</v>
      </c>
      <c r="Z16" s="151">
        <v>0.5</v>
      </c>
      <c r="AA16" s="151">
        <v>0.55000000000000004</v>
      </c>
      <c r="AB16" s="151">
        <v>0.45</v>
      </c>
      <c r="AC16" s="152">
        <v>0.25</v>
      </c>
      <c r="AD16" s="90"/>
      <c r="AE16" s="90"/>
      <c r="AF16" s="90"/>
      <c r="AG16" s="90"/>
      <c r="AH16" s="90"/>
      <c r="AI16" s="90"/>
      <c r="AJ16" s="90"/>
      <c r="AK16" s="90"/>
      <c r="AM16" s="100"/>
    </row>
    <row r="17" spans="1:39" ht="38.700000000000003" customHeight="1" x14ac:dyDescent="0.3">
      <c r="A17" s="1006"/>
      <c r="B17" s="986"/>
      <c r="C17" s="987"/>
      <c r="D17" s="1010"/>
      <c r="E17" s="143" t="s">
        <v>620</v>
      </c>
      <c r="F17" s="144">
        <v>0.2</v>
      </c>
      <c r="G17" s="353">
        <v>0</v>
      </c>
      <c r="H17" s="353">
        <v>0</v>
      </c>
      <c r="I17" s="144">
        <v>0</v>
      </c>
      <c r="J17" s="144">
        <v>0</v>
      </c>
      <c r="K17" s="144">
        <v>0</v>
      </c>
      <c r="L17" s="353">
        <v>0.5</v>
      </c>
      <c r="M17" s="353">
        <v>0.5</v>
      </c>
      <c r="N17" s="353">
        <v>0.5</v>
      </c>
      <c r="O17" s="144">
        <v>0.5</v>
      </c>
      <c r="P17" s="144">
        <v>0.45</v>
      </c>
      <c r="Q17" s="144">
        <v>0.5</v>
      </c>
      <c r="R17" s="144">
        <v>0.5</v>
      </c>
      <c r="S17" s="144">
        <v>0.45</v>
      </c>
      <c r="T17" s="144">
        <v>0.4</v>
      </c>
      <c r="U17" s="144">
        <v>0.4</v>
      </c>
      <c r="V17" s="144">
        <v>0.35</v>
      </c>
      <c r="W17" s="144">
        <v>0.4</v>
      </c>
      <c r="X17" s="144">
        <v>0.55000000000000004</v>
      </c>
      <c r="Y17" s="144">
        <v>0.55000000000000004</v>
      </c>
      <c r="Z17" s="144">
        <v>0.5</v>
      </c>
      <c r="AA17" s="144">
        <v>0.55000000000000004</v>
      </c>
      <c r="AB17" s="144">
        <v>0.4</v>
      </c>
      <c r="AC17" s="145">
        <v>0.3</v>
      </c>
      <c r="AD17" s="90"/>
      <c r="AE17" s="90"/>
      <c r="AF17" s="90"/>
      <c r="AG17" s="90"/>
      <c r="AH17" s="90"/>
      <c r="AI17" s="90"/>
      <c r="AJ17" s="90"/>
      <c r="AK17" s="90"/>
      <c r="AM17" s="100"/>
    </row>
    <row r="18" spans="1:39" ht="38.700000000000003" customHeight="1" x14ac:dyDescent="0.3">
      <c r="A18" s="1006"/>
      <c r="B18" s="986"/>
      <c r="C18" s="987"/>
      <c r="D18" s="1010"/>
      <c r="E18" s="146" t="s">
        <v>621</v>
      </c>
      <c r="F18" s="147">
        <v>0.25</v>
      </c>
      <c r="G18" s="354">
        <v>0</v>
      </c>
      <c r="H18" s="354">
        <v>0</v>
      </c>
      <c r="I18" s="147">
        <v>0</v>
      </c>
      <c r="J18" s="147">
        <v>0</v>
      </c>
      <c r="K18" s="147">
        <v>0</v>
      </c>
      <c r="L18" s="354">
        <v>0.5</v>
      </c>
      <c r="M18" s="354">
        <v>0.5</v>
      </c>
      <c r="N18" s="354">
        <v>0.5</v>
      </c>
      <c r="O18" s="354">
        <v>0.5</v>
      </c>
      <c r="P18" s="147">
        <v>0.5</v>
      </c>
      <c r="Q18" s="147">
        <v>0.5</v>
      </c>
      <c r="R18" s="147">
        <v>0.4</v>
      </c>
      <c r="S18" s="147">
        <v>0.4</v>
      </c>
      <c r="T18" s="147">
        <v>0.3</v>
      </c>
      <c r="U18" s="147">
        <v>0.3</v>
      </c>
      <c r="V18" s="147">
        <v>0.3</v>
      </c>
      <c r="W18" s="147">
        <v>0.4</v>
      </c>
      <c r="X18" s="147">
        <v>0.5</v>
      </c>
      <c r="Y18" s="147">
        <v>0.5</v>
      </c>
      <c r="Z18" s="147">
        <v>0.4</v>
      </c>
      <c r="AA18" s="147">
        <v>0.5</v>
      </c>
      <c r="AB18" s="147">
        <v>0.4</v>
      </c>
      <c r="AC18" s="148">
        <v>0.2</v>
      </c>
      <c r="AD18" s="90"/>
      <c r="AE18" s="90"/>
      <c r="AF18" s="90"/>
      <c r="AG18" s="90"/>
      <c r="AH18" s="90"/>
      <c r="AI18" s="90"/>
      <c r="AJ18" s="90"/>
      <c r="AK18" s="90"/>
      <c r="AM18" s="100"/>
    </row>
    <row r="19" spans="1:39" ht="38.700000000000003" customHeight="1" x14ac:dyDescent="0.3">
      <c r="A19" s="989" t="str">
        <f>A4</f>
        <v>Dining</v>
      </c>
      <c r="B19" s="936" t="s">
        <v>217</v>
      </c>
      <c r="C19" s="982" t="s">
        <v>286</v>
      </c>
      <c r="D19" s="983" t="s">
        <v>630</v>
      </c>
      <c r="E19" s="471" t="s">
        <v>619</v>
      </c>
      <c r="F19" s="349">
        <v>0.25</v>
      </c>
      <c r="G19" s="349">
        <v>0</v>
      </c>
      <c r="H19" s="349">
        <v>0</v>
      </c>
      <c r="I19" s="334">
        <v>1</v>
      </c>
      <c r="J19" s="349">
        <v>0.25</v>
      </c>
      <c r="K19" s="357">
        <v>0.25</v>
      </c>
      <c r="L19" s="348">
        <v>0.25</v>
      </c>
      <c r="M19" s="348">
        <v>0.25</v>
      </c>
      <c r="N19" s="348">
        <v>0.25</v>
      </c>
      <c r="O19" s="334">
        <v>0.25</v>
      </c>
      <c r="P19" s="334">
        <v>0.25</v>
      </c>
      <c r="Q19" s="334">
        <v>0.25</v>
      </c>
      <c r="R19" s="334">
        <v>0.25</v>
      </c>
      <c r="S19" s="334">
        <v>0.25</v>
      </c>
      <c r="T19" s="334">
        <v>0.25</v>
      </c>
      <c r="U19" s="334">
        <v>0.25</v>
      </c>
      <c r="V19" s="349">
        <v>0.25</v>
      </c>
      <c r="W19" s="334">
        <v>0.25</v>
      </c>
      <c r="X19" s="334">
        <v>0.25</v>
      </c>
      <c r="Y19" s="334">
        <v>0.25</v>
      </c>
      <c r="Z19" s="334">
        <v>0.25</v>
      </c>
      <c r="AA19" s="334">
        <v>0.25</v>
      </c>
      <c r="AB19" s="334">
        <v>0.25</v>
      </c>
      <c r="AC19" s="335">
        <v>0.25</v>
      </c>
      <c r="AD19" s="90"/>
      <c r="AE19" s="90"/>
      <c r="AF19" s="90"/>
      <c r="AG19" s="90"/>
      <c r="AH19" s="90"/>
      <c r="AI19" s="90"/>
      <c r="AJ19" s="90"/>
      <c r="AK19" s="90"/>
      <c r="AM19" s="100"/>
    </row>
    <row r="20" spans="1:39" ht="38.700000000000003" customHeight="1" x14ac:dyDescent="0.3">
      <c r="A20" s="945"/>
      <c r="B20" s="924"/>
      <c r="C20" s="1000"/>
      <c r="D20" s="980"/>
      <c r="E20" s="143" t="s">
        <v>620</v>
      </c>
      <c r="F20" s="353">
        <v>0.25</v>
      </c>
      <c r="G20" s="353">
        <v>0</v>
      </c>
      <c r="H20" s="144">
        <v>0</v>
      </c>
      <c r="I20" s="144">
        <v>1</v>
      </c>
      <c r="J20" s="144">
        <v>1</v>
      </c>
      <c r="K20" s="353">
        <v>0.25</v>
      </c>
      <c r="L20" s="353">
        <v>0.25</v>
      </c>
      <c r="M20" s="353">
        <v>0.25</v>
      </c>
      <c r="N20" s="144">
        <v>0.25</v>
      </c>
      <c r="O20" s="144">
        <v>0.25</v>
      </c>
      <c r="P20" s="144">
        <v>0.25</v>
      </c>
      <c r="Q20" s="144">
        <v>0.25</v>
      </c>
      <c r="R20" s="144">
        <v>0.25</v>
      </c>
      <c r="S20" s="144">
        <v>0.25</v>
      </c>
      <c r="T20" s="144">
        <v>0.25</v>
      </c>
      <c r="U20" s="144">
        <v>0.25</v>
      </c>
      <c r="V20" s="144">
        <v>0.25</v>
      </c>
      <c r="W20" s="144">
        <v>0.25</v>
      </c>
      <c r="X20" s="144">
        <v>0.25</v>
      </c>
      <c r="Y20" s="144">
        <v>0.25</v>
      </c>
      <c r="Z20" s="144">
        <v>0.25</v>
      </c>
      <c r="AA20" s="144">
        <v>0.25</v>
      </c>
      <c r="AB20" s="144">
        <v>0.25</v>
      </c>
      <c r="AC20" s="337">
        <v>0.25</v>
      </c>
      <c r="AD20" s="90"/>
      <c r="AE20" s="90"/>
      <c r="AF20" s="90"/>
      <c r="AG20" s="90"/>
      <c r="AH20" s="90"/>
      <c r="AI20" s="90"/>
      <c r="AJ20" s="90"/>
      <c r="AK20" s="90"/>
      <c r="AM20" s="100"/>
    </row>
    <row r="21" spans="1:39" ht="38.700000000000003" customHeight="1" x14ac:dyDescent="0.3">
      <c r="A21" s="990"/>
      <c r="B21" s="981"/>
      <c r="C21" s="1011"/>
      <c r="D21" s="984"/>
      <c r="E21" s="146" t="s">
        <v>621</v>
      </c>
      <c r="F21" s="354">
        <v>0.25</v>
      </c>
      <c r="G21" s="354">
        <v>0</v>
      </c>
      <c r="H21" s="354">
        <v>0</v>
      </c>
      <c r="I21" s="147">
        <v>1</v>
      </c>
      <c r="J21" s="147">
        <v>1</v>
      </c>
      <c r="K21" s="506">
        <v>0.25</v>
      </c>
      <c r="L21" s="506">
        <v>0.25</v>
      </c>
      <c r="M21" s="506">
        <v>0.25</v>
      </c>
      <c r="N21" s="506">
        <v>0.25</v>
      </c>
      <c r="O21" s="147">
        <v>0.25</v>
      </c>
      <c r="P21" s="147">
        <v>0.25</v>
      </c>
      <c r="Q21" s="147">
        <v>0.25</v>
      </c>
      <c r="R21" s="147">
        <v>0.25</v>
      </c>
      <c r="S21" s="147">
        <v>0.25</v>
      </c>
      <c r="T21" s="147">
        <v>0.25</v>
      </c>
      <c r="U21" s="147">
        <v>0.25</v>
      </c>
      <c r="V21" s="147">
        <v>0.25</v>
      </c>
      <c r="W21" s="147">
        <v>0.25</v>
      </c>
      <c r="X21" s="147">
        <v>0.25</v>
      </c>
      <c r="Y21" s="147">
        <v>0.25</v>
      </c>
      <c r="Z21" s="147">
        <v>0.25</v>
      </c>
      <c r="AA21" s="147">
        <v>0.25</v>
      </c>
      <c r="AB21" s="147">
        <v>0.25</v>
      </c>
      <c r="AC21" s="507">
        <v>0.25</v>
      </c>
      <c r="AD21" s="90"/>
      <c r="AE21" s="90"/>
      <c r="AF21" s="90"/>
      <c r="AG21" s="90"/>
      <c r="AH21" s="90"/>
      <c r="AI21" s="90"/>
      <c r="AJ21" s="90"/>
      <c r="AK21" s="90"/>
      <c r="AM21" s="100"/>
    </row>
    <row r="22" spans="1:39" ht="38.700000000000003" customHeight="1" x14ac:dyDescent="0.3">
      <c r="A22" s="1015" t="str">
        <f>A7</f>
        <v>Dining</v>
      </c>
      <c r="B22" s="999" t="s">
        <v>217</v>
      </c>
      <c r="C22" s="939" t="s">
        <v>631</v>
      </c>
      <c r="D22" s="1019" t="s">
        <v>632</v>
      </c>
      <c r="E22" s="511" t="s">
        <v>619</v>
      </c>
      <c r="F22" s="350">
        <v>0.9</v>
      </c>
      <c r="G22" s="350">
        <v>0.9</v>
      </c>
      <c r="H22" s="350">
        <v>0.9</v>
      </c>
      <c r="I22" s="350">
        <v>0.9</v>
      </c>
      <c r="J22" s="350">
        <v>0.9</v>
      </c>
      <c r="K22" s="350">
        <v>0.9</v>
      </c>
      <c r="L22" s="350">
        <v>0.9</v>
      </c>
      <c r="M22" s="350">
        <v>0.9</v>
      </c>
      <c r="N22" s="350">
        <v>0.9</v>
      </c>
      <c r="O22" s="350">
        <v>0.9</v>
      </c>
      <c r="P22" s="154">
        <v>0.9</v>
      </c>
      <c r="Q22" s="154">
        <v>0.9</v>
      </c>
      <c r="R22" s="154">
        <v>0.9</v>
      </c>
      <c r="S22" s="154">
        <v>0.9</v>
      </c>
      <c r="T22" s="154">
        <v>0.9</v>
      </c>
      <c r="U22" s="154">
        <v>0.9</v>
      </c>
      <c r="V22" s="154">
        <v>0.9</v>
      </c>
      <c r="W22" s="154">
        <v>0.9</v>
      </c>
      <c r="X22" s="154">
        <v>0.9</v>
      </c>
      <c r="Y22" s="154">
        <v>0.9</v>
      </c>
      <c r="Z22" s="154">
        <v>0.9</v>
      </c>
      <c r="AA22" s="154">
        <v>0.9</v>
      </c>
      <c r="AB22" s="154">
        <v>0.9</v>
      </c>
      <c r="AC22" s="155">
        <v>0.9</v>
      </c>
      <c r="AD22" s="90"/>
      <c r="AE22" s="90"/>
      <c r="AF22" s="90"/>
      <c r="AG22" s="90"/>
      <c r="AH22" s="90"/>
      <c r="AI22" s="90"/>
      <c r="AJ22" s="90"/>
      <c r="AK22" s="90"/>
      <c r="AM22" s="100"/>
    </row>
    <row r="23" spans="1:39" ht="38.700000000000003" customHeight="1" x14ac:dyDescent="0.3">
      <c r="A23" s="921"/>
      <c r="B23" s="924"/>
      <c r="C23" s="987"/>
      <c r="D23" s="1010"/>
      <c r="E23" s="512" t="s">
        <v>620</v>
      </c>
      <c r="F23" s="351">
        <v>0.9</v>
      </c>
      <c r="G23" s="351">
        <v>0.9</v>
      </c>
      <c r="H23" s="351">
        <v>0.9</v>
      </c>
      <c r="I23" s="351">
        <v>0.9</v>
      </c>
      <c r="J23" s="351">
        <v>0.9</v>
      </c>
      <c r="K23" s="351">
        <v>0.9</v>
      </c>
      <c r="L23" s="351">
        <v>0.9</v>
      </c>
      <c r="M23" s="351">
        <v>0.9</v>
      </c>
      <c r="N23" s="351">
        <v>0.9</v>
      </c>
      <c r="O23" s="351">
        <v>0.9</v>
      </c>
      <c r="P23" s="157">
        <v>0.9</v>
      </c>
      <c r="Q23" s="157">
        <v>0.9</v>
      </c>
      <c r="R23" s="157">
        <v>0.9</v>
      </c>
      <c r="S23" s="157">
        <v>0.9</v>
      </c>
      <c r="T23" s="157">
        <v>0.9</v>
      </c>
      <c r="U23" s="157">
        <v>0.9</v>
      </c>
      <c r="V23" s="157">
        <v>0.9</v>
      </c>
      <c r="W23" s="157">
        <v>0.9</v>
      </c>
      <c r="X23" s="157">
        <v>0.9</v>
      </c>
      <c r="Y23" s="157">
        <v>0.9</v>
      </c>
      <c r="Z23" s="157">
        <v>0.9</v>
      </c>
      <c r="AA23" s="157">
        <v>0.9</v>
      </c>
      <c r="AB23" s="157">
        <v>0.9</v>
      </c>
      <c r="AC23" s="158">
        <v>0.9</v>
      </c>
      <c r="AD23" s="90"/>
      <c r="AE23" s="90"/>
      <c r="AF23" s="90"/>
      <c r="AG23" s="90"/>
      <c r="AH23" s="90"/>
      <c r="AI23" s="90"/>
      <c r="AJ23" s="90"/>
      <c r="AK23" s="90"/>
      <c r="AM23" s="100"/>
    </row>
    <row r="24" spans="1:39" ht="38.700000000000003" customHeight="1" thickBot="1" x14ac:dyDescent="0.35">
      <c r="A24" s="1016"/>
      <c r="B24" s="1017"/>
      <c r="C24" s="1018"/>
      <c r="D24" s="1020"/>
      <c r="E24" s="513" t="s">
        <v>621</v>
      </c>
      <c r="F24" s="514">
        <v>0.9</v>
      </c>
      <c r="G24" s="514">
        <v>0.9</v>
      </c>
      <c r="H24" s="514">
        <v>0.9</v>
      </c>
      <c r="I24" s="514">
        <v>0.9</v>
      </c>
      <c r="J24" s="514">
        <v>0.9</v>
      </c>
      <c r="K24" s="514">
        <v>0.9</v>
      </c>
      <c r="L24" s="514">
        <v>0.9</v>
      </c>
      <c r="M24" s="514">
        <v>0.9</v>
      </c>
      <c r="N24" s="514">
        <v>0.9</v>
      </c>
      <c r="O24" s="514">
        <v>0.9</v>
      </c>
      <c r="P24" s="163">
        <v>0.9</v>
      </c>
      <c r="Q24" s="163">
        <v>0.9</v>
      </c>
      <c r="R24" s="163">
        <v>0.9</v>
      </c>
      <c r="S24" s="163">
        <v>0.9</v>
      </c>
      <c r="T24" s="163">
        <v>0.9</v>
      </c>
      <c r="U24" s="163">
        <v>0.9</v>
      </c>
      <c r="V24" s="163">
        <v>0.9</v>
      </c>
      <c r="W24" s="163">
        <v>0.9</v>
      </c>
      <c r="X24" s="163">
        <v>0.9</v>
      </c>
      <c r="Y24" s="163">
        <v>0.9</v>
      </c>
      <c r="Z24" s="163">
        <v>0.9</v>
      </c>
      <c r="AA24" s="163">
        <v>0.9</v>
      </c>
      <c r="AB24" s="163">
        <v>0.9</v>
      </c>
      <c r="AC24" s="164">
        <v>0.9</v>
      </c>
      <c r="AD24" s="90"/>
      <c r="AE24" s="90"/>
      <c r="AF24" s="90"/>
      <c r="AG24" s="90"/>
      <c r="AH24" s="90"/>
      <c r="AI24" s="90"/>
      <c r="AJ24" s="90"/>
      <c r="AK24" s="90"/>
      <c r="AM24" s="100"/>
    </row>
    <row r="25" spans="1:39" ht="38.700000000000003" customHeight="1" thickBot="1" x14ac:dyDescent="0.35">
      <c r="A25" s="958" t="str">
        <f>A4</f>
        <v>Dining</v>
      </c>
      <c r="B25" s="1023" t="str">
        <f>B16</f>
        <v>Restaurant</v>
      </c>
      <c r="C25" s="963" t="s">
        <v>633</v>
      </c>
      <c r="D25" s="1012" t="s">
        <v>632</v>
      </c>
      <c r="E25" s="508" t="s">
        <v>619</v>
      </c>
      <c r="F25" s="509">
        <f>IF(F13=1,Thermostat!$C$3,Thermostat!$C$4)</f>
        <v>70</v>
      </c>
      <c r="G25" s="509">
        <f>IF(G13=1,Thermostat!$C$3,Thermostat!$C$4)</f>
        <v>60</v>
      </c>
      <c r="H25" s="509">
        <f>IF(H13=1,Thermostat!$C$3,Thermostat!$C$4)</f>
        <v>60</v>
      </c>
      <c r="I25" s="509">
        <f>IF(I13=1,Thermostat!$C$3,Thermostat!$C$4)</f>
        <v>60</v>
      </c>
      <c r="J25" s="509">
        <f>IF(J13=1,Thermostat!$C$3,Thermostat!$C$4)</f>
        <v>70</v>
      </c>
      <c r="K25" s="509">
        <f>IF(K13=1,Thermostat!$C$3,Thermostat!$C$4)</f>
        <v>70</v>
      </c>
      <c r="L25" s="509">
        <f>IF(L13=1,Thermostat!$C$3,Thermostat!$C$4)</f>
        <v>70</v>
      </c>
      <c r="M25" s="509">
        <f>IF(M13=1,Thermostat!$C$3,Thermostat!$C$4)</f>
        <v>70</v>
      </c>
      <c r="N25" s="509">
        <f>IF(N13=1,Thermostat!$C$3,Thermostat!$C$4)</f>
        <v>70</v>
      </c>
      <c r="O25" s="509">
        <f>IF(O13=1,Thermostat!$C$3,Thermostat!$C$4)</f>
        <v>70</v>
      </c>
      <c r="P25" s="509">
        <f>IF(P13=1,Thermostat!$C$3,Thermostat!$C$4)</f>
        <v>70</v>
      </c>
      <c r="Q25" s="509">
        <f>IF(Q13=1,Thermostat!$C$3,Thermostat!$C$4)</f>
        <v>70</v>
      </c>
      <c r="R25" s="509">
        <f>IF(R13=1,Thermostat!$C$3,Thermostat!$C$4)</f>
        <v>70</v>
      </c>
      <c r="S25" s="509">
        <f>IF(S13=1,Thermostat!$C$3,Thermostat!$C$4)</f>
        <v>70</v>
      </c>
      <c r="T25" s="509">
        <f>IF(T13=1,Thermostat!$C$3,Thermostat!$C$4)</f>
        <v>70</v>
      </c>
      <c r="U25" s="509">
        <f>IF(U13=1,Thermostat!$C$3,Thermostat!$C$4)</f>
        <v>70</v>
      </c>
      <c r="V25" s="509">
        <f>IF(V13=1,Thermostat!$C$3,Thermostat!$C$4)</f>
        <v>70</v>
      </c>
      <c r="W25" s="509">
        <f>IF(W13=1,Thermostat!$C$3,Thermostat!$C$4)</f>
        <v>70</v>
      </c>
      <c r="X25" s="509">
        <f>IF(X13=1,Thermostat!$C$3,Thermostat!$C$4)</f>
        <v>70</v>
      </c>
      <c r="Y25" s="509">
        <f>IF(Y13=1,Thermostat!$C$3,Thermostat!$C$4)</f>
        <v>70</v>
      </c>
      <c r="Z25" s="509">
        <f>IF(Z13=1,Thermostat!$C$3,Thermostat!$C$4)</f>
        <v>70</v>
      </c>
      <c r="AA25" s="509">
        <f>IF(AA13=1,Thermostat!$C$3,Thermostat!$C$4)</f>
        <v>70</v>
      </c>
      <c r="AB25" s="509">
        <f>IF(AB13=1,Thermostat!$C$3,Thermostat!$C$4)</f>
        <v>70</v>
      </c>
      <c r="AC25" s="510">
        <f>IF(AC13=1,Thermostat!$C$3,Thermostat!$C$4)</f>
        <v>70</v>
      </c>
      <c r="AD25" s="90"/>
      <c r="AE25" s="90"/>
      <c r="AF25" s="90"/>
      <c r="AG25" s="90"/>
      <c r="AH25" s="90"/>
      <c r="AI25" s="90"/>
      <c r="AJ25" s="90"/>
      <c r="AK25" s="90"/>
      <c r="AM25" s="100"/>
    </row>
    <row r="26" spans="1:39" ht="38.700000000000003" customHeight="1" thickBot="1" x14ac:dyDescent="0.35">
      <c r="A26" s="1021"/>
      <c r="B26" s="1024"/>
      <c r="C26" s="963"/>
      <c r="D26" s="1013"/>
      <c r="E26" s="458" t="s">
        <v>620</v>
      </c>
      <c r="F26" s="459">
        <f>IF(F14=1,Thermostat!$C$3,Thermostat!$C$4)</f>
        <v>70</v>
      </c>
      <c r="G26" s="459">
        <f>IF(G14=1,Thermostat!$C$3,Thermostat!$C$4)</f>
        <v>60</v>
      </c>
      <c r="H26" s="459">
        <f>IF(H14=1,Thermostat!$C$3,Thermostat!$C$4)</f>
        <v>60</v>
      </c>
      <c r="I26" s="459">
        <f>IF(I14=1,Thermostat!$C$3,Thermostat!$C$4)</f>
        <v>60</v>
      </c>
      <c r="J26" s="459">
        <f>IF(J14=1,Thermostat!$C$3,Thermostat!$C$4)</f>
        <v>60</v>
      </c>
      <c r="K26" s="459">
        <f>IF(K14=1,Thermostat!$C$3,Thermostat!$C$4)</f>
        <v>70</v>
      </c>
      <c r="L26" s="459">
        <f>IF(L14=1,Thermostat!$C$3,Thermostat!$C$4)</f>
        <v>70</v>
      </c>
      <c r="M26" s="459">
        <f>IF(M14=1,Thermostat!$C$3,Thermostat!$C$4)</f>
        <v>70</v>
      </c>
      <c r="N26" s="459">
        <f>IF(N14=1,Thermostat!$C$3,Thermostat!$C$4)</f>
        <v>70</v>
      </c>
      <c r="O26" s="459">
        <f>IF(O14=1,Thermostat!$C$3,Thermostat!$C$4)</f>
        <v>70</v>
      </c>
      <c r="P26" s="459">
        <f>IF(P14=1,Thermostat!$C$3,Thermostat!$C$4)</f>
        <v>70</v>
      </c>
      <c r="Q26" s="459">
        <f>IF(Q14=1,Thermostat!$C$3,Thermostat!$C$4)</f>
        <v>70</v>
      </c>
      <c r="R26" s="459">
        <f>IF(R14=1,Thermostat!$C$3,Thermostat!$C$4)</f>
        <v>70</v>
      </c>
      <c r="S26" s="459">
        <f>IF(S14=1,Thermostat!$C$3,Thermostat!$C$4)</f>
        <v>70</v>
      </c>
      <c r="T26" s="459">
        <f>IF(T14=1,Thermostat!$C$3,Thermostat!$C$4)</f>
        <v>70</v>
      </c>
      <c r="U26" s="459">
        <f>IF(U14=1,Thermostat!$C$3,Thermostat!$C$4)</f>
        <v>70</v>
      </c>
      <c r="V26" s="459">
        <f>IF(V14=1,Thermostat!$C$3,Thermostat!$C$4)</f>
        <v>70</v>
      </c>
      <c r="W26" s="459">
        <f>IF(W14=1,Thermostat!$C$3,Thermostat!$C$4)</f>
        <v>70</v>
      </c>
      <c r="X26" s="459">
        <f>IF(X14=1,Thermostat!$C$3,Thermostat!$C$4)</f>
        <v>70</v>
      </c>
      <c r="Y26" s="459">
        <f>IF(Y14=1,Thermostat!$C$3,Thermostat!$C$4)</f>
        <v>70</v>
      </c>
      <c r="Z26" s="459">
        <f>IF(Z14=1,Thermostat!$C$3,Thermostat!$C$4)</f>
        <v>70</v>
      </c>
      <c r="AA26" s="459">
        <f>IF(AA14=1,Thermostat!$C$3,Thermostat!$C$4)</f>
        <v>70</v>
      </c>
      <c r="AB26" s="459">
        <f>IF(AB14=1,Thermostat!$C$3,Thermostat!$C$4)</f>
        <v>70</v>
      </c>
      <c r="AC26" s="460">
        <f>IF(AC14=1,Thermostat!$C$3,Thermostat!$C$4)</f>
        <v>70</v>
      </c>
      <c r="AD26" s="90"/>
      <c r="AE26" s="90"/>
      <c r="AF26" s="90"/>
      <c r="AG26" s="90"/>
      <c r="AH26" s="90"/>
      <c r="AI26" s="90"/>
      <c r="AJ26" s="90"/>
      <c r="AK26" s="90"/>
      <c r="AM26" s="100"/>
    </row>
    <row r="27" spans="1:39" ht="38.700000000000003" customHeight="1" x14ac:dyDescent="0.3">
      <c r="A27" s="1022"/>
      <c r="B27" s="1025"/>
      <c r="C27" s="953"/>
      <c r="D27" s="1014"/>
      <c r="E27" s="461" t="s">
        <v>621</v>
      </c>
      <c r="F27" s="459">
        <f>IF(F15=1,Thermostat!$C$3,Thermostat!$C$4)</f>
        <v>70</v>
      </c>
      <c r="G27" s="459">
        <f>IF(G15=1,Thermostat!$C$3,Thermostat!$C$4)</f>
        <v>60</v>
      </c>
      <c r="H27" s="459">
        <f>IF(H15=1,Thermostat!$C$3,Thermostat!$C$4)</f>
        <v>60</v>
      </c>
      <c r="I27" s="459">
        <f>IF(I15=1,Thermostat!$C$3,Thermostat!$C$4)</f>
        <v>60</v>
      </c>
      <c r="J27" s="459">
        <f>IF(J15=1,Thermostat!$C$3,Thermostat!$C$4)</f>
        <v>60</v>
      </c>
      <c r="K27" s="459">
        <f>IF(K15=1,Thermostat!$C$3,Thermostat!$C$4)</f>
        <v>70</v>
      </c>
      <c r="L27" s="459">
        <f>IF(L15=1,Thermostat!$C$3,Thermostat!$C$4)</f>
        <v>70</v>
      </c>
      <c r="M27" s="459">
        <f>IF(M15=1,Thermostat!$C$3,Thermostat!$C$4)</f>
        <v>70</v>
      </c>
      <c r="N27" s="459">
        <f>IF(N15=1,Thermostat!$C$3,Thermostat!$C$4)</f>
        <v>70</v>
      </c>
      <c r="O27" s="459">
        <f>IF(O15=1,Thermostat!$C$3,Thermostat!$C$4)</f>
        <v>70</v>
      </c>
      <c r="P27" s="459">
        <f>IF(P15=1,Thermostat!$C$3,Thermostat!$C$4)</f>
        <v>70</v>
      </c>
      <c r="Q27" s="459">
        <f>IF(Q15=1,Thermostat!$C$3,Thermostat!$C$4)</f>
        <v>70</v>
      </c>
      <c r="R27" s="459">
        <f>IF(R15=1,Thermostat!$C$3,Thermostat!$C$4)</f>
        <v>70</v>
      </c>
      <c r="S27" s="459">
        <f>IF(S15=1,Thermostat!$C$3,Thermostat!$C$4)</f>
        <v>70</v>
      </c>
      <c r="T27" s="459">
        <f>IF(T15=1,Thermostat!$C$3,Thermostat!$C$4)</f>
        <v>70</v>
      </c>
      <c r="U27" s="459">
        <f>IF(U15=1,Thermostat!$C$3,Thermostat!$C$4)</f>
        <v>70</v>
      </c>
      <c r="V27" s="459">
        <f>IF(V15=1,Thermostat!$C$3,Thermostat!$C$4)</f>
        <v>70</v>
      </c>
      <c r="W27" s="459">
        <f>IF(W15=1,Thermostat!$C$3,Thermostat!$C$4)</f>
        <v>70</v>
      </c>
      <c r="X27" s="459">
        <f>IF(X15=1,Thermostat!$C$3,Thermostat!$C$4)</f>
        <v>70</v>
      </c>
      <c r="Y27" s="459">
        <f>IF(Y15=1,Thermostat!$C$3,Thermostat!$C$4)</f>
        <v>70</v>
      </c>
      <c r="Z27" s="459">
        <f>IF(Z15=1,Thermostat!$C$3,Thermostat!$C$4)</f>
        <v>70</v>
      </c>
      <c r="AA27" s="459">
        <f>IF(AA15=1,Thermostat!$C$3,Thermostat!$C$4)</f>
        <v>70</v>
      </c>
      <c r="AB27" s="459">
        <f>IF(AB15=1,Thermostat!$C$3,Thermostat!$C$4)</f>
        <v>70</v>
      </c>
      <c r="AC27" s="460">
        <f>IF(AC15=1,Thermostat!$C$3,Thermostat!$C$4)</f>
        <v>70</v>
      </c>
      <c r="AD27" s="90"/>
      <c r="AE27" s="90"/>
      <c r="AF27" s="90"/>
      <c r="AG27" s="90"/>
      <c r="AH27" s="90"/>
      <c r="AI27" s="90"/>
      <c r="AJ27" s="90"/>
      <c r="AK27" s="90"/>
      <c r="AM27" s="100"/>
    </row>
    <row r="28" spans="1:39" ht="38.700000000000003" customHeight="1" x14ac:dyDescent="0.3">
      <c r="A28" s="969" t="str">
        <f>A4</f>
        <v>Dining</v>
      </c>
      <c r="B28" s="972" t="str">
        <f>B19</f>
        <v>Restaurant</v>
      </c>
      <c r="C28" s="975" t="s">
        <v>634</v>
      </c>
      <c r="D28" s="1034" t="s">
        <v>632</v>
      </c>
      <c r="E28" s="462" t="s">
        <v>619</v>
      </c>
      <c r="F28" s="463">
        <f>IF(F13=1,Thermostat!$C$5,Thermostat!$C$6)</f>
        <v>75</v>
      </c>
      <c r="G28" s="463">
        <f>IF(G13=1,Thermostat!$C$5,Thermostat!$C$6)</f>
        <v>85</v>
      </c>
      <c r="H28" s="463">
        <f>IF(H13=1,Thermostat!$C$5,Thermostat!$C$6)</f>
        <v>85</v>
      </c>
      <c r="I28" s="463">
        <f>IF(I13=1,Thermostat!$C$5,Thermostat!$C$6)</f>
        <v>85</v>
      </c>
      <c r="J28" s="463">
        <f>IF(J13=1,Thermostat!$C$5,Thermostat!$C$6)</f>
        <v>75</v>
      </c>
      <c r="K28" s="463">
        <f>IF(K13=1,Thermostat!$C$5,Thermostat!$C$6)</f>
        <v>75</v>
      </c>
      <c r="L28" s="463">
        <f>IF(L13=1,Thermostat!$C$5,Thermostat!$C$6)</f>
        <v>75</v>
      </c>
      <c r="M28" s="463">
        <f>IF(M13=1,Thermostat!$C$5,Thermostat!$C$6)</f>
        <v>75</v>
      </c>
      <c r="N28" s="463">
        <f>IF(N13=1,Thermostat!$C$5,Thermostat!$C$6)</f>
        <v>75</v>
      </c>
      <c r="O28" s="463">
        <f>IF(O13=1,Thermostat!$C$5,Thermostat!$C$6)</f>
        <v>75</v>
      </c>
      <c r="P28" s="463">
        <f>IF(P13=1,Thermostat!$C$5,Thermostat!$C$6)</f>
        <v>75</v>
      </c>
      <c r="Q28" s="463">
        <f>IF(Q13=1,Thermostat!$C$5,Thermostat!$C$6)</f>
        <v>75</v>
      </c>
      <c r="R28" s="463">
        <f>IF(R13=1,Thermostat!$C$5,Thermostat!$C$6)</f>
        <v>75</v>
      </c>
      <c r="S28" s="463">
        <f>IF(S13=1,Thermostat!$C$5,Thermostat!$C$6)</f>
        <v>75</v>
      </c>
      <c r="T28" s="463">
        <f>IF(T13=1,Thermostat!$C$5,Thermostat!$C$6)</f>
        <v>75</v>
      </c>
      <c r="U28" s="463">
        <f>IF(U13=1,Thermostat!$C$5,Thermostat!$C$6)</f>
        <v>75</v>
      </c>
      <c r="V28" s="463">
        <f>IF(V13=1,Thermostat!$C$5,Thermostat!$C$6)</f>
        <v>75</v>
      </c>
      <c r="W28" s="463">
        <f>IF(W13=1,Thermostat!$C$5,Thermostat!$C$6)</f>
        <v>75</v>
      </c>
      <c r="X28" s="463">
        <f>IF(X13=1,Thermostat!$C$5,Thermostat!$C$6)</f>
        <v>75</v>
      </c>
      <c r="Y28" s="463">
        <f>IF(Y13=1,Thermostat!$C$5,Thermostat!$C$6)</f>
        <v>75</v>
      </c>
      <c r="Z28" s="463">
        <f>IF(Z13=1,Thermostat!$C$5,Thermostat!$C$6)</f>
        <v>75</v>
      </c>
      <c r="AA28" s="463">
        <f>IF(AA13=1,Thermostat!$C$5,Thermostat!$C$6)</f>
        <v>75</v>
      </c>
      <c r="AB28" s="463">
        <f>IF(AB13=1,Thermostat!$C$5,Thermostat!$C$6)</f>
        <v>75</v>
      </c>
      <c r="AC28" s="464">
        <f>IF(AC13=1,Thermostat!$C$5,Thermostat!$C$6)</f>
        <v>75</v>
      </c>
      <c r="AD28" s="90"/>
      <c r="AE28" s="90"/>
      <c r="AF28" s="90"/>
      <c r="AG28" s="90"/>
      <c r="AH28" s="90"/>
      <c r="AI28" s="90"/>
      <c r="AJ28" s="90"/>
      <c r="AK28" s="90"/>
      <c r="AM28" s="100"/>
    </row>
    <row r="29" spans="1:39" ht="38.700000000000003" customHeight="1" x14ac:dyDescent="0.3">
      <c r="A29" s="991"/>
      <c r="B29" s="993"/>
      <c r="C29" s="952"/>
      <c r="D29" s="1035"/>
      <c r="E29" s="465" t="s">
        <v>620</v>
      </c>
      <c r="F29" s="466">
        <f>IF(F14=1,Thermostat!$C$5,Thermostat!$C$6)</f>
        <v>75</v>
      </c>
      <c r="G29" s="466">
        <f>IF(G14=1,Thermostat!$C$5,Thermostat!$C$6)</f>
        <v>85</v>
      </c>
      <c r="H29" s="466">
        <f>IF(H14=1,Thermostat!$C$5,Thermostat!$C$6)</f>
        <v>85</v>
      </c>
      <c r="I29" s="466">
        <f>IF(I14=1,Thermostat!$C$5,Thermostat!$C$6)</f>
        <v>85</v>
      </c>
      <c r="J29" s="466">
        <f>IF(J14=1,Thermostat!$C$5,Thermostat!$C$6)</f>
        <v>85</v>
      </c>
      <c r="K29" s="466">
        <f>IF(K14=1,Thermostat!$C$5,Thermostat!$C$6)</f>
        <v>75</v>
      </c>
      <c r="L29" s="466">
        <f>IF(L14=1,Thermostat!$C$5,Thermostat!$C$6)</f>
        <v>75</v>
      </c>
      <c r="M29" s="466">
        <f>IF(M14=1,Thermostat!$C$5,Thermostat!$C$6)</f>
        <v>75</v>
      </c>
      <c r="N29" s="466">
        <f>IF(N14=1,Thermostat!$C$5,Thermostat!$C$6)</f>
        <v>75</v>
      </c>
      <c r="O29" s="466">
        <f>IF(O14=1,Thermostat!$C$5,Thermostat!$C$6)</f>
        <v>75</v>
      </c>
      <c r="P29" s="466">
        <f>IF(P14=1,Thermostat!$C$5,Thermostat!$C$6)</f>
        <v>75</v>
      </c>
      <c r="Q29" s="466">
        <f>IF(Q14=1,Thermostat!$C$5,Thermostat!$C$6)</f>
        <v>75</v>
      </c>
      <c r="R29" s="466">
        <f>IF(R14=1,Thermostat!$C$5,Thermostat!$C$6)</f>
        <v>75</v>
      </c>
      <c r="S29" s="466">
        <f>IF(S14=1,Thermostat!$C$5,Thermostat!$C$6)</f>
        <v>75</v>
      </c>
      <c r="T29" s="466">
        <f>IF(T14=1,Thermostat!$C$5,Thermostat!$C$6)</f>
        <v>75</v>
      </c>
      <c r="U29" s="466">
        <f>IF(U14=1,Thermostat!$C$5,Thermostat!$C$6)</f>
        <v>75</v>
      </c>
      <c r="V29" s="466">
        <f>IF(V14=1,Thermostat!$C$5,Thermostat!$C$6)</f>
        <v>75</v>
      </c>
      <c r="W29" s="466">
        <f>IF(W14=1,Thermostat!$C$5,Thermostat!$C$6)</f>
        <v>75</v>
      </c>
      <c r="X29" s="466">
        <f>IF(X14=1,Thermostat!$C$5,Thermostat!$C$6)</f>
        <v>75</v>
      </c>
      <c r="Y29" s="466">
        <f>IF(Y14=1,Thermostat!$C$5,Thermostat!$C$6)</f>
        <v>75</v>
      </c>
      <c r="Z29" s="466">
        <f>IF(Z14=1,Thermostat!$C$5,Thermostat!$C$6)</f>
        <v>75</v>
      </c>
      <c r="AA29" s="466">
        <f>IF(AA14=1,Thermostat!$C$5,Thermostat!$C$6)</f>
        <v>75</v>
      </c>
      <c r="AB29" s="466">
        <f>IF(AB14=1,Thermostat!$C$5,Thermostat!$C$6)</f>
        <v>75</v>
      </c>
      <c r="AC29" s="467">
        <f>IF(AC14=1,Thermostat!$C$5,Thermostat!$C$6)</f>
        <v>75</v>
      </c>
      <c r="AD29" s="90"/>
      <c r="AE29" s="90"/>
      <c r="AF29" s="90"/>
      <c r="AG29" s="90"/>
      <c r="AH29" s="90"/>
      <c r="AI29" s="90"/>
      <c r="AJ29" s="90"/>
      <c r="AK29" s="90"/>
      <c r="AM29" s="100"/>
    </row>
    <row r="30" spans="1:39" ht="38.700000000000003" customHeight="1" x14ac:dyDescent="0.3">
      <c r="A30" s="1026"/>
      <c r="B30" s="1027"/>
      <c r="C30" s="1033"/>
      <c r="D30" s="1036"/>
      <c r="E30" s="468" t="s">
        <v>621</v>
      </c>
      <c r="F30" s="469">
        <f>IF(F15=1,Thermostat!$C$5,Thermostat!$C$6)</f>
        <v>75</v>
      </c>
      <c r="G30" s="469">
        <f>IF(G15=1,Thermostat!$C$5,Thermostat!$C$6)</f>
        <v>85</v>
      </c>
      <c r="H30" s="469">
        <f>IF(H15=1,Thermostat!$C$5,Thermostat!$C$6)</f>
        <v>85</v>
      </c>
      <c r="I30" s="469">
        <f>IF(I15=1,Thermostat!$C$5,Thermostat!$C$6)</f>
        <v>85</v>
      </c>
      <c r="J30" s="469">
        <f>IF(J15=1,Thermostat!$C$5,Thermostat!$C$6)</f>
        <v>85</v>
      </c>
      <c r="K30" s="469">
        <f>IF(K15=1,Thermostat!$C$5,Thermostat!$C$6)</f>
        <v>75</v>
      </c>
      <c r="L30" s="469">
        <f>IF(L15=1,Thermostat!$C$5,Thermostat!$C$6)</f>
        <v>75</v>
      </c>
      <c r="M30" s="469">
        <f>IF(M15=1,Thermostat!$C$5,Thermostat!$C$6)</f>
        <v>75</v>
      </c>
      <c r="N30" s="469">
        <f>IF(N15=1,Thermostat!$C$5,Thermostat!$C$6)</f>
        <v>75</v>
      </c>
      <c r="O30" s="469">
        <f>IF(O15=1,Thermostat!$C$5,Thermostat!$C$6)</f>
        <v>75</v>
      </c>
      <c r="P30" s="469">
        <f>IF(P15=1,Thermostat!$C$5,Thermostat!$C$6)</f>
        <v>75</v>
      </c>
      <c r="Q30" s="469">
        <f>IF(Q15=1,Thermostat!$C$5,Thermostat!$C$6)</f>
        <v>75</v>
      </c>
      <c r="R30" s="469">
        <f>IF(R15=1,Thermostat!$C$5,Thermostat!$C$6)</f>
        <v>75</v>
      </c>
      <c r="S30" s="469">
        <f>IF(S15=1,Thermostat!$C$5,Thermostat!$C$6)</f>
        <v>75</v>
      </c>
      <c r="T30" s="469">
        <f>IF(T15=1,Thermostat!$C$5,Thermostat!$C$6)</f>
        <v>75</v>
      </c>
      <c r="U30" s="469">
        <f>IF(U15=1,Thermostat!$C$5,Thermostat!$C$6)</f>
        <v>75</v>
      </c>
      <c r="V30" s="469">
        <f>IF(V15=1,Thermostat!$C$5,Thermostat!$C$6)</f>
        <v>75</v>
      </c>
      <c r="W30" s="469">
        <f>IF(W15=1,Thermostat!$C$5,Thermostat!$C$6)</f>
        <v>75</v>
      </c>
      <c r="X30" s="469">
        <f>IF(X15=1,Thermostat!$C$5,Thermostat!$C$6)</f>
        <v>75</v>
      </c>
      <c r="Y30" s="469">
        <f>IF(Y15=1,Thermostat!$C$5,Thermostat!$C$6)</f>
        <v>75</v>
      </c>
      <c r="Z30" s="469">
        <f>IF(Z15=1,Thermostat!$C$5,Thermostat!$C$6)</f>
        <v>75</v>
      </c>
      <c r="AA30" s="469">
        <f>IF(AA15=1,Thermostat!$C$5,Thermostat!$C$6)</f>
        <v>75</v>
      </c>
      <c r="AB30" s="469">
        <f>IF(AB15=1,Thermostat!$C$5,Thermostat!$C$6)</f>
        <v>75</v>
      </c>
      <c r="AC30" s="470">
        <f>IF(AC15=1,Thermostat!$C$5,Thermostat!$C$6)</f>
        <v>75</v>
      </c>
      <c r="AD30" s="90"/>
      <c r="AE30" s="90"/>
      <c r="AF30" s="90"/>
      <c r="AG30" s="90"/>
      <c r="AH30" s="90"/>
      <c r="AI30" s="90"/>
      <c r="AJ30" s="90"/>
      <c r="AK30" s="90"/>
      <c r="AM30" s="100"/>
    </row>
    <row r="31" spans="1:39" ht="29.4" customHeight="1" x14ac:dyDescent="0.3">
      <c r="A31" s="967" t="s">
        <v>108</v>
      </c>
      <c r="B31" s="967"/>
      <c r="C31" s="967"/>
      <c r="D31" s="967"/>
      <c r="E31" s="967"/>
      <c r="F31" s="967"/>
      <c r="G31" s="967"/>
      <c r="H31" s="967"/>
      <c r="I31" s="967"/>
      <c r="J31" s="967"/>
      <c r="K31" s="967"/>
      <c r="L31" s="967"/>
      <c r="M31" s="967"/>
      <c r="N31" s="967"/>
      <c r="O31" s="967"/>
      <c r="P31" s="967"/>
      <c r="Q31" s="967"/>
      <c r="R31" s="967"/>
      <c r="S31" s="967"/>
      <c r="T31" s="967"/>
      <c r="U31" s="967"/>
      <c r="V31" s="967"/>
      <c r="W31" s="967"/>
      <c r="X31" s="967"/>
      <c r="Y31" s="967"/>
      <c r="Z31" s="967"/>
      <c r="AA31" s="967"/>
      <c r="AB31" s="967"/>
      <c r="AC31" s="967"/>
      <c r="AD31" s="91"/>
      <c r="AE31" s="90"/>
      <c r="AF31" s="90"/>
      <c r="AG31" s="90"/>
      <c r="AH31" s="90"/>
      <c r="AI31" s="90"/>
      <c r="AJ31" s="90"/>
      <c r="AK31" s="90"/>
    </row>
    <row r="32" spans="1:39" ht="33" customHeight="1" thickBot="1" x14ac:dyDescent="0.35">
      <c r="A32" s="989" t="s">
        <v>108</v>
      </c>
      <c r="B32" s="936" t="s">
        <v>108</v>
      </c>
      <c r="C32" s="936" t="s">
        <v>635</v>
      </c>
      <c r="D32" s="1007" t="s">
        <v>618</v>
      </c>
      <c r="E32" s="455" t="s">
        <v>619</v>
      </c>
      <c r="F32" s="334">
        <v>0.05</v>
      </c>
      <c r="G32" s="334">
        <v>0</v>
      </c>
      <c r="H32" s="334">
        <v>0</v>
      </c>
      <c r="I32" s="334">
        <v>0</v>
      </c>
      <c r="J32" s="334">
        <v>0</v>
      </c>
      <c r="K32" s="334">
        <v>0.05</v>
      </c>
      <c r="L32" s="334">
        <v>0.1</v>
      </c>
      <c r="M32" s="334">
        <v>0.4</v>
      </c>
      <c r="N32" s="334">
        <v>0.4</v>
      </c>
      <c r="O32" s="334">
        <v>0.4</v>
      </c>
      <c r="P32" s="334">
        <v>0.2</v>
      </c>
      <c r="Q32" s="334">
        <v>0.5</v>
      </c>
      <c r="R32" s="334">
        <v>0.8</v>
      </c>
      <c r="S32" s="334">
        <v>0.7</v>
      </c>
      <c r="T32" s="334">
        <v>0.4</v>
      </c>
      <c r="U32" s="334">
        <v>0.2</v>
      </c>
      <c r="V32" s="334">
        <v>0.25</v>
      </c>
      <c r="W32" s="334">
        <v>0.5</v>
      </c>
      <c r="X32" s="334">
        <v>0.8</v>
      </c>
      <c r="Y32" s="334">
        <v>0.8</v>
      </c>
      <c r="Z32" s="334">
        <v>0.8</v>
      </c>
      <c r="AA32" s="334">
        <v>0.5</v>
      </c>
      <c r="AB32" s="334">
        <v>0.35</v>
      </c>
      <c r="AC32" s="335">
        <v>0.2</v>
      </c>
      <c r="AD32" s="90"/>
      <c r="AE32" s="90"/>
      <c r="AF32" s="90"/>
      <c r="AG32" s="90"/>
      <c r="AH32" s="90"/>
      <c r="AI32" s="90"/>
      <c r="AJ32" s="90"/>
      <c r="AK32" s="90"/>
    </row>
    <row r="33" spans="1:39" ht="33" customHeight="1" thickBot="1" x14ac:dyDescent="0.35">
      <c r="A33" s="945"/>
      <c r="B33" s="924"/>
      <c r="C33" s="924"/>
      <c r="D33" s="1008"/>
      <c r="E33" s="456" t="s">
        <v>620</v>
      </c>
      <c r="F33" s="144">
        <v>0.05</v>
      </c>
      <c r="G33" s="144">
        <v>0</v>
      </c>
      <c r="H33" s="144">
        <v>0</v>
      </c>
      <c r="I33" s="144">
        <v>0</v>
      </c>
      <c r="J33" s="144">
        <v>0</v>
      </c>
      <c r="K33" s="144">
        <v>0</v>
      </c>
      <c r="L33" s="144">
        <v>0.05</v>
      </c>
      <c r="M33" s="144">
        <v>0.5</v>
      </c>
      <c r="N33" s="144">
        <v>0.5</v>
      </c>
      <c r="O33" s="144">
        <v>0.4</v>
      </c>
      <c r="P33" s="144">
        <v>0.2</v>
      </c>
      <c r="Q33" s="144">
        <v>0.45</v>
      </c>
      <c r="R33" s="144">
        <v>0.5</v>
      </c>
      <c r="S33" s="144">
        <v>0.5</v>
      </c>
      <c r="T33" s="144">
        <v>0.35</v>
      </c>
      <c r="U33" s="144">
        <v>0.3</v>
      </c>
      <c r="V33" s="144">
        <v>0.3</v>
      </c>
      <c r="W33" s="144">
        <v>0.3</v>
      </c>
      <c r="X33" s="144">
        <v>0.7</v>
      </c>
      <c r="Y33" s="144">
        <v>0.9</v>
      </c>
      <c r="Z33" s="144">
        <v>0.7</v>
      </c>
      <c r="AA33" s="144">
        <v>0.65</v>
      </c>
      <c r="AB33" s="144">
        <v>0.55000000000000004</v>
      </c>
      <c r="AC33" s="337">
        <v>0.35</v>
      </c>
      <c r="AD33" s="90"/>
      <c r="AE33" s="90"/>
      <c r="AF33" s="90"/>
      <c r="AG33" s="90"/>
      <c r="AH33" s="90"/>
      <c r="AI33" s="90"/>
      <c r="AJ33" s="90"/>
      <c r="AK33" s="90"/>
    </row>
    <row r="34" spans="1:39" ht="33" customHeight="1" thickBot="1" x14ac:dyDescent="0.35">
      <c r="A34" s="944"/>
      <c r="B34" s="986"/>
      <c r="C34" s="986"/>
      <c r="D34" s="1009"/>
      <c r="E34" s="457" t="s">
        <v>621</v>
      </c>
      <c r="F34" s="339">
        <v>0.05</v>
      </c>
      <c r="G34" s="339">
        <v>0</v>
      </c>
      <c r="H34" s="339">
        <v>0</v>
      </c>
      <c r="I34" s="339">
        <v>0</v>
      </c>
      <c r="J34" s="339">
        <v>0</v>
      </c>
      <c r="K34" s="339">
        <v>0</v>
      </c>
      <c r="L34" s="339">
        <v>0.05</v>
      </c>
      <c r="M34" s="339">
        <v>0.5</v>
      </c>
      <c r="N34" s="339">
        <v>0.5</v>
      </c>
      <c r="O34" s="339">
        <v>0.2</v>
      </c>
      <c r="P34" s="339">
        <v>0.2</v>
      </c>
      <c r="Q34" s="339">
        <v>0.3</v>
      </c>
      <c r="R34" s="339">
        <v>0.5</v>
      </c>
      <c r="S34" s="339">
        <v>0.5</v>
      </c>
      <c r="T34" s="339">
        <v>0.3</v>
      </c>
      <c r="U34" s="339">
        <v>0.2</v>
      </c>
      <c r="V34" s="339">
        <v>0.25</v>
      </c>
      <c r="W34" s="339">
        <v>0.35</v>
      </c>
      <c r="X34" s="339">
        <v>0.55000000000000004</v>
      </c>
      <c r="Y34" s="339">
        <v>0.65</v>
      </c>
      <c r="Z34" s="339">
        <v>0.7</v>
      </c>
      <c r="AA34" s="339">
        <v>0.35</v>
      </c>
      <c r="AB34" s="339">
        <v>0.2</v>
      </c>
      <c r="AC34" s="340">
        <v>0.2</v>
      </c>
      <c r="AD34" s="90"/>
      <c r="AE34" s="90"/>
      <c r="AF34" s="90"/>
      <c r="AG34" s="90"/>
      <c r="AH34" s="90"/>
      <c r="AI34" s="90"/>
      <c r="AJ34" s="90"/>
      <c r="AK34" s="90"/>
    </row>
    <row r="35" spans="1:39" ht="34.950000000000003" customHeight="1" thickBot="1" x14ac:dyDescent="0.35">
      <c r="A35" s="989" t="s">
        <v>108</v>
      </c>
      <c r="B35" s="936" t="s">
        <v>108</v>
      </c>
      <c r="C35" s="1037" t="s">
        <v>622</v>
      </c>
      <c r="D35" s="983" t="s">
        <v>623</v>
      </c>
      <c r="E35" s="150" t="s">
        <v>619</v>
      </c>
      <c r="F35" s="151">
        <v>0.15</v>
      </c>
      <c r="G35" s="151">
        <v>0.15</v>
      </c>
      <c r="H35" s="151">
        <v>0.15</v>
      </c>
      <c r="I35" s="151">
        <v>0.15</v>
      </c>
      <c r="J35" s="151">
        <v>0.15</v>
      </c>
      <c r="K35" s="151">
        <v>0.2</v>
      </c>
      <c r="L35" s="352">
        <v>0.3</v>
      </c>
      <c r="M35" s="352">
        <f t="shared" ref="M35:AB35" si="3">M38-5%</f>
        <v>0.66999999999999993</v>
      </c>
      <c r="N35" s="352">
        <f t="shared" si="3"/>
        <v>0.73</v>
      </c>
      <c r="O35" s="352">
        <f t="shared" si="3"/>
        <v>0.75</v>
      </c>
      <c r="P35" s="352">
        <f t="shared" si="3"/>
        <v>0.85</v>
      </c>
      <c r="Q35" s="352">
        <f t="shared" si="3"/>
        <v>0.85</v>
      </c>
      <c r="R35" s="352">
        <f t="shared" si="3"/>
        <v>0.85</v>
      </c>
      <c r="S35" s="352">
        <f t="shared" si="3"/>
        <v>0.83</v>
      </c>
      <c r="T35" s="352">
        <f t="shared" si="3"/>
        <v>0.72</v>
      </c>
      <c r="U35" s="352">
        <f t="shared" si="3"/>
        <v>0.64999999999999991</v>
      </c>
      <c r="V35" s="352">
        <f t="shared" si="3"/>
        <v>0.66999999999999993</v>
      </c>
      <c r="W35" s="352">
        <f t="shared" si="3"/>
        <v>0.75</v>
      </c>
      <c r="X35" s="352">
        <f t="shared" si="3"/>
        <v>0.85</v>
      </c>
      <c r="Y35" s="352">
        <f t="shared" si="3"/>
        <v>0.85</v>
      </c>
      <c r="Z35" s="352">
        <f t="shared" si="3"/>
        <v>0.85</v>
      </c>
      <c r="AA35" s="352">
        <f t="shared" si="3"/>
        <v>0.75</v>
      </c>
      <c r="AB35" s="352">
        <f t="shared" si="3"/>
        <v>0.56999999999999995</v>
      </c>
      <c r="AC35" s="152">
        <v>0.3</v>
      </c>
      <c r="AD35" s="257"/>
      <c r="AE35" s="90"/>
      <c r="AF35" s="90"/>
      <c r="AG35" s="90"/>
      <c r="AH35" s="90"/>
      <c r="AI35" s="90"/>
      <c r="AJ35" s="90"/>
      <c r="AK35" s="90"/>
      <c r="AM35" s="100"/>
    </row>
    <row r="36" spans="1:39" ht="36" customHeight="1" thickBot="1" x14ac:dyDescent="0.35">
      <c r="A36" s="945"/>
      <c r="B36" s="924"/>
      <c r="C36" s="1038"/>
      <c r="D36" s="980"/>
      <c r="E36" s="143" t="s">
        <v>620</v>
      </c>
      <c r="F36" s="353">
        <f>F39</f>
        <v>0.15</v>
      </c>
      <c r="G36" s="144">
        <v>0.15</v>
      </c>
      <c r="H36" s="144">
        <v>0.15</v>
      </c>
      <c r="I36" s="144">
        <v>0.15</v>
      </c>
      <c r="J36" s="144">
        <v>0.15</v>
      </c>
      <c r="K36" s="353">
        <f>K39</f>
        <v>0.2</v>
      </c>
      <c r="L36" s="144">
        <v>0.3</v>
      </c>
      <c r="M36" s="353">
        <f t="shared" ref="M36:AB36" si="4">M39-5%</f>
        <v>0.66999999999999993</v>
      </c>
      <c r="N36" s="353">
        <f t="shared" si="4"/>
        <v>0.73</v>
      </c>
      <c r="O36" s="353">
        <f t="shared" si="4"/>
        <v>0.75</v>
      </c>
      <c r="P36" s="353">
        <f t="shared" si="4"/>
        <v>0.85</v>
      </c>
      <c r="Q36" s="353">
        <f t="shared" si="4"/>
        <v>0.85</v>
      </c>
      <c r="R36" s="353">
        <f t="shared" si="4"/>
        <v>0.85</v>
      </c>
      <c r="S36" s="353">
        <f t="shared" si="4"/>
        <v>0.83</v>
      </c>
      <c r="T36" s="353">
        <f t="shared" si="4"/>
        <v>0.72</v>
      </c>
      <c r="U36" s="353">
        <f t="shared" si="4"/>
        <v>0.64999999999999991</v>
      </c>
      <c r="V36" s="353">
        <f t="shared" si="4"/>
        <v>0.66999999999999993</v>
      </c>
      <c r="W36" s="353">
        <f t="shared" si="4"/>
        <v>0.75</v>
      </c>
      <c r="X36" s="353">
        <f t="shared" si="4"/>
        <v>0.85</v>
      </c>
      <c r="Y36" s="353">
        <f t="shared" si="4"/>
        <v>0.85</v>
      </c>
      <c r="Z36" s="353">
        <f t="shared" si="4"/>
        <v>0.85</v>
      </c>
      <c r="AA36" s="353">
        <f t="shared" si="4"/>
        <v>0.75</v>
      </c>
      <c r="AB36" s="353">
        <f t="shared" si="4"/>
        <v>0.56999999999999995</v>
      </c>
      <c r="AC36" s="145">
        <v>0.3</v>
      </c>
      <c r="AD36" s="257"/>
      <c r="AE36" s="90"/>
      <c r="AF36" s="90"/>
      <c r="AG36" s="90"/>
      <c r="AH36" s="90"/>
      <c r="AI36" s="90"/>
      <c r="AJ36" s="90"/>
      <c r="AK36" s="90"/>
      <c r="AM36" s="100"/>
    </row>
    <row r="37" spans="1:39" ht="32.4" customHeight="1" thickBot="1" x14ac:dyDescent="0.35">
      <c r="A37" s="990"/>
      <c r="B37" s="981"/>
      <c r="C37" s="981"/>
      <c r="D37" s="984"/>
      <c r="E37" s="146" t="s">
        <v>621</v>
      </c>
      <c r="F37" s="147">
        <v>0.2</v>
      </c>
      <c r="G37" s="147">
        <v>0.15</v>
      </c>
      <c r="H37" s="147">
        <v>0.15</v>
      </c>
      <c r="I37" s="147">
        <v>0.15</v>
      </c>
      <c r="J37" s="147">
        <v>0.15</v>
      </c>
      <c r="K37" s="147">
        <v>0.15</v>
      </c>
      <c r="L37" s="147">
        <v>0.3</v>
      </c>
      <c r="M37" s="354">
        <f t="shared" ref="M37:AB37" si="5">M40-5%</f>
        <v>0.66999999999999993</v>
      </c>
      <c r="N37" s="354">
        <f t="shared" si="5"/>
        <v>0.73</v>
      </c>
      <c r="O37" s="354">
        <f t="shared" si="5"/>
        <v>0.75</v>
      </c>
      <c r="P37" s="354">
        <f t="shared" si="5"/>
        <v>0.85</v>
      </c>
      <c r="Q37" s="354">
        <f t="shared" si="5"/>
        <v>0.85</v>
      </c>
      <c r="R37" s="354">
        <f t="shared" si="5"/>
        <v>0.85</v>
      </c>
      <c r="S37" s="354">
        <f t="shared" si="5"/>
        <v>0.83</v>
      </c>
      <c r="T37" s="354">
        <f t="shared" si="5"/>
        <v>0.72</v>
      </c>
      <c r="U37" s="354">
        <f t="shared" si="5"/>
        <v>0.64999999999999991</v>
      </c>
      <c r="V37" s="354">
        <f t="shared" si="5"/>
        <v>0.66999999999999993</v>
      </c>
      <c r="W37" s="354">
        <f t="shared" si="5"/>
        <v>0.75</v>
      </c>
      <c r="X37" s="354">
        <f t="shared" si="5"/>
        <v>0.85</v>
      </c>
      <c r="Y37" s="354">
        <f t="shared" si="5"/>
        <v>0.85</v>
      </c>
      <c r="Z37" s="354">
        <f t="shared" si="5"/>
        <v>0.85</v>
      </c>
      <c r="AA37" s="354">
        <f t="shared" si="5"/>
        <v>0.75</v>
      </c>
      <c r="AB37" s="354">
        <f t="shared" si="5"/>
        <v>0.56999999999999995</v>
      </c>
      <c r="AC37" s="148">
        <v>0.3</v>
      </c>
      <c r="AD37" s="257"/>
      <c r="AE37" s="90"/>
      <c r="AF37" s="90"/>
      <c r="AG37" s="90"/>
      <c r="AH37" s="90"/>
      <c r="AI37" s="90"/>
      <c r="AJ37" s="90"/>
      <c r="AK37" s="90"/>
      <c r="AM37" s="100"/>
    </row>
    <row r="38" spans="1:39" ht="38.700000000000003" customHeight="1" x14ac:dyDescent="0.3">
      <c r="A38" s="998" t="s">
        <v>108</v>
      </c>
      <c r="B38" s="999" t="s">
        <v>108</v>
      </c>
      <c r="C38" s="1043" t="s">
        <v>624</v>
      </c>
      <c r="D38" s="1044" t="s">
        <v>625</v>
      </c>
      <c r="E38" s="471" t="s">
        <v>619</v>
      </c>
      <c r="F38" s="334">
        <v>0.15</v>
      </c>
      <c r="G38" s="334">
        <v>0.15</v>
      </c>
      <c r="H38" s="334">
        <v>0.15</v>
      </c>
      <c r="I38" s="334">
        <v>0.15</v>
      </c>
      <c r="J38" s="334">
        <v>0.15</v>
      </c>
      <c r="K38" s="334">
        <v>0.2</v>
      </c>
      <c r="L38" s="346">
        <v>0.3</v>
      </c>
      <c r="M38" s="346">
        <v>0.72</v>
      </c>
      <c r="N38" s="346">
        <v>0.78</v>
      </c>
      <c r="O38" s="346">
        <v>0.8</v>
      </c>
      <c r="P38" s="334">
        <v>0.9</v>
      </c>
      <c r="Q38" s="334">
        <v>0.9</v>
      </c>
      <c r="R38" s="334">
        <v>0.9</v>
      </c>
      <c r="S38" s="346">
        <v>0.88</v>
      </c>
      <c r="T38" s="346">
        <v>0.77</v>
      </c>
      <c r="U38" s="346">
        <v>0.7</v>
      </c>
      <c r="V38" s="346">
        <v>0.72</v>
      </c>
      <c r="W38" s="346">
        <v>0.8</v>
      </c>
      <c r="X38" s="334">
        <v>0.9</v>
      </c>
      <c r="Y38" s="334">
        <v>0.9</v>
      </c>
      <c r="Z38" s="334">
        <v>0.9</v>
      </c>
      <c r="AA38" s="346">
        <v>0.8</v>
      </c>
      <c r="AB38" s="346">
        <v>0.62</v>
      </c>
      <c r="AC38" s="335">
        <v>0.3</v>
      </c>
      <c r="AD38" s="90"/>
      <c r="AE38" s="90"/>
      <c r="AF38" s="90"/>
      <c r="AG38" s="90"/>
      <c r="AH38" s="90"/>
      <c r="AI38" s="90"/>
      <c r="AJ38" s="90"/>
      <c r="AK38" s="90"/>
      <c r="AM38" s="100"/>
    </row>
    <row r="39" spans="1:39" ht="33" customHeight="1" x14ac:dyDescent="0.3">
      <c r="A39" s="998"/>
      <c r="B39" s="999"/>
      <c r="C39" s="1043"/>
      <c r="D39" s="1044"/>
      <c r="E39" s="143" t="s">
        <v>620</v>
      </c>
      <c r="F39" s="344">
        <v>0.15</v>
      </c>
      <c r="G39" s="144">
        <v>0.15</v>
      </c>
      <c r="H39" s="144">
        <v>0.15</v>
      </c>
      <c r="I39" s="144">
        <v>0.15</v>
      </c>
      <c r="J39" s="144">
        <v>0.15</v>
      </c>
      <c r="K39" s="344">
        <v>0.2</v>
      </c>
      <c r="L39" s="144">
        <v>0.3</v>
      </c>
      <c r="M39" s="344">
        <v>0.72</v>
      </c>
      <c r="N39" s="344">
        <v>0.78</v>
      </c>
      <c r="O39" s="344">
        <v>0.8</v>
      </c>
      <c r="P39" s="344">
        <v>0.9</v>
      </c>
      <c r="Q39" s="344">
        <v>0.9</v>
      </c>
      <c r="R39" s="344">
        <v>0.9</v>
      </c>
      <c r="S39" s="344">
        <v>0.88</v>
      </c>
      <c r="T39" s="344">
        <v>0.77</v>
      </c>
      <c r="U39" s="344">
        <v>0.7</v>
      </c>
      <c r="V39" s="344">
        <v>0.72</v>
      </c>
      <c r="W39" s="344">
        <v>0.8</v>
      </c>
      <c r="X39" s="144">
        <v>0.9</v>
      </c>
      <c r="Y39" s="144">
        <v>0.9</v>
      </c>
      <c r="Z39" s="144">
        <v>0.9</v>
      </c>
      <c r="AA39" s="344">
        <v>0.8</v>
      </c>
      <c r="AB39" s="344">
        <v>0.62</v>
      </c>
      <c r="AC39" s="337">
        <v>0.3</v>
      </c>
      <c r="AD39" s="90"/>
      <c r="AE39" s="90"/>
      <c r="AF39" s="90"/>
      <c r="AG39" s="90"/>
      <c r="AH39" s="90"/>
      <c r="AI39" s="90"/>
      <c r="AJ39" s="90"/>
      <c r="AK39" s="90"/>
      <c r="AM39" s="100"/>
    </row>
    <row r="40" spans="1:39" ht="38.700000000000003" customHeight="1" thickBot="1" x14ac:dyDescent="0.35">
      <c r="A40" s="934"/>
      <c r="B40" s="985"/>
      <c r="C40" s="985"/>
      <c r="D40" s="1044"/>
      <c r="E40" s="472" t="s">
        <v>621</v>
      </c>
      <c r="F40" s="345">
        <v>0.2</v>
      </c>
      <c r="G40" s="339">
        <v>0.15</v>
      </c>
      <c r="H40" s="339">
        <v>0.15</v>
      </c>
      <c r="I40" s="339">
        <v>0.15</v>
      </c>
      <c r="J40" s="339">
        <v>0.15</v>
      </c>
      <c r="K40" s="345">
        <v>0.15</v>
      </c>
      <c r="L40" s="339">
        <v>0.3</v>
      </c>
      <c r="M40" s="345">
        <v>0.72</v>
      </c>
      <c r="N40" s="345">
        <v>0.78</v>
      </c>
      <c r="O40" s="345">
        <v>0.8</v>
      </c>
      <c r="P40" s="345">
        <v>0.9</v>
      </c>
      <c r="Q40" s="345">
        <v>0.9</v>
      </c>
      <c r="R40" s="345">
        <v>0.9</v>
      </c>
      <c r="S40" s="345">
        <v>0.88</v>
      </c>
      <c r="T40" s="345">
        <v>0.77</v>
      </c>
      <c r="U40" s="345">
        <v>0.7</v>
      </c>
      <c r="V40" s="345">
        <v>0.72</v>
      </c>
      <c r="W40" s="345">
        <v>0.8</v>
      </c>
      <c r="X40" s="345">
        <v>0.9</v>
      </c>
      <c r="Y40" s="345">
        <v>0.9</v>
      </c>
      <c r="Z40" s="345">
        <v>0.9</v>
      </c>
      <c r="AA40" s="345">
        <v>0.8</v>
      </c>
      <c r="AB40" s="345">
        <v>0.62</v>
      </c>
      <c r="AC40" s="340">
        <v>0.3</v>
      </c>
      <c r="AD40" s="90"/>
      <c r="AE40" s="90"/>
      <c r="AF40" s="90"/>
      <c r="AG40" s="90"/>
      <c r="AH40" s="90"/>
      <c r="AI40" s="90"/>
      <c r="AJ40" s="90"/>
      <c r="AK40" s="90"/>
      <c r="AM40" s="100"/>
    </row>
    <row r="41" spans="1:39" ht="38.700000000000003" customHeight="1" thickBot="1" x14ac:dyDescent="0.35">
      <c r="A41" s="989" t="s">
        <v>108</v>
      </c>
      <c r="B41" s="936" t="s">
        <v>108</v>
      </c>
      <c r="C41" s="982" t="s">
        <v>626</v>
      </c>
      <c r="D41" s="983" t="s">
        <v>627</v>
      </c>
      <c r="E41" s="471" t="s">
        <v>619</v>
      </c>
      <c r="F41" s="334">
        <v>1</v>
      </c>
      <c r="G41" s="349">
        <v>0</v>
      </c>
      <c r="H41" s="349">
        <v>0</v>
      </c>
      <c r="I41" s="334">
        <v>0</v>
      </c>
      <c r="J41" s="349">
        <v>1</v>
      </c>
      <c r="K41" s="349">
        <v>1</v>
      </c>
      <c r="L41" s="334">
        <v>1</v>
      </c>
      <c r="M41" s="334">
        <v>1</v>
      </c>
      <c r="N41" s="334">
        <v>1</v>
      </c>
      <c r="O41" s="334">
        <v>1</v>
      </c>
      <c r="P41" s="334">
        <v>1</v>
      </c>
      <c r="Q41" s="334">
        <v>1</v>
      </c>
      <c r="R41" s="334">
        <v>1</v>
      </c>
      <c r="S41" s="334">
        <v>1</v>
      </c>
      <c r="T41" s="334">
        <v>1</v>
      </c>
      <c r="U41" s="334">
        <v>1</v>
      </c>
      <c r="V41" s="334">
        <v>1</v>
      </c>
      <c r="W41" s="334">
        <v>1</v>
      </c>
      <c r="X41" s="334">
        <v>1</v>
      </c>
      <c r="Y41" s="334">
        <v>1</v>
      </c>
      <c r="Z41" s="334">
        <v>1</v>
      </c>
      <c r="AA41" s="334">
        <v>1</v>
      </c>
      <c r="AB41" s="334">
        <v>1</v>
      </c>
      <c r="AC41" s="335">
        <v>1</v>
      </c>
      <c r="AD41" s="90"/>
      <c r="AE41" s="90"/>
      <c r="AF41" s="90"/>
      <c r="AG41" s="90"/>
      <c r="AH41" s="90"/>
      <c r="AI41" s="90"/>
      <c r="AJ41" s="90"/>
      <c r="AK41" s="90"/>
      <c r="AM41" s="100"/>
    </row>
    <row r="42" spans="1:39" ht="38.700000000000003" customHeight="1" thickBot="1" x14ac:dyDescent="0.35">
      <c r="A42" s="945"/>
      <c r="B42" s="924"/>
      <c r="C42" s="927"/>
      <c r="D42" s="980"/>
      <c r="E42" s="143" t="s">
        <v>620</v>
      </c>
      <c r="F42" s="144">
        <v>1</v>
      </c>
      <c r="G42" s="352">
        <v>0</v>
      </c>
      <c r="H42" s="352">
        <v>0</v>
      </c>
      <c r="I42" s="144">
        <v>0</v>
      </c>
      <c r="J42" s="144">
        <v>0</v>
      </c>
      <c r="K42" s="353">
        <v>1</v>
      </c>
      <c r="L42" s="353">
        <v>1</v>
      </c>
      <c r="M42" s="353">
        <v>1</v>
      </c>
      <c r="N42" s="144">
        <v>1</v>
      </c>
      <c r="O42" s="144">
        <v>1</v>
      </c>
      <c r="P42" s="144">
        <v>1</v>
      </c>
      <c r="Q42" s="144">
        <v>1</v>
      </c>
      <c r="R42" s="144">
        <v>1</v>
      </c>
      <c r="S42" s="144">
        <v>1</v>
      </c>
      <c r="T42" s="144">
        <v>1</v>
      </c>
      <c r="U42" s="144">
        <v>1</v>
      </c>
      <c r="V42" s="144">
        <v>1</v>
      </c>
      <c r="W42" s="144">
        <v>1</v>
      </c>
      <c r="X42" s="144">
        <v>1</v>
      </c>
      <c r="Y42" s="144">
        <v>1</v>
      </c>
      <c r="Z42" s="144">
        <v>1</v>
      </c>
      <c r="AA42" s="144">
        <v>1</v>
      </c>
      <c r="AB42" s="144">
        <v>1</v>
      </c>
      <c r="AC42" s="337">
        <v>1</v>
      </c>
      <c r="AD42" s="90"/>
      <c r="AE42" s="90"/>
      <c r="AF42" s="90"/>
      <c r="AG42" s="90"/>
      <c r="AH42" s="90"/>
      <c r="AI42" s="90"/>
      <c r="AJ42" s="90"/>
      <c r="AK42" s="90"/>
      <c r="AM42" s="100"/>
    </row>
    <row r="43" spans="1:39" ht="38.700000000000003" customHeight="1" thickBot="1" x14ac:dyDescent="0.35">
      <c r="A43" s="990"/>
      <c r="B43" s="981"/>
      <c r="C43" s="940"/>
      <c r="D43" s="984"/>
      <c r="E43" s="472" t="s">
        <v>621</v>
      </c>
      <c r="F43" s="339">
        <v>1</v>
      </c>
      <c r="G43" s="355">
        <v>0</v>
      </c>
      <c r="H43" s="355">
        <v>0</v>
      </c>
      <c r="I43" s="339">
        <v>0</v>
      </c>
      <c r="J43" s="339">
        <v>0</v>
      </c>
      <c r="K43" s="356">
        <v>1</v>
      </c>
      <c r="L43" s="356">
        <v>1</v>
      </c>
      <c r="M43" s="356">
        <v>1</v>
      </c>
      <c r="N43" s="356">
        <v>1</v>
      </c>
      <c r="O43" s="339">
        <v>1</v>
      </c>
      <c r="P43" s="339">
        <v>1</v>
      </c>
      <c r="Q43" s="339">
        <v>1</v>
      </c>
      <c r="R43" s="339">
        <v>1</v>
      </c>
      <c r="S43" s="339">
        <v>1</v>
      </c>
      <c r="T43" s="339">
        <v>1</v>
      </c>
      <c r="U43" s="339">
        <v>1</v>
      </c>
      <c r="V43" s="339">
        <v>1</v>
      </c>
      <c r="W43" s="339">
        <v>1</v>
      </c>
      <c r="X43" s="339">
        <v>1</v>
      </c>
      <c r="Y43" s="339">
        <v>1</v>
      </c>
      <c r="Z43" s="339">
        <v>1</v>
      </c>
      <c r="AA43" s="339">
        <v>1</v>
      </c>
      <c r="AB43" s="339">
        <v>1</v>
      </c>
      <c r="AC43" s="340">
        <v>1</v>
      </c>
      <c r="AD43" s="90"/>
      <c r="AE43" s="90"/>
      <c r="AF43" s="90"/>
      <c r="AG43" s="90"/>
      <c r="AH43" s="90"/>
      <c r="AI43" s="90"/>
      <c r="AJ43" s="90"/>
      <c r="AK43" s="90"/>
      <c r="AM43" s="100"/>
    </row>
    <row r="44" spans="1:39" ht="33.6" customHeight="1" thickBot="1" x14ac:dyDescent="0.35">
      <c r="A44" s="934" t="s">
        <v>108</v>
      </c>
      <c r="B44" s="985" t="s">
        <v>108</v>
      </c>
      <c r="C44" s="939" t="s">
        <v>628</v>
      </c>
      <c r="D44" s="988" t="s">
        <v>629</v>
      </c>
      <c r="E44" s="150" t="s">
        <v>619</v>
      </c>
      <c r="F44" s="151">
        <v>0.2</v>
      </c>
      <c r="G44" s="352">
        <v>0</v>
      </c>
      <c r="H44" s="352">
        <v>0</v>
      </c>
      <c r="I44" s="151">
        <v>0</v>
      </c>
      <c r="J44" s="151">
        <v>0</v>
      </c>
      <c r="K44" s="352">
        <v>0.2</v>
      </c>
      <c r="L44" s="352">
        <v>0.2</v>
      </c>
      <c r="M44" s="352">
        <v>0.3</v>
      </c>
      <c r="N44" s="352">
        <v>0.3</v>
      </c>
      <c r="O44" s="151">
        <v>0.3</v>
      </c>
      <c r="P44" s="151">
        <v>0.4</v>
      </c>
      <c r="Q44" s="151">
        <v>0.45</v>
      </c>
      <c r="R44" s="151">
        <v>0.4</v>
      </c>
      <c r="S44" s="151">
        <v>0.35</v>
      </c>
      <c r="T44" s="151">
        <v>0.3</v>
      </c>
      <c r="U44" s="151">
        <v>0.3</v>
      </c>
      <c r="V44" s="151">
        <v>0.3</v>
      </c>
      <c r="W44" s="151">
        <v>0.4</v>
      </c>
      <c r="X44" s="151">
        <v>0.55000000000000004</v>
      </c>
      <c r="Y44" s="151">
        <v>0.6</v>
      </c>
      <c r="Z44" s="151">
        <v>0.5</v>
      </c>
      <c r="AA44" s="151">
        <v>0.55000000000000004</v>
      </c>
      <c r="AB44" s="151">
        <v>0.45</v>
      </c>
      <c r="AC44" s="557">
        <v>0.2</v>
      </c>
      <c r="AD44" s="90"/>
      <c r="AE44" s="90"/>
      <c r="AF44" s="90"/>
      <c r="AG44" s="90"/>
      <c r="AH44" s="90"/>
      <c r="AI44" s="90"/>
      <c r="AJ44" s="90"/>
      <c r="AK44" s="90"/>
    </row>
    <row r="45" spans="1:39" ht="33.6" customHeight="1" thickBot="1" x14ac:dyDescent="0.35">
      <c r="A45" s="944"/>
      <c r="B45" s="986"/>
      <c r="C45" s="987"/>
      <c r="D45" s="980"/>
      <c r="E45" s="143" t="s">
        <v>620</v>
      </c>
      <c r="F45" s="144">
        <v>0.2</v>
      </c>
      <c r="G45" s="353">
        <v>0</v>
      </c>
      <c r="H45" s="353">
        <v>0</v>
      </c>
      <c r="I45" s="144">
        <v>0</v>
      </c>
      <c r="J45" s="144">
        <v>0</v>
      </c>
      <c r="K45" s="144">
        <v>0</v>
      </c>
      <c r="L45" s="353">
        <v>0.2</v>
      </c>
      <c r="M45" s="353">
        <v>0.2</v>
      </c>
      <c r="N45" s="353">
        <v>0.3</v>
      </c>
      <c r="O45" s="353">
        <v>0.3</v>
      </c>
      <c r="P45" s="144">
        <v>0.45</v>
      </c>
      <c r="Q45" s="144">
        <v>0.5</v>
      </c>
      <c r="R45" s="144">
        <v>0.5</v>
      </c>
      <c r="S45" s="144">
        <v>0.45</v>
      </c>
      <c r="T45" s="144">
        <v>0.4</v>
      </c>
      <c r="U45" s="144">
        <v>0.4</v>
      </c>
      <c r="V45" s="144">
        <v>0.35</v>
      </c>
      <c r="W45" s="144">
        <v>0.4</v>
      </c>
      <c r="X45" s="144">
        <v>0.55000000000000004</v>
      </c>
      <c r="Y45" s="144">
        <v>0.55000000000000004</v>
      </c>
      <c r="Z45" s="144">
        <v>0.5</v>
      </c>
      <c r="AA45" s="144">
        <v>0.55000000000000004</v>
      </c>
      <c r="AB45" s="144">
        <v>0.4</v>
      </c>
      <c r="AC45" s="558">
        <v>0.2</v>
      </c>
      <c r="AD45" s="90"/>
      <c r="AE45" s="90"/>
      <c r="AF45" s="90"/>
      <c r="AG45" s="90"/>
      <c r="AH45" s="90"/>
      <c r="AI45" s="90"/>
      <c r="AJ45" s="90"/>
      <c r="AK45" s="90"/>
    </row>
    <row r="46" spans="1:39" ht="33.6" customHeight="1" thickBot="1" x14ac:dyDescent="0.35">
      <c r="A46" s="944"/>
      <c r="B46" s="986"/>
      <c r="C46" s="987"/>
      <c r="D46" s="980"/>
      <c r="E46" s="146" t="s">
        <v>621</v>
      </c>
      <c r="F46" s="147">
        <v>0.25</v>
      </c>
      <c r="G46" s="354">
        <v>0</v>
      </c>
      <c r="H46" s="354">
        <v>0</v>
      </c>
      <c r="I46" s="147">
        <v>0</v>
      </c>
      <c r="J46" s="147">
        <v>0</v>
      </c>
      <c r="K46" s="147">
        <v>0</v>
      </c>
      <c r="L46" s="354">
        <v>0.2</v>
      </c>
      <c r="M46" s="354">
        <v>0.2</v>
      </c>
      <c r="N46" s="354">
        <v>0.3</v>
      </c>
      <c r="O46" s="354">
        <v>0.3</v>
      </c>
      <c r="P46" s="354">
        <v>0.3</v>
      </c>
      <c r="Q46" s="147">
        <v>0.5</v>
      </c>
      <c r="R46" s="147">
        <v>0.4</v>
      </c>
      <c r="S46" s="147">
        <v>0.4</v>
      </c>
      <c r="T46" s="147">
        <v>0.3</v>
      </c>
      <c r="U46" s="147">
        <v>0.3</v>
      </c>
      <c r="V46" s="147">
        <v>0.3</v>
      </c>
      <c r="W46" s="147">
        <v>0.4</v>
      </c>
      <c r="X46" s="147">
        <v>0.5</v>
      </c>
      <c r="Y46" s="147">
        <v>0.5</v>
      </c>
      <c r="Z46" s="147">
        <v>0.4</v>
      </c>
      <c r="AA46" s="147">
        <v>0.5</v>
      </c>
      <c r="AB46" s="147">
        <v>0.4</v>
      </c>
      <c r="AC46" s="148">
        <v>0.2</v>
      </c>
      <c r="AD46" s="90"/>
      <c r="AE46" s="90"/>
      <c r="AF46" s="90"/>
      <c r="AG46" s="90"/>
      <c r="AH46" s="90"/>
      <c r="AI46" s="90"/>
      <c r="AJ46" s="90"/>
      <c r="AK46" s="90"/>
    </row>
    <row r="47" spans="1:39" ht="38.700000000000003" customHeight="1" thickBot="1" x14ac:dyDescent="0.35">
      <c r="A47" s="945" t="s">
        <v>108</v>
      </c>
      <c r="B47" s="924" t="s">
        <v>108</v>
      </c>
      <c r="C47" s="1000" t="s">
        <v>286</v>
      </c>
      <c r="D47" s="980" t="s">
        <v>630</v>
      </c>
      <c r="E47" s="471" t="s">
        <v>619</v>
      </c>
      <c r="F47" s="349">
        <v>0.25</v>
      </c>
      <c r="G47" s="349">
        <v>0</v>
      </c>
      <c r="H47" s="349">
        <v>0</v>
      </c>
      <c r="I47" s="334">
        <v>1</v>
      </c>
      <c r="J47" s="349">
        <v>0.25</v>
      </c>
      <c r="K47" s="357">
        <v>0.25</v>
      </c>
      <c r="L47" s="348">
        <v>0.25</v>
      </c>
      <c r="M47" s="348">
        <v>0.25</v>
      </c>
      <c r="N47" s="348">
        <v>0.25</v>
      </c>
      <c r="O47" s="334">
        <v>0.25</v>
      </c>
      <c r="P47" s="334">
        <v>0.25</v>
      </c>
      <c r="Q47" s="334">
        <v>0.25</v>
      </c>
      <c r="R47" s="334">
        <v>0.25</v>
      </c>
      <c r="S47" s="334">
        <v>0.25</v>
      </c>
      <c r="T47" s="334">
        <v>0.25</v>
      </c>
      <c r="U47" s="334">
        <v>0.25</v>
      </c>
      <c r="V47" s="349">
        <v>0.25</v>
      </c>
      <c r="W47" s="334">
        <v>0.25</v>
      </c>
      <c r="X47" s="334">
        <v>0.25</v>
      </c>
      <c r="Y47" s="334">
        <v>0.25</v>
      </c>
      <c r="Z47" s="334">
        <v>0.25</v>
      </c>
      <c r="AA47" s="334">
        <v>0.25</v>
      </c>
      <c r="AB47" s="334">
        <v>0.25</v>
      </c>
      <c r="AC47" s="335">
        <v>0.25</v>
      </c>
      <c r="AD47" s="90"/>
      <c r="AE47" s="90"/>
      <c r="AF47" s="90"/>
      <c r="AG47" s="90"/>
      <c r="AH47" s="90"/>
      <c r="AI47" s="90"/>
      <c r="AJ47" s="90"/>
      <c r="AK47" s="90"/>
      <c r="AM47" s="100"/>
    </row>
    <row r="48" spans="1:39" ht="38.700000000000003" customHeight="1" thickBot="1" x14ac:dyDescent="0.35">
      <c r="A48" s="945"/>
      <c r="B48" s="924"/>
      <c r="C48" s="1000"/>
      <c r="D48" s="980"/>
      <c r="E48" s="143" t="s">
        <v>620</v>
      </c>
      <c r="F48" s="353">
        <v>0.25</v>
      </c>
      <c r="G48" s="353">
        <v>0</v>
      </c>
      <c r="H48" s="144">
        <v>0</v>
      </c>
      <c r="I48" s="144">
        <v>1</v>
      </c>
      <c r="J48" s="144">
        <v>1</v>
      </c>
      <c r="K48" s="353">
        <v>0.25</v>
      </c>
      <c r="L48" s="353">
        <v>0.25</v>
      </c>
      <c r="M48" s="353">
        <v>0.25</v>
      </c>
      <c r="N48" s="144">
        <v>0.25</v>
      </c>
      <c r="O48" s="144">
        <v>0.25</v>
      </c>
      <c r="P48" s="144">
        <v>0.25</v>
      </c>
      <c r="Q48" s="144">
        <v>0.25</v>
      </c>
      <c r="R48" s="144">
        <v>0.25</v>
      </c>
      <c r="S48" s="144">
        <v>0.25</v>
      </c>
      <c r="T48" s="144">
        <v>0.25</v>
      </c>
      <c r="U48" s="144">
        <v>0.25</v>
      </c>
      <c r="V48" s="144">
        <v>0.25</v>
      </c>
      <c r="W48" s="144">
        <v>0.25</v>
      </c>
      <c r="X48" s="144">
        <v>0.25</v>
      </c>
      <c r="Y48" s="144">
        <v>0.25</v>
      </c>
      <c r="Z48" s="144">
        <v>0.25</v>
      </c>
      <c r="AA48" s="144">
        <v>0.25</v>
      </c>
      <c r="AB48" s="144">
        <v>0.25</v>
      </c>
      <c r="AC48" s="337">
        <v>0.25</v>
      </c>
      <c r="AD48" s="90"/>
      <c r="AE48" s="90"/>
      <c r="AF48" s="90"/>
      <c r="AG48" s="90"/>
      <c r="AH48" s="90"/>
      <c r="AI48" s="90"/>
      <c r="AJ48" s="90"/>
      <c r="AK48" s="90"/>
      <c r="AM48" s="100"/>
    </row>
    <row r="49" spans="1:41" ht="38.700000000000003" customHeight="1" thickBot="1" x14ac:dyDescent="0.35">
      <c r="A49" s="944"/>
      <c r="B49" s="986"/>
      <c r="C49" s="987"/>
      <c r="D49" s="980"/>
      <c r="E49" s="472" t="s">
        <v>621</v>
      </c>
      <c r="F49" s="356">
        <v>0.25</v>
      </c>
      <c r="G49" s="356">
        <v>0</v>
      </c>
      <c r="H49" s="356">
        <v>0</v>
      </c>
      <c r="I49" s="339">
        <v>1</v>
      </c>
      <c r="J49" s="339">
        <v>1</v>
      </c>
      <c r="K49" s="355">
        <v>0.25</v>
      </c>
      <c r="L49" s="355">
        <v>0.25</v>
      </c>
      <c r="M49" s="355">
        <v>0.25</v>
      </c>
      <c r="N49" s="355">
        <v>0.25</v>
      </c>
      <c r="O49" s="339">
        <v>0.25</v>
      </c>
      <c r="P49" s="339">
        <v>0.25</v>
      </c>
      <c r="Q49" s="339">
        <v>0.25</v>
      </c>
      <c r="R49" s="339">
        <v>0.25</v>
      </c>
      <c r="S49" s="339">
        <v>0.25</v>
      </c>
      <c r="T49" s="339">
        <v>0.25</v>
      </c>
      <c r="U49" s="339">
        <v>0.25</v>
      </c>
      <c r="V49" s="339">
        <v>0.25</v>
      </c>
      <c r="W49" s="339">
        <v>0.25</v>
      </c>
      <c r="X49" s="339">
        <v>0.25</v>
      </c>
      <c r="Y49" s="339">
        <v>0.25</v>
      </c>
      <c r="Z49" s="339">
        <v>0.25</v>
      </c>
      <c r="AA49" s="339">
        <v>0.25</v>
      </c>
      <c r="AB49" s="339">
        <v>0.25</v>
      </c>
      <c r="AC49" s="340">
        <v>0.25</v>
      </c>
      <c r="AD49" s="90"/>
      <c r="AE49" s="90"/>
      <c r="AF49" s="90"/>
      <c r="AG49" s="90"/>
      <c r="AH49" s="90"/>
      <c r="AI49" s="90"/>
      <c r="AJ49" s="90"/>
      <c r="AK49" s="90"/>
      <c r="AM49" s="100"/>
      <c r="AO49" s="168"/>
    </row>
    <row r="50" spans="1:41" ht="30.6" customHeight="1" thickBot="1" x14ac:dyDescent="0.35">
      <c r="A50" s="989" t="s">
        <v>108</v>
      </c>
      <c r="B50" s="936" t="s">
        <v>108</v>
      </c>
      <c r="C50" s="1042" t="s">
        <v>636</v>
      </c>
      <c r="D50" s="983" t="s">
        <v>629</v>
      </c>
      <c r="E50" s="153" t="s">
        <v>619</v>
      </c>
      <c r="F50" s="154">
        <v>0</v>
      </c>
      <c r="G50" s="154">
        <v>0</v>
      </c>
      <c r="H50" s="154">
        <v>0</v>
      </c>
      <c r="I50" s="154">
        <v>0</v>
      </c>
      <c r="J50" s="154">
        <v>0</v>
      </c>
      <c r="K50" s="358">
        <v>1</v>
      </c>
      <c r="L50" s="154">
        <v>1</v>
      </c>
      <c r="M50" s="154">
        <v>1</v>
      </c>
      <c r="N50" s="154">
        <v>1</v>
      </c>
      <c r="O50" s="154">
        <v>1</v>
      </c>
      <c r="P50" s="154">
        <v>1</v>
      </c>
      <c r="Q50" s="154">
        <v>1</v>
      </c>
      <c r="R50" s="154">
        <v>1</v>
      </c>
      <c r="S50" s="154">
        <v>1</v>
      </c>
      <c r="T50" s="154">
        <v>1</v>
      </c>
      <c r="U50" s="154">
        <v>1</v>
      </c>
      <c r="V50" s="154">
        <v>1</v>
      </c>
      <c r="W50" s="154">
        <v>1</v>
      </c>
      <c r="X50" s="154">
        <v>1</v>
      </c>
      <c r="Y50" s="154">
        <v>0</v>
      </c>
      <c r="Z50" s="154">
        <v>0</v>
      </c>
      <c r="AA50" s="154">
        <v>0</v>
      </c>
      <c r="AB50" s="154">
        <v>0</v>
      </c>
      <c r="AC50" s="155">
        <v>0</v>
      </c>
      <c r="AD50" s="90"/>
      <c r="AE50" s="90"/>
      <c r="AF50" s="90"/>
      <c r="AG50" s="90"/>
      <c r="AH50" s="90"/>
      <c r="AI50" s="90"/>
      <c r="AJ50" s="90"/>
      <c r="AK50" s="90"/>
    </row>
    <row r="51" spans="1:41" ht="30.6" customHeight="1" thickBot="1" x14ac:dyDescent="0.35">
      <c r="A51" s="945"/>
      <c r="B51" s="924"/>
      <c r="C51" s="1002"/>
      <c r="D51" s="980"/>
      <c r="E51" s="156" t="s">
        <v>620</v>
      </c>
      <c r="F51" s="157">
        <v>0</v>
      </c>
      <c r="G51" s="157">
        <v>0</v>
      </c>
      <c r="H51" s="157">
        <v>0</v>
      </c>
      <c r="I51" s="157">
        <v>0</v>
      </c>
      <c r="J51" s="157">
        <v>0</v>
      </c>
      <c r="K51" s="157">
        <v>0</v>
      </c>
      <c r="L51" s="359">
        <v>1</v>
      </c>
      <c r="M51" s="359">
        <v>1</v>
      </c>
      <c r="N51" s="157">
        <v>1</v>
      </c>
      <c r="O51" s="157">
        <v>1</v>
      </c>
      <c r="P51" s="157">
        <v>1</v>
      </c>
      <c r="Q51" s="157">
        <v>1</v>
      </c>
      <c r="R51" s="157">
        <v>1</v>
      </c>
      <c r="S51" s="157">
        <v>1</v>
      </c>
      <c r="T51" s="157">
        <v>1</v>
      </c>
      <c r="U51" s="157">
        <v>1</v>
      </c>
      <c r="V51" s="157">
        <v>1</v>
      </c>
      <c r="W51" s="157">
        <v>1</v>
      </c>
      <c r="X51" s="157">
        <v>1</v>
      </c>
      <c r="Y51" s="157">
        <v>0</v>
      </c>
      <c r="Z51" s="157">
        <v>0</v>
      </c>
      <c r="AA51" s="157">
        <v>0</v>
      </c>
      <c r="AB51" s="157">
        <v>0</v>
      </c>
      <c r="AC51" s="158">
        <v>0</v>
      </c>
      <c r="AD51" s="90"/>
      <c r="AE51" s="90"/>
      <c r="AF51" s="90"/>
      <c r="AG51" s="90"/>
      <c r="AH51" s="90"/>
      <c r="AI51" s="90"/>
      <c r="AJ51" s="90"/>
      <c r="AK51" s="90"/>
    </row>
    <row r="52" spans="1:41" ht="30.6" customHeight="1" thickBot="1" x14ac:dyDescent="0.35">
      <c r="A52" s="990"/>
      <c r="B52" s="981"/>
      <c r="C52" s="1011"/>
      <c r="D52" s="984"/>
      <c r="E52" s="159" t="s">
        <v>621</v>
      </c>
      <c r="F52" s="160">
        <v>0</v>
      </c>
      <c r="G52" s="160">
        <v>0</v>
      </c>
      <c r="H52" s="160">
        <v>0</v>
      </c>
      <c r="I52" s="160">
        <v>0</v>
      </c>
      <c r="J52" s="160">
        <v>0</v>
      </c>
      <c r="K52" s="160">
        <v>0</v>
      </c>
      <c r="L52" s="360">
        <v>1</v>
      </c>
      <c r="M52" s="360">
        <v>1</v>
      </c>
      <c r="N52" s="360">
        <v>1</v>
      </c>
      <c r="O52" s="160">
        <v>1</v>
      </c>
      <c r="P52" s="160">
        <v>1</v>
      </c>
      <c r="Q52" s="160">
        <v>1</v>
      </c>
      <c r="R52" s="160">
        <v>1</v>
      </c>
      <c r="S52" s="160">
        <v>1</v>
      </c>
      <c r="T52" s="160">
        <v>1</v>
      </c>
      <c r="U52" s="160">
        <v>1</v>
      </c>
      <c r="V52" s="160">
        <v>1</v>
      </c>
      <c r="W52" s="160">
        <v>1</v>
      </c>
      <c r="X52" s="160">
        <v>1</v>
      </c>
      <c r="Y52" s="160">
        <v>0</v>
      </c>
      <c r="Z52" s="160">
        <v>0</v>
      </c>
      <c r="AA52" s="160">
        <v>0</v>
      </c>
      <c r="AB52" s="160">
        <v>0</v>
      </c>
      <c r="AC52" s="161">
        <v>0</v>
      </c>
      <c r="AD52" s="90"/>
      <c r="AE52" s="90"/>
      <c r="AF52" s="90"/>
      <c r="AG52" s="90"/>
      <c r="AH52" s="90"/>
      <c r="AI52" s="90"/>
      <c r="AJ52" s="90"/>
      <c r="AK52" s="90"/>
    </row>
    <row r="53" spans="1:41" ht="30.6" customHeight="1" thickBot="1" x14ac:dyDescent="0.35">
      <c r="A53" s="998" t="s">
        <v>108</v>
      </c>
      <c r="B53" s="999" t="s">
        <v>108</v>
      </c>
      <c r="C53" s="927" t="s">
        <v>637</v>
      </c>
      <c r="D53" s="988" t="s">
        <v>638</v>
      </c>
      <c r="E53" s="142" t="s">
        <v>619</v>
      </c>
      <c r="F53" s="253">
        <v>0</v>
      </c>
      <c r="G53" s="253">
        <v>0</v>
      </c>
      <c r="H53" s="253">
        <v>0</v>
      </c>
      <c r="I53" s="253">
        <v>0</v>
      </c>
      <c r="J53" s="253">
        <v>0</v>
      </c>
      <c r="K53" s="188">
        <v>1</v>
      </c>
      <c r="L53" s="253">
        <v>0.5</v>
      </c>
      <c r="M53" s="253">
        <v>1</v>
      </c>
      <c r="N53" s="253">
        <v>0.5</v>
      </c>
      <c r="O53" s="253">
        <v>1</v>
      </c>
      <c r="P53" s="253">
        <v>0.5</v>
      </c>
      <c r="Q53" s="253">
        <v>1</v>
      </c>
      <c r="R53" s="253">
        <v>0.5</v>
      </c>
      <c r="S53" s="253">
        <v>1</v>
      </c>
      <c r="T53" s="253">
        <v>0.5</v>
      </c>
      <c r="U53" s="253">
        <v>1</v>
      </c>
      <c r="V53" s="253">
        <v>0.5</v>
      </c>
      <c r="W53" s="253">
        <v>1</v>
      </c>
      <c r="X53" s="253">
        <v>0.5</v>
      </c>
      <c r="Y53" s="253">
        <v>0</v>
      </c>
      <c r="Z53" s="253">
        <v>0</v>
      </c>
      <c r="AA53" s="253">
        <v>0</v>
      </c>
      <c r="AB53" s="253">
        <v>0</v>
      </c>
      <c r="AC53" s="254">
        <v>0</v>
      </c>
      <c r="AD53" s="90"/>
      <c r="AE53" s="90"/>
      <c r="AF53" s="90"/>
      <c r="AG53" s="90"/>
      <c r="AH53" s="90"/>
      <c r="AI53" s="90"/>
      <c r="AJ53" s="90"/>
      <c r="AK53" s="90"/>
    </row>
    <row r="54" spans="1:41" ht="30.6" customHeight="1" thickBot="1" x14ac:dyDescent="0.35">
      <c r="A54" s="945"/>
      <c r="B54" s="924"/>
      <c r="C54" s="1000"/>
      <c r="D54" s="980"/>
      <c r="E54" s="143" t="s">
        <v>620</v>
      </c>
      <c r="F54" s="255">
        <v>0</v>
      </c>
      <c r="G54" s="255">
        <v>0</v>
      </c>
      <c r="H54" s="255">
        <v>0</v>
      </c>
      <c r="I54" s="255">
        <v>0</v>
      </c>
      <c r="J54" s="255">
        <v>0</v>
      </c>
      <c r="K54" s="255">
        <v>0</v>
      </c>
      <c r="L54" s="352">
        <v>0.5</v>
      </c>
      <c r="M54" s="353">
        <v>1</v>
      </c>
      <c r="N54" s="353">
        <v>0.5</v>
      </c>
      <c r="O54" s="255">
        <v>1</v>
      </c>
      <c r="P54" s="255">
        <v>0.5</v>
      </c>
      <c r="Q54" s="255">
        <v>1</v>
      </c>
      <c r="R54" s="255">
        <v>0.5</v>
      </c>
      <c r="S54" s="255">
        <v>1</v>
      </c>
      <c r="T54" s="255">
        <v>0.5</v>
      </c>
      <c r="U54" s="255">
        <v>1</v>
      </c>
      <c r="V54" s="255">
        <v>0.5</v>
      </c>
      <c r="W54" s="255">
        <v>1</v>
      </c>
      <c r="X54" s="255">
        <v>0.5</v>
      </c>
      <c r="Y54" s="255">
        <v>0</v>
      </c>
      <c r="Z54" s="255">
        <v>0</v>
      </c>
      <c r="AA54" s="255">
        <v>0</v>
      </c>
      <c r="AB54" s="255">
        <v>0</v>
      </c>
      <c r="AC54" s="256">
        <v>0</v>
      </c>
      <c r="AD54" s="90"/>
      <c r="AE54" s="90"/>
      <c r="AF54" s="90"/>
      <c r="AG54" s="90"/>
      <c r="AH54" s="90"/>
      <c r="AI54" s="90"/>
      <c r="AJ54" s="90"/>
      <c r="AK54" s="90"/>
    </row>
    <row r="55" spans="1:41" ht="30.6" customHeight="1" thickBot="1" x14ac:dyDescent="0.35">
      <c r="A55" s="945"/>
      <c r="B55" s="924"/>
      <c r="C55" s="1000"/>
      <c r="D55" s="980"/>
      <c r="E55" s="149" t="s">
        <v>621</v>
      </c>
      <c r="F55" s="258">
        <v>0</v>
      </c>
      <c r="G55" s="258">
        <v>0</v>
      </c>
      <c r="H55" s="258">
        <v>0</v>
      </c>
      <c r="I55" s="258">
        <v>0</v>
      </c>
      <c r="J55" s="258">
        <v>0</v>
      </c>
      <c r="K55" s="258">
        <v>0</v>
      </c>
      <c r="L55" s="361">
        <v>0.5</v>
      </c>
      <c r="M55" s="361">
        <v>1</v>
      </c>
      <c r="N55" s="361">
        <v>0.5</v>
      </c>
      <c r="O55" s="258">
        <v>1</v>
      </c>
      <c r="P55" s="258">
        <v>0.5</v>
      </c>
      <c r="Q55" s="258">
        <v>1</v>
      </c>
      <c r="R55" s="258">
        <v>0.5</v>
      </c>
      <c r="S55" s="258">
        <v>1</v>
      </c>
      <c r="T55" s="258">
        <v>0.5</v>
      </c>
      <c r="U55" s="258">
        <v>1</v>
      </c>
      <c r="V55" s="258">
        <v>0.5</v>
      </c>
      <c r="W55" s="258">
        <v>1</v>
      </c>
      <c r="X55" s="258">
        <v>0.5</v>
      </c>
      <c r="Y55" s="258">
        <v>0</v>
      </c>
      <c r="Z55" s="258">
        <v>0</v>
      </c>
      <c r="AA55" s="258">
        <v>0</v>
      </c>
      <c r="AB55" s="258">
        <v>0</v>
      </c>
      <c r="AC55" s="259">
        <v>0</v>
      </c>
      <c r="AD55" s="90"/>
      <c r="AE55" s="90"/>
      <c r="AF55" s="90"/>
      <c r="AG55" s="90"/>
      <c r="AH55" s="90"/>
      <c r="AI55" s="90"/>
      <c r="AJ55" s="90"/>
      <c r="AK55" s="90"/>
    </row>
    <row r="56" spans="1:41" ht="30.6" customHeight="1" x14ac:dyDescent="0.3">
      <c r="A56" s="945" t="s">
        <v>108</v>
      </c>
      <c r="B56" s="924" t="s">
        <v>108</v>
      </c>
      <c r="C56" s="1002" t="s">
        <v>631</v>
      </c>
      <c r="D56" s="980" t="s">
        <v>632</v>
      </c>
      <c r="E56" s="153" t="s">
        <v>619</v>
      </c>
      <c r="F56" s="154">
        <v>0.9</v>
      </c>
      <c r="G56" s="154">
        <v>0.9</v>
      </c>
      <c r="H56" s="154">
        <v>0.9</v>
      </c>
      <c r="I56" s="154">
        <v>0.9</v>
      </c>
      <c r="J56" s="154">
        <v>0.9</v>
      </c>
      <c r="K56" s="154">
        <v>0.9</v>
      </c>
      <c r="L56" s="154">
        <v>0.9</v>
      </c>
      <c r="M56" s="154">
        <v>0.9</v>
      </c>
      <c r="N56" s="154">
        <v>0.9</v>
      </c>
      <c r="O56" s="154">
        <v>0.9</v>
      </c>
      <c r="P56" s="154">
        <v>0.9</v>
      </c>
      <c r="Q56" s="154">
        <v>0.9</v>
      </c>
      <c r="R56" s="154">
        <v>0.9</v>
      </c>
      <c r="S56" s="154">
        <v>0.9</v>
      </c>
      <c r="T56" s="154">
        <v>0.9</v>
      </c>
      <c r="U56" s="154">
        <v>0.9</v>
      </c>
      <c r="V56" s="154">
        <v>0.9</v>
      </c>
      <c r="W56" s="154">
        <v>0.9</v>
      </c>
      <c r="X56" s="154">
        <v>0.9</v>
      </c>
      <c r="Y56" s="154">
        <v>0.9</v>
      </c>
      <c r="Z56" s="154">
        <v>0.9</v>
      </c>
      <c r="AA56" s="154">
        <v>0.9</v>
      </c>
      <c r="AB56" s="154">
        <v>0.9</v>
      </c>
      <c r="AC56" s="155">
        <v>0.9</v>
      </c>
      <c r="AD56" s="90"/>
      <c r="AE56" s="90"/>
      <c r="AF56" s="90"/>
      <c r="AG56" s="90"/>
      <c r="AH56" s="90"/>
      <c r="AI56" s="90"/>
      <c r="AJ56" s="90"/>
      <c r="AK56" s="90"/>
    </row>
    <row r="57" spans="1:41" ht="30.6" customHeight="1" x14ac:dyDescent="0.3">
      <c r="A57" s="978"/>
      <c r="B57" s="925"/>
      <c r="C57" s="1003"/>
      <c r="D57" s="988"/>
      <c r="E57" s="156" t="s">
        <v>620</v>
      </c>
      <c r="F57" s="157">
        <v>0.9</v>
      </c>
      <c r="G57" s="157">
        <v>0.9</v>
      </c>
      <c r="H57" s="157">
        <v>0.9</v>
      </c>
      <c r="I57" s="157">
        <v>0.9</v>
      </c>
      <c r="J57" s="157">
        <v>0.9</v>
      </c>
      <c r="K57" s="157">
        <v>0.9</v>
      </c>
      <c r="L57" s="157">
        <v>0.9</v>
      </c>
      <c r="M57" s="157">
        <v>0.9</v>
      </c>
      <c r="N57" s="157">
        <v>0.9</v>
      </c>
      <c r="O57" s="157">
        <v>0.9</v>
      </c>
      <c r="P57" s="157">
        <v>0.9</v>
      </c>
      <c r="Q57" s="157">
        <v>0.9</v>
      </c>
      <c r="R57" s="157">
        <v>0.9</v>
      </c>
      <c r="S57" s="157">
        <v>0.9</v>
      </c>
      <c r="T57" s="157">
        <v>0.9</v>
      </c>
      <c r="U57" s="157">
        <v>0.9</v>
      </c>
      <c r="V57" s="157">
        <v>0.9</v>
      </c>
      <c r="W57" s="157">
        <v>0.9</v>
      </c>
      <c r="X57" s="157">
        <v>0.9</v>
      </c>
      <c r="Y57" s="157">
        <v>0.9</v>
      </c>
      <c r="Z57" s="157">
        <v>0.9</v>
      </c>
      <c r="AA57" s="157">
        <v>0.9</v>
      </c>
      <c r="AB57" s="157">
        <v>0.9</v>
      </c>
      <c r="AC57" s="158">
        <v>0.9</v>
      </c>
      <c r="AD57" s="90"/>
      <c r="AE57" s="90"/>
      <c r="AF57" s="90"/>
      <c r="AG57" s="90"/>
      <c r="AH57" s="90"/>
      <c r="AI57" s="90"/>
      <c r="AJ57" s="90"/>
      <c r="AK57" s="90"/>
    </row>
    <row r="58" spans="1:41" ht="30.6" customHeight="1" thickBot="1" x14ac:dyDescent="0.35">
      <c r="A58" s="979"/>
      <c r="B58" s="1001"/>
      <c r="C58" s="1004"/>
      <c r="D58" s="1005"/>
      <c r="E58" s="162" t="s">
        <v>621</v>
      </c>
      <c r="F58" s="163">
        <v>0.9</v>
      </c>
      <c r="G58" s="163">
        <v>0.9</v>
      </c>
      <c r="H58" s="163">
        <v>0.9</v>
      </c>
      <c r="I58" s="163">
        <v>0.9</v>
      </c>
      <c r="J58" s="163">
        <v>0.9</v>
      </c>
      <c r="K58" s="163">
        <v>0.9</v>
      </c>
      <c r="L58" s="163">
        <v>0.9</v>
      </c>
      <c r="M58" s="163">
        <v>0.9</v>
      </c>
      <c r="N58" s="163">
        <v>0.9</v>
      </c>
      <c r="O58" s="163">
        <v>0.9</v>
      </c>
      <c r="P58" s="163">
        <v>0.9</v>
      </c>
      <c r="Q58" s="163">
        <v>0.9</v>
      </c>
      <c r="R58" s="163">
        <v>0.9</v>
      </c>
      <c r="S58" s="163">
        <v>0.9</v>
      </c>
      <c r="T58" s="163">
        <v>0.9</v>
      </c>
      <c r="U58" s="163">
        <v>0.9</v>
      </c>
      <c r="V58" s="163">
        <v>0.9</v>
      </c>
      <c r="W58" s="163">
        <v>0.9</v>
      </c>
      <c r="X58" s="163">
        <v>0.9</v>
      </c>
      <c r="Y58" s="163">
        <v>0.9</v>
      </c>
      <c r="Z58" s="163">
        <v>0.9</v>
      </c>
      <c r="AA58" s="163">
        <v>0.9</v>
      </c>
      <c r="AB58" s="163">
        <v>0.9</v>
      </c>
      <c r="AC58" s="164">
        <v>0.9</v>
      </c>
      <c r="AD58" s="90"/>
      <c r="AE58" s="90"/>
      <c r="AF58" s="90"/>
      <c r="AG58" s="90"/>
      <c r="AH58" s="90"/>
      <c r="AI58" s="90"/>
      <c r="AJ58" s="90"/>
      <c r="AK58" s="90"/>
    </row>
    <row r="59" spans="1:41" ht="30.6" customHeight="1" x14ac:dyDescent="0.3">
      <c r="A59" s="945" t="s">
        <v>108</v>
      </c>
      <c r="B59" s="924" t="s">
        <v>108</v>
      </c>
      <c r="C59" s="1029" t="s">
        <v>639</v>
      </c>
      <c r="D59" s="980" t="s">
        <v>640</v>
      </c>
      <c r="E59" s="165" t="s">
        <v>619</v>
      </c>
      <c r="F59" s="166">
        <v>0.5</v>
      </c>
      <c r="G59" s="166">
        <v>0</v>
      </c>
      <c r="H59" s="166">
        <v>0</v>
      </c>
      <c r="I59" s="166">
        <v>0</v>
      </c>
      <c r="J59" s="166">
        <v>0</v>
      </c>
      <c r="K59" s="166">
        <v>0</v>
      </c>
      <c r="L59" s="362">
        <v>0.5</v>
      </c>
      <c r="M59" s="362">
        <v>0.9</v>
      </c>
      <c r="N59" s="362">
        <v>0.9</v>
      </c>
      <c r="O59" s="362">
        <v>0.9</v>
      </c>
      <c r="P59" s="166">
        <v>0.9</v>
      </c>
      <c r="Q59" s="166">
        <v>0.9</v>
      </c>
      <c r="R59" s="166">
        <v>0.9</v>
      </c>
      <c r="S59" s="166">
        <v>0.9</v>
      </c>
      <c r="T59" s="166">
        <v>0.75</v>
      </c>
      <c r="U59" s="166">
        <v>0.75</v>
      </c>
      <c r="V59" s="166">
        <v>0.75</v>
      </c>
      <c r="W59" s="166">
        <v>0.9</v>
      </c>
      <c r="X59" s="166">
        <v>0.9</v>
      </c>
      <c r="Y59" s="166">
        <v>0.9</v>
      </c>
      <c r="Z59" s="166">
        <v>0.9</v>
      </c>
      <c r="AA59" s="166">
        <v>0.75</v>
      </c>
      <c r="AB59" s="166">
        <v>0.5</v>
      </c>
      <c r="AC59" s="167">
        <v>0.5</v>
      </c>
      <c r="AD59" s="90"/>
      <c r="AE59" s="90"/>
      <c r="AF59" s="90"/>
      <c r="AG59" s="90"/>
      <c r="AH59" s="90"/>
      <c r="AI59" s="90"/>
      <c r="AJ59" s="90"/>
      <c r="AK59" s="90"/>
    </row>
    <row r="60" spans="1:41" ht="30.6" customHeight="1" x14ac:dyDescent="0.3">
      <c r="A60" s="978"/>
      <c r="B60" s="925"/>
      <c r="C60" s="1003"/>
      <c r="D60" s="988"/>
      <c r="E60" s="156" t="s">
        <v>620</v>
      </c>
      <c r="F60" s="157">
        <v>0.5</v>
      </c>
      <c r="G60" s="157">
        <v>0</v>
      </c>
      <c r="H60" s="157">
        <v>0</v>
      </c>
      <c r="I60" s="157">
        <v>0</v>
      </c>
      <c r="J60" s="157">
        <v>0</v>
      </c>
      <c r="K60" s="157">
        <v>0</v>
      </c>
      <c r="L60" s="359">
        <v>0.5</v>
      </c>
      <c r="M60" s="359">
        <v>0.9</v>
      </c>
      <c r="N60" s="359">
        <v>0.9</v>
      </c>
      <c r="O60" s="359">
        <v>0.9</v>
      </c>
      <c r="P60" s="157">
        <v>0.9</v>
      </c>
      <c r="Q60" s="157">
        <v>0.9</v>
      </c>
      <c r="R60" s="157">
        <v>0.9</v>
      </c>
      <c r="S60" s="157">
        <v>0.9</v>
      </c>
      <c r="T60" s="157">
        <v>0.75</v>
      </c>
      <c r="U60" s="157">
        <v>0.75</v>
      </c>
      <c r="V60" s="157">
        <v>0.75</v>
      </c>
      <c r="W60" s="157">
        <v>0.9</v>
      </c>
      <c r="X60" s="157">
        <v>0.9</v>
      </c>
      <c r="Y60" s="157">
        <v>0.9</v>
      </c>
      <c r="Z60" s="157">
        <v>0.9</v>
      </c>
      <c r="AA60" s="157">
        <v>0.75</v>
      </c>
      <c r="AB60" s="157">
        <v>0.75</v>
      </c>
      <c r="AC60" s="158">
        <v>0.5</v>
      </c>
      <c r="AD60" s="90"/>
      <c r="AE60" s="90"/>
      <c r="AF60" s="90"/>
      <c r="AG60" s="90"/>
      <c r="AH60" s="90"/>
      <c r="AI60" s="90"/>
      <c r="AJ60" s="90"/>
      <c r="AK60" s="90"/>
    </row>
    <row r="61" spans="1:41" ht="30.6" customHeight="1" thickBot="1" x14ac:dyDescent="0.35">
      <c r="A61" s="979"/>
      <c r="B61" s="1001"/>
      <c r="C61" s="1004"/>
      <c r="D61" s="1005"/>
      <c r="E61" s="162" t="s">
        <v>621</v>
      </c>
      <c r="F61" s="163">
        <v>0.5</v>
      </c>
      <c r="G61" s="163">
        <v>0</v>
      </c>
      <c r="H61" s="163">
        <v>0</v>
      </c>
      <c r="I61" s="163">
        <v>0</v>
      </c>
      <c r="J61" s="163">
        <v>0</v>
      </c>
      <c r="K61" s="163">
        <v>0</v>
      </c>
      <c r="L61" s="363">
        <v>0.5</v>
      </c>
      <c r="M61" s="363">
        <v>0.9</v>
      </c>
      <c r="N61" s="363">
        <v>0.9</v>
      </c>
      <c r="O61" s="363">
        <v>0.9</v>
      </c>
      <c r="P61" s="163">
        <v>0.9</v>
      </c>
      <c r="Q61" s="163">
        <v>0.9</v>
      </c>
      <c r="R61" s="163">
        <v>0.9</v>
      </c>
      <c r="S61" s="163">
        <v>0.9</v>
      </c>
      <c r="T61" s="163">
        <v>0.75</v>
      </c>
      <c r="U61" s="163">
        <v>0.75</v>
      </c>
      <c r="V61" s="163">
        <v>0.75</v>
      </c>
      <c r="W61" s="163">
        <v>0.9</v>
      </c>
      <c r="X61" s="163">
        <v>0.9</v>
      </c>
      <c r="Y61" s="163">
        <v>0.9</v>
      </c>
      <c r="Z61" s="163">
        <v>0.9</v>
      </c>
      <c r="AA61" s="163">
        <v>0.75</v>
      </c>
      <c r="AB61" s="163">
        <v>0.5</v>
      </c>
      <c r="AC61" s="164">
        <v>0.5</v>
      </c>
      <c r="AD61" s="90"/>
      <c r="AE61" s="90"/>
      <c r="AF61" s="90"/>
      <c r="AG61" s="90"/>
      <c r="AH61" s="90"/>
      <c r="AI61" s="90"/>
      <c r="AJ61" s="90"/>
      <c r="AK61" s="90"/>
    </row>
    <row r="62" spans="1:41" ht="30.6" customHeight="1" x14ac:dyDescent="0.3">
      <c r="A62" s="991" t="str">
        <f>A56</f>
        <v>Kitchen</v>
      </c>
      <c r="B62" s="993" t="str">
        <f>B56</f>
        <v>Kitchen</v>
      </c>
      <c r="C62" s="952" t="s">
        <v>633</v>
      </c>
      <c r="D62" s="996" t="s">
        <v>641</v>
      </c>
      <c r="E62" s="515" t="s">
        <v>619</v>
      </c>
      <c r="F62" s="473">
        <f>IF(F41=1,Thermostat!$C$7,Thermostat!$C$8)</f>
        <v>66</v>
      </c>
      <c r="G62" s="473">
        <f>IF(G41=1,Thermostat!$C$7,Thermostat!$C$8)</f>
        <v>60</v>
      </c>
      <c r="H62" s="473">
        <f>IF(H41=1,Thermostat!$C$7,Thermostat!$C$8)</f>
        <v>60</v>
      </c>
      <c r="I62" s="473">
        <f>IF(I41=1,Thermostat!$C$7,Thermostat!$C$8)</f>
        <v>60</v>
      </c>
      <c r="J62" s="473">
        <f>IF(J41=1,Thermostat!$C$7,Thermostat!$C$8)</f>
        <v>66</v>
      </c>
      <c r="K62" s="473">
        <f>IF(K41=1,Thermostat!$C$7,Thermostat!$C$8)</f>
        <v>66</v>
      </c>
      <c r="L62" s="473">
        <f>IF(L41=1,Thermostat!$C$7,Thermostat!$C$8)</f>
        <v>66</v>
      </c>
      <c r="M62" s="473">
        <f>IF(M41=1,Thermostat!$C$7,Thermostat!$C$8)</f>
        <v>66</v>
      </c>
      <c r="N62" s="473">
        <f>IF(N41=1,Thermostat!$C$7,Thermostat!$C$8)</f>
        <v>66</v>
      </c>
      <c r="O62" s="473">
        <f>IF(O41=1,Thermostat!$C$7,Thermostat!$C$8)</f>
        <v>66</v>
      </c>
      <c r="P62" s="473">
        <f>IF(P41=1,Thermostat!$C$7,Thermostat!$C$8)</f>
        <v>66</v>
      </c>
      <c r="Q62" s="473">
        <f>IF(Q41=1,Thermostat!$C$7,Thermostat!$C$8)</f>
        <v>66</v>
      </c>
      <c r="R62" s="473">
        <f>IF(R41=1,Thermostat!$C$7,Thermostat!$C$8)</f>
        <v>66</v>
      </c>
      <c r="S62" s="473">
        <f>IF(S41=1,Thermostat!$C$7,Thermostat!$C$8)</f>
        <v>66</v>
      </c>
      <c r="T62" s="473">
        <f>IF(T41=1,Thermostat!$C$7,Thermostat!$C$8)</f>
        <v>66</v>
      </c>
      <c r="U62" s="473">
        <f>IF(U41=1,Thermostat!$C$7,Thermostat!$C$8)</f>
        <v>66</v>
      </c>
      <c r="V62" s="473">
        <f>IF(V41=1,Thermostat!$C$7,Thermostat!$C$8)</f>
        <v>66</v>
      </c>
      <c r="W62" s="473">
        <f>IF(W41=1,Thermostat!$C$7,Thermostat!$C$8)</f>
        <v>66</v>
      </c>
      <c r="X62" s="473">
        <f>IF(X41=1,Thermostat!$C$7,Thermostat!$C$8)</f>
        <v>66</v>
      </c>
      <c r="Y62" s="473">
        <f>IF(Y41=1,Thermostat!$C$7,Thermostat!$C$8)</f>
        <v>66</v>
      </c>
      <c r="Z62" s="473">
        <f>IF(Z41=1,Thermostat!$C$7,Thermostat!$C$8)</f>
        <v>66</v>
      </c>
      <c r="AA62" s="473">
        <f>IF(AA41=1,Thermostat!$C$7,Thermostat!$C$8)</f>
        <v>66</v>
      </c>
      <c r="AB62" s="473">
        <f>IF(AB41=1,Thermostat!$C$7,Thermostat!$C$8)</f>
        <v>66</v>
      </c>
      <c r="AC62" s="474">
        <f>IF(AC41=1,Thermostat!$C$7,Thermostat!$C$8)</f>
        <v>66</v>
      </c>
      <c r="AD62" s="90"/>
      <c r="AE62" s="90"/>
      <c r="AF62" s="90"/>
      <c r="AG62" s="90"/>
      <c r="AH62" s="90"/>
      <c r="AI62" s="90"/>
      <c r="AJ62" s="90"/>
      <c r="AK62" s="90"/>
    </row>
    <row r="63" spans="1:41" ht="30.6" customHeight="1" x14ac:dyDescent="0.3">
      <c r="A63" s="970"/>
      <c r="B63" s="973"/>
      <c r="C63" s="976"/>
      <c r="D63" s="942"/>
      <c r="E63" s="516" t="s">
        <v>620</v>
      </c>
      <c r="F63" s="459">
        <f>IF(F42=1,Thermostat!$C$7,Thermostat!$C$8)</f>
        <v>66</v>
      </c>
      <c r="G63" s="459">
        <f>IF(G42=1,Thermostat!$C$7,Thermostat!$C$8)</f>
        <v>60</v>
      </c>
      <c r="H63" s="459">
        <f>IF(H42=1,Thermostat!$C$7,Thermostat!$C$8)</f>
        <v>60</v>
      </c>
      <c r="I63" s="459">
        <f>IF(I42=1,Thermostat!$C$7,Thermostat!$C$8)</f>
        <v>60</v>
      </c>
      <c r="J63" s="459">
        <f>IF(J42=1,Thermostat!$C$7,Thermostat!$C$8)</f>
        <v>60</v>
      </c>
      <c r="K63" s="459">
        <f>IF(K42=1,Thermostat!$C$7,Thermostat!$C$8)</f>
        <v>66</v>
      </c>
      <c r="L63" s="459">
        <f>IF(L42=1,Thermostat!$C$7,Thermostat!$C$8)</f>
        <v>66</v>
      </c>
      <c r="M63" s="459">
        <f>IF(M42=1,Thermostat!$C$7,Thermostat!$C$8)</f>
        <v>66</v>
      </c>
      <c r="N63" s="459">
        <f>IF(N42=1,Thermostat!$C$7,Thermostat!$C$8)</f>
        <v>66</v>
      </c>
      <c r="O63" s="459">
        <f>IF(O42=1,Thermostat!$C$7,Thermostat!$C$8)</f>
        <v>66</v>
      </c>
      <c r="P63" s="459">
        <f>IF(P42=1,Thermostat!$C$7,Thermostat!$C$8)</f>
        <v>66</v>
      </c>
      <c r="Q63" s="459">
        <f>IF(Q42=1,Thermostat!$C$7,Thermostat!$C$8)</f>
        <v>66</v>
      </c>
      <c r="R63" s="459">
        <f>IF(R42=1,Thermostat!$C$7,Thermostat!$C$8)</f>
        <v>66</v>
      </c>
      <c r="S63" s="459">
        <f>IF(S42=1,Thermostat!$C$7,Thermostat!$C$8)</f>
        <v>66</v>
      </c>
      <c r="T63" s="459">
        <f>IF(T42=1,Thermostat!$C$7,Thermostat!$C$8)</f>
        <v>66</v>
      </c>
      <c r="U63" s="459">
        <f>IF(U42=1,Thermostat!$C$7,Thermostat!$C$8)</f>
        <v>66</v>
      </c>
      <c r="V63" s="459">
        <f>IF(V42=1,Thermostat!$C$7,Thermostat!$C$8)</f>
        <v>66</v>
      </c>
      <c r="W63" s="459">
        <f>IF(W42=1,Thermostat!$C$7,Thermostat!$C$8)</f>
        <v>66</v>
      </c>
      <c r="X63" s="459">
        <f>IF(X42=1,Thermostat!$C$7,Thermostat!$C$8)</f>
        <v>66</v>
      </c>
      <c r="Y63" s="459">
        <f>IF(Y42=1,Thermostat!$C$7,Thermostat!$C$8)</f>
        <v>66</v>
      </c>
      <c r="Z63" s="459">
        <f>IF(Z42=1,Thermostat!$C$7,Thermostat!$C$8)</f>
        <v>66</v>
      </c>
      <c r="AA63" s="459">
        <f>IF(AA42=1,Thermostat!$C$7,Thermostat!$C$8)</f>
        <v>66</v>
      </c>
      <c r="AB63" s="459">
        <f>IF(AB42=1,Thermostat!$C$7,Thermostat!$C$8)</f>
        <v>66</v>
      </c>
      <c r="AC63" s="475">
        <f>IF(AC42=1,Thermostat!$C$7,Thermostat!$C$8)</f>
        <v>66</v>
      </c>
      <c r="AD63" s="90"/>
      <c r="AE63" s="90"/>
      <c r="AF63" s="90"/>
      <c r="AG63" s="90"/>
      <c r="AH63" s="90"/>
      <c r="AI63" s="90"/>
      <c r="AJ63" s="90"/>
      <c r="AK63" s="90"/>
    </row>
    <row r="64" spans="1:41" ht="30.6" customHeight="1" thickBot="1" x14ac:dyDescent="0.35">
      <c r="A64" s="992"/>
      <c r="B64" s="994"/>
      <c r="C64" s="995"/>
      <c r="D64" s="997"/>
      <c r="E64" s="517" t="s">
        <v>621</v>
      </c>
      <c r="F64" s="459">
        <f>IF(F43=1,Thermostat!$C$7,Thermostat!$C$8)</f>
        <v>66</v>
      </c>
      <c r="G64" s="459">
        <f>IF(G43=1,Thermostat!$C$7,Thermostat!$C$8)</f>
        <v>60</v>
      </c>
      <c r="H64" s="459">
        <f>IF(H43=1,Thermostat!$C$7,Thermostat!$C$8)</f>
        <v>60</v>
      </c>
      <c r="I64" s="459">
        <f>IF(I43=1,Thermostat!$C$7,Thermostat!$C$8)</f>
        <v>60</v>
      </c>
      <c r="J64" s="459">
        <f>IF(J43=1,Thermostat!$C$7,Thermostat!$C$8)</f>
        <v>60</v>
      </c>
      <c r="K64" s="459">
        <f>IF(K43=1,Thermostat!$C$7,Thermostat!$C$8)</f>
        <v>66</v>
      </c>
      <c r="L64" s="459">
        <f>IF(L43=1,Thermostat!$C$7,Thermostat!$C$8)</f>
        <v>66</v>
      </c>
      <c r="M64" s="459">
        <f>IF(M43=1,Thermostat!$C$7,Thermostat!$C$8)</f>
        <v>66</v>
      </c>
      <c r="N64" s="459">
        <f>IF(N43=1,Thermostat!$C$7,Thermostat!$C$8)</f>
        <v>66</v>
      </c>
      <c r="O64" s="459">
        <f>IF(O43=1,Thermostat!$C$7,Thermostat!$C$8)</f>
        <v>66</v>
      </c>
      <c r="P64" s="459">
        <f>IF(P43=1,Thermostat!$C$7,Thermostat!$C$8)</f>
        <v>66</v>
      </c>
      <c r="Q64" s="459">
        <f>IF(Q43=1,Thermostat!$C$7,Thermostat!$C$8)</f>
        <v>66</v>
      </c>
      <c r="R64" s="459">
        <f>IF(R43=1,Thermostat!$C$7,Thermostat!$C$8)</f>
        <v>66</v>
      </c>
      <c r="S64" s="459">
        <f>IF(S43=1,Thermostat!$C$7,Thermostat!$C$8)</f>
        <v>66</v>
      </c>
      <c r="T64" s="459">
        <f>IF(T43=1,Thermostat!$C$7,Thermostat!$C$8)</f>
        <v>66</v>
      </c>
      <c r="U64" s="459">
        <f>IF(U43=1,Thermostat!$C$7,Thermostat!$C$8)</f>
        <v>66</v>
      </c>
      <c r="V64" s="459">
        <f>IF(V43=1,Thermostat!$C$7,Thermostat!$C$8)</f>
        <v>66</v>
      </c>
      <c r="W64" s="459">
        <f>IF(W43=1,Thermostat!$C$7,Thermostat!$C$8)</f>
        <v>66</v>
      </c>
      <c r="X64" s="459">
        <f>IF(X43=1,Thermostat!$C$7,Thermostat!$C$8)</f>
        <v>66</v>
      </c>
      <c r="Y64" s="459">
        <f>IF(Y43=1,Thermostat!$C$7,Thermostat!$C$8)</f>
        <v>66</v>
      </c>
      <c r="Z64" s="459">
        <f>IF(Z43=1,Thermostat!$C$7,Thermostat!$C$8)</f>
        <v>66</v>
      </c>
      <c r="AA64" s="459">
        <f>IF(AA43=1,Thermostat!$C$7,Thermostat!$C$8)</f>
        <v>66</v>
      </c>
      <c r="AB64" s="459">
        <f>IF(AB43=1,Thermostat!$C$7,Thermostat!$C$8)</f>
        <v>66</v>
      </c>
      <c r="AC64" s="475">
        <f>IF(AC43=1,Thermostat!$C$7,Thermostat!$C$8)</f>
        <v>66</v>
      </c>
      <c r="AD64" s="90"/>
      <c r="AE64" s="90"/>
      <c r="AF64" s="90"/>
      <c r="AG64" s="90"/>
      <c r="AH64" s="90"/>
      <c r="AI64" s="90"/>
      <c r="AJ64" s="90"/>
      <c r="AK64" s="90"/>
    </row>
    <row r="65" spans="1:37" ht="30.6" customHeight="1" x14ac:dyDescent="0.3">
      <c r="A65" s="969" t="str">
        <f>A59</f>
        <v>Kitchen</v>
      </c>
      <c r="B65" s="972" t="str">
        <f>B59</f>
        <v>Kitchen</v>
      </c>
      <c r="C65" s="975" t="s">
        <v>634</v>
      </c>
      <c r="D65" s="941" t="s">
        <v>641</v>
      </c>
      <c r="E65" s="518" t="s">
        <v>619</v>
      </c>
      <c r="F65" s="463">
        <f>IF(F41=1,Thermostat!$C$9,Thermostat!$C$10)</f>
        <v>79</v>
      </c>
      <c r="G65" s="463">
        <f>IF(G41=1,Thermostat!$C$9,Thermostat!$C$10)</f>
        <v>86</v>
      </c>
      <c r="H65" s="463">
        <f>IF(H41=1,Thermostat!$C$9,Thermostat!$C$10)</f>
        <v>86</v>
      </c>
      <c r="I65" s="463">
        <f>IF(I41=1,Thermostat!$C$9,Thermostat!$C$10)</f>
        <v>86</v>
      </c>
      <c r="J65" s="463">
        <f>IF(J41=1,Thermostat!$C$9,Thermostat!$C$10)</f>
        <v>79</v>
      </c>
      <c r="K65" s="463">
        <f>IF(K41=1,Thermostat!$C$9,Thermostat!$C$10)</f>
        <v>79</v>
      </c>
      <c r="L65" s="463">
        <f>IF(L41=1,Thermostat!$C$9,Thermostat!$C$10)</f>
        <v>79</v>
      </c>
      <c r="M65" s="463">
        <f>IF(M41=1,Thermostat!$C$9,Thermostat!$C$10)</f>
        <v>79</v>
      </c>
      <c r="N65" s="463">
        <f>IF(N41=1,Thermostat!$C$9,Thermostat!$C$10)</f>
        <v>79</v>
      </c>
      <c r="O65" s="463">
        <f>IF(O41=1,Thermostat!$C$9,Thermostat!$C$10)</f>
        <v>79</v>
      </c>
      <c r="P65" s="463">
        <f>IF(P41=1,Thermostat!$C$9,Thermostat!$C$10)</f>
        <v>79</v>
      </c>
      <c r="Q65" s="463">
        <f>IF(Q41=1,Thermostat!$C$9,Thermostat!$C$10)</f>
        <v>79</v>
      </c>
      <c r="R65" s="463">
        <f>IF(R41=1,Thermostat!$C$9,Thermostat!$C$10)</f>
        <v>79</v>
      </c>
      <c r="S65" s="463">
        <f>IF(S41=1,Thermostat!$C$9,Thermostat!$C$10)</f>
        <v>79</v>
      </c>
      <c r="T65" s="463">
        <f>IF(T41=1,Thermostat!$C$9,Thermostat!$C$10)</f>
        <v>79</v>
      </c>
      <c r="U65" s="463">
        <f>IF(U41=1,Thermostat!$C$9,Thermostat!$C$10)</f>
        <v>79</v>
      </c>
      <c r="V65" s="463">
        <f>IF(V41=1,Thermostat!$C$9,Thermostat!$C$10)</f>
        <v>79</v>
      </c>
      <c r="W65" s="463">
        <f>IF(W41=1,Thermostat!$C$9,Thermostat!$C$10)</f>
        <v>79</v>
      </c>
      <c r="X65" s="463">
        <f>IF(X41=1,Thermostat!$C$9,Thermostat!$C$10)</f>
        <v>79</v>
      </c>
      <c r="Y65" s="463">
        <f>IF(Y41=1,Thermostat!$C$9,Thermostat!$C$10)</f>
        <v>79</v>
      </c>
      <c r="Z65" s="463">
        <f>IF(Z41=1,Thermostat!$C$9,Thermostat!$C$10)</f>
        <v>79</v>
      </c>
      <c r="AA65" s="463">
        <f>IF(AA41=1,Thermostat!$C$9,Thermostat!$C$10)</f>
        <v>79</v>
      </c>
      <c r="AB65" s="463">
        <f>IF(AB41=1,Thermostat!$C$9,Thermostat!$C$10)</f>
        <v>79</v>
      </c>
      <c r="AC65" s="476">
        <f>IF(AC41=1,Thermostat!$C$9,Thermostat!$C$10)</f>
        <v>79</v>
      </c>
      <c r="AD65" s="90"/>
      <c r="AE65" s="90"/>
      <c r="AF65" s="90"/>
      <c r="AG65" s="90"/>
      <c r="AH65" s="90"/>
      <c r="AI65" s="90"/>
      <c r="AJ65" s="90"/>
      <c r="AK65" s="90"/>
    </row>
    <row r="66" spans="1:37" ht="30.6" customHeight="1" x14ac:dyDescent="0.3">
      <c r="A66" s="970"/>
      <c r="B66" s="973"/>
      <c r="C66" s="976"/>
      <c r="D66" s="942"/>
      <c r="E66" s="519" t="s">
        <v>620</v>
      </c>
      <c r="F66" s="466">
        <f>IF(F42=1,Thermostat!$C$9,Thermostat!$C$10)</f>
        <v>79</v>
      </c>
      <c r="G66" s="466">
        <f>IF(G42=1,Thermostat!$C$9,Thermostat!$C$10)</f>
        <v>86</v>
      </c>
      <c r="H66" s="466">
        <f>IF(H42=1,Thermostat!$C$9,Thermostat!$C$10)</f>
        <v>86</v>
      </c>
      <c r="I66" s="466">
        <f>IF(I42=1,Thermostat!$C$9,Thermostat!$C$10)</f>
        <v>86</v>
      </c>
      <c r="J66" s="466">
        <f>IF(J42=1,Thermostat!$C$9,Thermostat!$C$10)</f>
        <v>86</v>
      </c>
      <c r="K66" s="466">
        <f>IF(K42=1,Thermostat!$C$9,Thermostat!$C$10)</f>
        <v>79</v>
      </c>
      <c r="L66" s="466">
        <f>IF(L42=1,Thermostat!$C$9,Thermostat!$C$10)</f>
        <v>79</v>
      </c>
      <c r="M66" s="466">
        <f>IF(M42=1,Thermostat!$C$9,Thermostat!$C$10)</f>
        <v>79</v>
      </c>
      <c r="N66" s="466">
        <f>IF(N42=1,Thermostat!$C$9,Thermostat!$C$10)</f>
        <v>79</v>
      </c>
      <c r="O66" s="466">
        <f>IF(O42=1,Thermostat!$C$9,Thermostat!$C$10)</f>
        <v>79</v>
      </c>
      <c r="P66" s="466">
        <f>IF(P42=1,Thermostat!$C$9,Thermostat!$C$10)</f>
        <v>79</v>
      </c>
      <c r="Q66" s="466">
        <f>IF(Q42=1,Thermostat!$C$9,Thermostat!$C$10)</f>
        <v>79</v>
      </c>
      <c r="R66" s="466">
        <f>IF(R42=1,Thermostat!$C$9,Thermostat!$C$10)</f>
        <v>79</v>
      </c>
      <c r="S66" s="466">
        <f>IF(S42=1,Thermostat!$C$9,Thermostat!$C$10)</f>
        <v>79</v>
      </c>
      <c r="T66" s="466">
        <f>IF(T42=1,Thermostat!$C$9,Thermostat!$C$10)</f>
        <v>79</v>
      </c>
      <c r="U66" s="466">
        <f>IF(U42=1,Thermostat!$C$9,Thermostat!$C$10)</f>
        <v>79</v>
      </c>
      <c r="V66" s="466">
        <f>IF(V42=1,Thermostat!$C$9,Thermostat!$C$10)</f>
        <v>79</v>
      </c>
      <c r="W66" s="466">
        <f>IF(W42=1,Thermostat!$C$9,Thermostat!$C$10)</f>
        <v>79</v>
      </c>
      <c r="X66" s="466">
        <f>IF(X42=1,Thermostat!$C$9,Thermostat!$C$10)</f>
        <v>79</v>
      </c>
      <c r="Y66" s="466">
        <f>IF(Y42=1,Thermostat!$C$9,Thermostat!$C$10)</f>
        <v>79</v>
      </c>
      <c r="Z66" s="466">
        <f>IF(Z42=1,Thermostat!$C$9,Thermostat!$C$10)</f>
        <v>79</v>
      </c>
      <c r="AA66" s="466">
        <f>IF(AA42=1,Thermostat!$C$9,Thermostat!$C$10)</f>
        <v>79</v>
      </c>
      <c r="AB66" s="466">
        <f>IF(AB42=1,Thermostat!$C$9,Thermostat!$C$10)</f>
        <v>79</v>
      </c>
      <c r="AC66" s="477">
        <f>IF(AC42=1,Thermostat!$C$9,Thermostat!$C$10)</f>
        <v>79</v>
      </c>
      <c r="AD66" s="90"/>
      <c r="AE66" s="90"/>
      <c r="AF66" s="90"/>
      <c r="AG66" s="90"/>
      <c r="AH66" s="90"/>
      <c r="AI66" s="90"/>
      <c r="AJ66" s="90"/>
      <c r="AK66" s="90"/>
    </row>
    <row r="67" spans="1:37" ht="30.6" customHeight="1" thickBot="1" x14ac:dyDescent="0.35">
      <c r="A67" s="971"/>
      <c r="B67" s="974"/>
      <c r="C67" s="977"/>
      <c r="D67" s="943"/>
      <c r="E67" s="520" t="s">
        <v>621</v>
      </c>
      <c r="F67" s="478">
        <f>IF(F43=1,Thermostat!$C$9,Thermostat!$C$10)</f>
        <v>79</v>
      </c>
      <c r="G67" s="478">
        <f>IF(G43=1,Thermostat!$C$9,Thermostat!$C$10)</f>
        <v>86</v>
      </c>
      <c r="H67" s="478">
        <f>IF(H43=1,Thermostat!$C$9,Thermostat!$C$10)</f>
        <v>86</v>
      </c>
      <c r="I67" s="478">
        <f>IF(I43=1,Thermostat!$C$9,Thermostat!$C$10)</f>
        <v>86</v>
      </c>
      <c r="J67" s="478">
        <f>IF(J43=1,Thermostat!$C$9,Thermostat!$C$10)</f>
        <v>86</v>
      </c>
      <c r="K67" s="478">
        <f>IF(K43=1,Thermostat!$C$9,Thermostat!$C$10)</f>
        <v>79</v>
      </c>
      <c r="L67" s="478">
        <f>IF(L43=1,Thermostat!$C$9,Thermostat!$C$10)</f>
        <v>79</v>
      </c>
      <c r="M67" s="478">
        <f>IF(M43=1,Thermostat!$C$9,Thermostat!$C$10)</f>
        <v>79</v>
      </c>
      <c r="N67" s="478">
        <f>IF(N43=1,Thermostat!$C$9,Thermostat!$C$10)</f>
        <v>79</v>
      </c>
      <c r="O67" s="478">
        <f>IF(O43=1,Thermostat!$C$9,Thermostat!$C$10)</f>
        <v>79</v>
      </c>
      <c r="P67" s="478">
        <f>IF(P43=1,Thermostat!$C$9,Thermostat!$C$10)</f>
        <v>79</v>
      </c>
      <c r="Q67" s="478">
        <f>IF(Q43=1,Thermostat!$C$9,Thermostat!$C$10)</f>
        <v>79</v>
      </c>
      <c r="R67" s="478">
        <f>IF(R43=1,Thermostat!$C$9,Thermostat!$C$10)</f>
        <v>79</v>
      </c>
      <c r="S67" s="478">
        <f>IF(S43=1,Thermostat!$C$9,Thermostat!$C$10)</f>
        <v>79</v>
      </c>
      <c r="T67" s="478">
        <f>IF(T43=1,Thermostat!$C$9,Thermostat!$C$10)</f>
        <v>79</v>
      </c>
      <c r="U67" s="478">
        <f>IF(U43=1,Thermostat!$C$9,Thermostat!$C$10)</f>
        <v>79</v>
      </c>
      <c r="V67" s="478">
        <f>IF(V43=1,Thermostat!$C$9,Thermostat!$C$10)</f>
        <v>79</v>
      </c>
      <c r="W67" s="478">
        <f>IF(W43=1,Thermostat!$C$9,Thermostat!$C$10)</f>
        <v>79</v>
      </c>
      <c r="X67" s="478">
        <f>IF(X43=1,Thermostat!$C$9,Thermostat!$C$10)</f>
        <v>79</v>
      </c>
      <c r="Y67" s="478">
        <f>IF(Y43=1,Thermostat!$C$9,Thermostat!$C$10)</f>
        <v>79</v>
      </c>
      <c r="Z67" s="478">
        <f>IF(Z43=1,Thermostat!$C$9,Thermostat!$C$10)</f>
        <v>79</v>
      </c>
      <c r="AA67" s="478">
        <f>IF(AA43=1,Thermostat!$C$9,Thermostat!$C$10)</f>
        <v>79</v>
      </c>
      <c r="AB67" s="478">
        <f>IF(AB43=1,Thermostat!$C$9,Thermostat!$C$10)</f>
        <v>79</v>
      </c>
      <c r="AC67" s="479">
        <f>IF(AC43=1,Thermostat!$C$9,Thermostat!$C$10)</f>
        <v>79</v>
      </c>
      <c r="AD67" s="90"/>
      <c r="AE67" s="90"/>
      <c r="AF67" s="90"/>
      <c r="AG67" s="90"/>
      <c r="AH67" s="90"/>
      <c r="AI67" s="90"/>
      <c r="AJ67" s="90"/>
      <c r="AK67" s="90"/>
    </row>
    <row r="68" spans="1:37" ht="30.6" customHeight="1" thickBot="1" x14ac:dyDescent="0.35">
      <c r="A68" s="966" t="s">
        <v>642</v>
      </c>
      <c r="B68" s="967"/>
      <c r="C68" s="967"/>
      <c r="D68" s="967"/>
      <c r="E68" s="967"/>
      <c r="F68" s="967"/>
      <c r="G68" s="967"/>
      <c r="H68" s="967"/>
      <c r="I68" s="967"/>
      <c r="J68" s="967"/>
      <c r="K68" s="967"/>
      <c r="L68" s="967"/>
      <c r="M68" s="967"/>
      <c r="N68" s="967"/>
      <c r="O68" s="967"/>
      <c r="P68" s="967"/>
      <c r="Q68" s="967"/>
      <c r="R68" s="967"/>
      <c r="S68" s="967"/>
      <c r="T68" s="967"/>
      <c r="U68" s="967"/>
      <c r="V68" s="967"/>
      <c r="W68" s="967"/>
      <c r="X68" s="967"/>
      <c r="Y68" s="967"/>
      <c r="Z68" s="967"/>
      <c r="AA68" s="967"/>
      <c r="AB68" s="967"/>
      <c r="AC68" s="968"/>
      <c r="AD68" s="90"/>
      <c r="AE68" s="90"/>
      <c r="AF68" s="90"/>
      <c r="AG68" s="90"/>
      <c r="AH68" s="90"/>
      <c r="AI68" s="90"/>
      <c r="AJ68" s="90"/>
      <c r="AK68" s="90"/>
    </row>
    <row r="69" spans="1:37" ht="30.6" customHeight="1" x14ac:dyDescent="0.3">
      <c r="A69" s="946"/>
      <c r="B69" s="949" t="s">
        <v>203</v>
      </c>
      <c r="C69" s="952" t="s">
        <v>643</v>
      </c>
      <c r="D69" s="955"/>
      <c r="E69" s="502" t="s">
        <v>619</v>
      </c>
      <c r="F69" s="503">
        <v>1</v>
      </c>
      <c r="G69" s="503">
        <v>1</v>
      </c>
      <c r="H69" s="503">
        <v>1</v>
      </c>
      <c r="I69" s="503">
        <v>1</v>
      </c>
      <c r="J69" s="503">
        <v>1</v>
      </c>
      <c r="K69" s="503">
        <v>1</v>
      </c>
      <c r="L69" s="503">
        <v>1</v>
      </c>
      <c r="M69" s="503">
        <v>1</v>
      </c>
      <c r="N69" s="503">
        <v>1</v>
      </c>
      <c r="O69" s="503">
        <v>1</v>
      </c>
      <c r="P69" s="503">
        <v>1</v>
      </c>
      <c r="Q69" s="503">
        <v>1</v>
      </c>
      <c r="R69" s="503">
        <v>1</v>
      </c>
      <c r="S69" s="503">
        <v>1</v>
      </c>
      <c r="T69" s="503">
        <v>1</v>
      </c>
      <c r="U69" s="503">
        <v>1</v>
      </c>
      <c r="V69" s="503">
        <v>1</v>
      </c>
      <c r="W69" s="503">
        <v>1</v>
      </c>
      <c r="X69" s="503">
        <v>1</v>
      </c>
      <c r="Y69" s="503">
        <v>1</v>
      </c>
      <c r="Z69" s="503">
        <v>1</v>
      </c>
      <c r="AA69" s="503">
        <v>1</v>
      </c>
      <c r="AB69" s="503">
        <v>1</v>
      </c>
      <c r="AC69" s="504">
        <v>1</v>
      </c>
      <c r="AD69" s="90"/>
      <c r="AE69" s="90"/>
      <c r="AF69" s="90"/>
      <c r="AG69" s="90"/>
      <c r="AH69" s="90"/>
      <c r="AI69" s="90"/>
      <c r="AJ69" s="90"/>
      <c r="AK69" s="90"/>
    </row>
    <row r="70" spans="1:37" ht="30.6" customHeight="1" x14ac:dyDescent="0.3">
      <c r="A70" s="947"/>
      <c r="B70" s="950"/>
      <c r="C70" s="953"/>
      <c r="D70" s="956"/>
      <c r="E70" s="497" t="s">
        <v>620</v>
      </c>
      <c r="F70" s="466">
        <v>1</v>
      </c>
      <c r="G70" s="466">
        <v>1</v>
      </c>
      <c r="H70" s="466">
        <v>1</v>
      </c>
      <c r="I70" s="466">
        <v>1</v>
      </c>
      <c r="J70" s="466">
        <v>1</v>
      </c>
      <c r="K70" s="466">
        <v>1</v>
      </c>
      <c r="L70" s="466">
        <v>1</v>
      </c>
      <c r="M70" s="466">
        <v>1</v>
      </c>
      <c r="N70" s="466">
        <v>1</v>
      </c>
      <c r="O70" s="466">
        <v>1</v>
      </c>
      <c r="P70" s="466">
        <v>1</v>
      </c>
      <c r="Q70" s="466">
        <v>1</v>
      </c>
      <c r="R70" s="466">
        <v>1</v>
      </c>
      <c r="S70" s="466">
        <v>1</v>
      </c>
      <c r="T70" s="466">
        <v>1</v>
      </c>
      <c r="U70" s="466">
        <v>1</v>
      </c>
      <c r="V70" s="466">
        <v>1</v>
      </c>
      <c r="W70" s="466">
        <v>1</v>
      </c>
      <c r="X70" s="466">
        <v>1</v>
      </c>
      <c r="Y70" s="466">
        <v>1</v>
      </c>
      <c r="Z70" s="466">
        <v>1</v>
      </c>
      <c r="AA70" s="466">
        <v>1</v>
      </c>
      <c r="AB70" s="466">
        <v>1</v>
      </c>
      <c r="AC70" s="477">
        <v>1</v>
      </c>
      <c r="AD70" s="90"/>
      <c r="AE70" s="90"/>
      <c r="AF70" s="90"/>
      <c r="AG70" s="90"/>
      <c r="AH70" s="90"/>
      <c r="AI70" s="90"/>
      <c r="AJ70" s="90"/>
      <c r="AK70" s="90"/>
    </row>
    <row r="71" spans="1:37" ht="30.6" customHeight="1" thickBot="1" x14ac:dyDescent="0.35">
      <c r="A71" s="948"/>
      <c r="B71" s="951"/>
      <c r="C71" s="954"/>
      <c r="D71" s="957"/>
      <c r="E71" s="505" t="s">
        <v>621</v>
      </c>
      <c r="F71" s="478">
        <v>1</v>
      </c>
      <c r="G71" s="478">
        <v>1</v>
      </c>
      <c r="H71" s="478">
        <v>1</v>
      </c>
      <c r="I71" s="478">
        <v>1</v>
      </c>
      <c r="J71" s="478">
        <v>1</v>
      </c>
      <c r="K71" s="478">
        <v>1</v>
      </c>
      <c r="L71" s="478">
        <v>1</v>
      </c>
      <c r="M71" s="478">
        <v>1</v>
      </c>
      <c r="N71" s="478">
        <v>1</v>
      </c>
      <c r="O71" s="478">
        <v>1</v>
      </c>
      <c r="P71" s="478">
        <v>1</v>
      </c>
      <c r="Q71" s="478">
        <v>1</v>
      </c>
      <c r="R71" s="478">
        <v>1</v>
      </c>
      <c r="S71" s="478">
        <v>1</v>
      </c>
      <c r="T71" s="478">
        <v>1</v>
      </c>
      <c r="U71" s="478">
        <v>1</v>
      </c>
      <c r="V71" s="478">
        <v>1</v>
      </c>
      <c r="W71" s="478">
        <v>1</v>
      </c>
      <c r="X71" s="478">
        <v>1</v>
      </c>
      <c r="Y71" s="478">
        <v>1</v>
      </c>
      <c r="Z71" s="478">
        <v>1</v>
      </c>
      <c r="AA71" s="478">
        <v>1</v>
      </c>
      <c r="AB71" s="478">
        <v>1</v>
      </c>
      <c r="AC71" s="479">
        <v>1</v>
      </c>
      <c r="AD71" s="90"/>
      <c r="AE71" s="90"/>
      <c r="AF71" s="90"/>
      <c r="AG71" s="90"/>
      <c r="AH71" s="90"/>
      <c r="AI71" s="90"/>
      <c r="AJ71" s="90"/>
      <c r="AK71" s="90"/>
    </row>
    <row r="72" spans="1:37" ht="30.6" customHeight="1" x14ac:dyDescent="0.3">
      <c r="A72" s="958"/>
      <c r="B72" s="961" t="s">
        <v>203</v>
      </c>
      <c r="C72" s="963" t="s">
        <v>644</v>
      </c>
      <c r="D72" s="956"/>
      <c r="E72" s="496" t="s">
        <v>619</v>
      </c>
      <c r="F72" s="556">
        <v>0</v>
      </c>
      <c r="G72" s="556">
        <v>0</v>
      </c>
      <c r="H72" s="556">
        <v>0</v>
      </c>
      <c r="I72" s="556">
        <v>0</v>
      </c>
      <c r="J72" s="556">
        <v>0</v>
      </c>
      <c r="K72" s="556">
        <v>1</v>
      </c>
      <c r="L72" s="556">
        <v>1</v>
      </c>
      <c r="M72" s="556">
        <v>1</v>
      </c>
      <c r="N72" s="556">
        <v>1</v>
      </c>
      <c r="O72" s="556">
        <v>1</v>
      </c>
      <c r="P72" s="556">
        <v>1</v>
      </c>
      <c r="Q72" s="556">
        <v>1</v>
      </c>
      <c r="R72" s="556">
        <v>1</v>
      </c>
      <c r="S72" s="556">
        <v>1</v>
      </c>
      <c r="T72" s="556">
        <v>1</v>
      </c>
      <c r="U72" s="556">
        <v>1</v>
      </c>
      <c r="V72" s="556">
        <v>1</v>
      </c>
      <c r="W72" s="556">
        <v>1</v>
      </c>
      <c r="X72" s="556">
        <v>1</v>
      </c>
      <c r="Y72" s="556">
        <v>1</v>
      </c>
      <c r="Z72" s="556">
        <v>1</v>
      </c>
      <c r="AA72" s="556">
        <v>1</v>
      </c>
      <c r="AB72" s="556">
        <v>0</v>
      </c>
      <c r="AC72" s="501">
        <v>0</v>
      </c>
      <c r="AD72" s="90"/>
      <c r="AE72" s="90"/>
      <c r="AF72" s="90"/>
      <c r="AG72" s="90"/>
      <c r="AH72" s="90"/>
      <c r="AI72" s="90"/>
      <c r="AJ72" s="90"/>
      <c r="AK72" s="90"/>
    </row>
    <row r="73" spans="1:37" ht="30.6" customHeight="1" x14ac:dyDescent="0.3">
      <c r="A73" s="959"/>
      <c r="B73" s="950"/>
      <c r="C73" s="953"/>
      <c r="D73" s="956"/>
      <c r="E73" s="497" t="s">
        <v>620</v>
      </c>
      <c r="F73" s="466">
        <v>0</v>
      </c>
      <c r="G73" s="466">
        <v>0</v>
      </c>
      <c r="H73" s="466">
        <v>0</v>
      </c>
      <c r="I73" s="466">
        <v>0</v>
      </c>
      <c r="J73" s="466">
        <v>0</v>
      </c>
      <c r="K73" s="466">
        <v>1</v>
      </c>
      <c r="L73" s="466">
        <v>1</v>
      </c>
      <c r="M73" s="466">
        <v>1</v>
      </c>
      <c r="N73" s="466">
        <v>1</v>
      </c>
      <c r="O73" s="466">
        <v>1</v>
      </c>
      <c r="P73" s="466">
        <v>1</v>
      </c>
      <c r="Q73" s="466">
        <v>1</v>
      </c>
      <c r="R73" s="466">
        <v>1</v>
      </c>
      <c r="S73" s="466">
        <v>1</v>
      </c>
      <c r="T73" s="466">
        <v>1</v>
      </c>
      <c r="U73" s="466">
        <v>1</v>
      </c>
      <c r="V73" s="466">
        <v>1</v>
      </c>
      <c r="W73" s="466">
        <v>1</v>
      </c>
      <c r="X73" s="466">
        <v>1</v>
      </c>
      <c r="Y73" s="466">
        <v>1</v>
      </c>
      <c r="Z73" s="466">
        <v>1</v>
      </c>
      <c r="AA73" s="466">
        <v>1</v>
      </c>
      <c r="AB73" s="466">
        <v>1</v>
      </c>
      <c r="AC73" s="499">
        <v>1</v>
      </c>
      <c r="AD73" s="90"/>
      <c r="AE73" s="90"/>
      <c r="AF73" s="90"/>
      <c r="AG73" s="90"/>
      <c r="AH73" s="90"/>
      <c r="AI73" s="90"/>
      <c r="AJ73" s="90"/>
      <c r="AK73" s="90"/>
    </row>
    <row r="74" spans="1:37" ht="30.6" customHeight="1" thickBot="1" x14ac:dyDescent="0.35">
      <c r="A74" s="960"/>
      <c r="B74" s="962"/>
      <c r="C74" s="964"/>
      <c r="D74" s="965"/>
      <c r="E74" s="498" t="s">
        <v>621</v>
      </c>
      <c r="F74" s="469">
        <v>0</v>
      </c>
      <c r="G74" s="469">
        <v>0</v>
      </c>
      <c r="H74" s="469">
        <v>0</v>
      </c>
      <c r="I74" s="469">
        <v>0</v>
      </c>
      <c r="J74" s="469">
        <v>0</v>
      </c>
      <c r="K74" s="469">
        <v>1</v>
      </c>
      <c r="L74" s="469">
        <v>1</v>
      </c>
      <c r="M74" s="469">
        <v>1</v>
      </c>
      <c r="N74" s="469">
        <v>1</v>
      </c>
      <c r="O74" s="469">
        <v>1</v>
      </c>
      <c r="P74" s="469">
        <v>1</v>
      </c>
      <c r="Q74" s="469">
        <v>1</v>
      </c>
      <c r="R74" s="469">
        <v>1</v>
      </c>
      <c r="S74" s="469">
        <v>1</v>
      </c>
      <c r="T74" s="469">
        <v>1</v>
      </c>
      <c r="U74" s="469">
        <v>1</v>
      </c>
      <c r="V74" s="469">
        <v>1</v>
      </c>
      <c r="W74" s="469">
        <v>1</v>
      </c>
      <c r="X74" s="469">
        <v>1</v>
      </c>
      <c r="Y74" s="469">
        <v>1</v>
      </c>
      <c r="Z74" s="469">
        <v>1</v>
      </c>
      <c r="AA74" s="469">
        <v>1</v>
      </c>
      <c r="AB74" s="469">
        <v>1</v>
      </c>
      <c r="AC74" s="500">
        <v>1</v>
      </c>
      <c r="AD74" s="90"/>
      <c r="AE74" s="90"/>
      <c r="AF74" s="90"/>
      <c r="AG74" s="90"/>
      <c r="AH74" s="90"/>
      <c r="AI74" s="90"/>
      <c r="AJ74" s="90"/>
      <c r="AK74" s="90"/>
    </row>
    <row r="75" spans="1:37" ht="30.6" customHeight="1" x14ac:dyDescent="0.3">
      <c r="A75" s="921" t="s">
        <v>107</v>
      </c>
      <c r="B75" s="924" t="s">
        <v>203</v>
      </c>
      <c r="C75" s="927" t="s">
        <v>645</v>
      </c>
      <c r="D75" s="930" t="s">
        <v>646</v>
      </c>
      <c r="E75" s="333" t="s">
        <v>619</v>
      </c>
      <c r="F75" s="483">
        <v>161.19999999999999</v>
      </c>
      <c r="G75" s="483">
        <v>161.19999999999999</v>
      </c>
      <c r="H75" s="483">
        <v>161.19999999999999</v>
      </c>
      <c r="I75" s="483">
        <v>161.19999999999999</v>
      </c>
      <c r="J75" s="483">
        <v>161.19999999999999</v>
      </c>
      <c r="K75" s="483">
        <v>161.19999999999999</v>
      </c>
      <c r="L75" s="483">
        <v>161.19999999999999</v>
      </c>
      <c r="M75" s="483">
        <v>161.19999999999999</v>
      </c>
      <c r="N75" s="483">
        <v>161.19999999999999</v>
      </c>
      <c r="O75" s="483">
        <v>161.19999999999999</v>
      </c>
      <c r="P75" s="483">
        <v>161.19999999999999</v>
      </c>
      <c r="Q75" s="483">
        <v>161.19999999999999</v>
      </c>
      <c r="R75" s="483">
        <v>161.19999999999999</v>
      </c>
      <c r="S75" s="483">
        <v>161.19999999999999</v>
      </c>
      <c r="T75" s="483">
        <v>161.19999999999999</v>
      </c>
      <c r="U75" s="483">
        <v>161.19999999999999</v>
      </c>
      <c r="V75" s="483">
        <v>161.19999999999999</v>
      </c>
      <c r="W75" s="483">
        <v>161.19999999999999</v>
      </c>
      <c r="X75" s="483">
        <v>161.19999999999999</v>
      </c>
      <c r="Y75" s="483">
        <v>161.19999999999999</v>
      </c>
      <c r="Z75" s="483">
        <v>161.19999999999999</v>
      </c>
      <c r="AA75" s="483">
        <v>161.19999999999999</v>
      </c>
      <c r="AB75" s="483">
        <v>161.19999999999999</v>
      </c>
      <c r="AC75" s="484">
        <v>161.19999999999999</v>
      </c>
      <c r="AD75" s="90"/>
      <c r="AE75" s="90"/>
      <c r="AF75" s="90"/>
      <c r="AG75" s="90"/>
      <c r="AH75" s="90"/>
      <c r="AI75" s="90"/>
      <c r="AJ75" s="90"/>
      <c r="AK75" s="90"/>
    </row>
    <row r="76" spans="1:37" ht="30.6" customHeight="1" x14ac:dyDescent="0.3">
      <c r="A76" s="922"/>
      <c r="B76" s="925"/>
      <c r="C76" s="928"/>
      <c r="D76" s="931"/>
      <c r="E76" s="336" t="s">
        <v>620</v>
      </c>
      <c r="F76" s="485">
        <v>161.19999999999999</v>
      </c>
      <c r="G76" s="486">
        <v>161.19999999999999</v>
      </c>
      <c r="H76" s="486">
        <v>161.19999999999999</v>
      </c>
      <c r="I76" s="485">
        <v>161.19999999999999</v>
      </c>
      <c r="J76" s="485">
        <v>161.19999999999999</v>
      </c>
      <c r="K76" s="485">
        <v>161.19999999999999</v>
      </c>
      <c r="L76" s="485">
        <v>161.19999999999999</v>
      </c>
      <c r="M76" s="485">
        <v>161.19999999999999</v>
      </c>
      <c r="N76" s="485">
        <v>161.19999999999999</v>
      </c>
      <c r="O76" s="485">
        <v>161.19999999999999</v>
      </c>
      <c r="P76" s="485">
        <v>161.19999999999999</v>
      </c>
      <c r="Q76" s="485">
        <v>161.19999999999999</v>
      </c>
      <c r="R76" s="485">
        <v>161.19999999999999</v>
      </c>
      <c r="S76" s="485">
        <v>161.19999999999999</v>
      </c>
      <c r="T76" s="485">
        <v>161.19999999999999</v>
      </c>
      <c r="U76" s="485">
        <v>161.19999999999999</v>
      </c>
      <c r="V76" s="485">
        <v>161.19999999999999</v>
      </c>
      <c r="W76" s="485">
        <v>161.19999999999999</v>
      </c>
      <c r="X76" s="485">
        <v>161.19999999999999</v>
      </c>
      <c r="Y76" s="485">
        <v>161.19999999999999</v>
      </c>
      <c r="Z76" s="485">
        <v>161.19999999999999</v>
      </c>
      <c r="AA76" s="485">
        <v>161.19999999999999</v>
      </c>
      <c r="AB76" s="485">
        <v>161.19999999999999</v>
      </c>
      <c r="AC76" s="487">
        <v>161.19999999999999</v>
      </c>
      <c r="AD76" s="90"/>
      <c r="AE76" s="90"/>
      <c r="AF76" s="90"/>
      <c r="AG76" s="90"/>
      <c r="AH76" s="90"/>
      <c r="AI76" s="90"/>
      <c r="AJ76" s="90"/>
      <c r="AK76" s="90"/>
    </row>
    <row r="77" spans="1:37" ht="30.6" customHeight="1" thickBot="1" x14ac:dyDescent="0.35">
      <c r="A77" s="923"/>
      <c r="B77" s="926"/>
      <c r="C77" s="929"/>
      <c r="D77" s="932"/>
      <c r="E77" s="482" t="s">
        <v>621</v>
      </c>
      <c r="F77" s="488">
        <v>161.19999999999999</v>
      </c>
      <c r="G77" s="489">
        <v>161.19999999999999</v>
      </c>
      <c r="H77" s="489">
        <v>161.19999999999999</v>
      </c>
      <c r="I77" s="488">
        <v>161.19999999999999</v>
      </c>
      <c r="J77" s="488">
        <v>161.19999999999999</v>
      </c>
      <c r="K77" s="488">
        <v>161.19999999999999</v>
      </c>
      <c r="L77" s="488">
        <v>161.19999999999999</v>
      </c>
      <c r="M77" s="488">
        <v>161.19999999999999</v>
      </c>
      <c r="N77" s="488">
        <v>161.19999999999999</v>
      </c>
      <c r="O77" s="488">
        <v>161.19999999999999</v>
      </c>
      <c r="P77" s="488">
        <v>161.19999999999999</v>
      </c>
      <c r="Q77" s="488">
        <v>161.19999999999999</v>
      </c>
      <c r="R77" s="488">
        <v>161.19999999999999</v>
      </c>
      <c r="S77" s="488">
        <v>161.19999999999999</v>
      </c>
      <c r="T77" s="488">
        <v>161.19999999999999</v>
      </c>
      <c r="U77" s="488">
        <v>161.19999999999999</v>
      </c>
      <c r="V77" s="488">
        <v>161.19999999999999</v>
      </c>
      <c r="W77" s="488">
        <v>161.19999999999999</v>
      </c>
      <c r="X77" s="488">
        <v>161.19999999999999</v>
      </c>
      <c r="Y77" s="488">
        <v>161.19999999999999</v>
      </c>
      <c r="Z77" s="488">
        <v>161.19999999999999</v>
      </c>
      <c r="AA77" s="488">
        <v>161.19999999999999</v>
      </c>
      <c r="AB77" s="488">
        <v>161.19999999999999</v>
      </c>
      <c r="AC77" s="490">
        <v>161.19999999999999</v>
      </c>
      <c r="AD77" s="90"/>
      <c r="AE77" s="90"/>
      <c r="AF77" s="90"/>
      <c r="AG77" s="90"/>
      <c r="AH77" s="90"/>
      <c r="AI77" s="90"/>
      <c r="AJ77" s="90"/>
      <c r="AK77" s="90"/>
    </row>
    <row r="78" spans="1:37" ht="30.6" customHeight="1" x14ac:dyDescent="0.3">
      <c r="A78" s="933" t="s">
        <v>108</v>
      </c>
      <c r="B78" s="936" t="s">
        <v>203</v>
      </c>
      <c r="C78" s="938" t="s">
        <v>647</v>
      </c>
      <c r="D78" s="941" t="s">
        <v>646</v>
      </c>
      <c r="E78" s="142" t="s">
        <v>619</v>
      </c>
      <c r="F78" s="491">
        <v>219.8</v>
      </c>
      <c r="G78" s="491">
        <v>219.8</v>
      </c>
      <c r="H78" s="491">
        <v>219.8</v>
      </c>
      <c r="I78" s="491">
        <v>219.8</v>
      </c>
      <c r="J78" s="491">
        <v>219.8</v>
      </c>
      <c r="K78" s="491">
        <v>219.8</v>
      </c>
      <c r="L78" s="491">
        <v>219.8</v>
      </c>
      <c r="M78" s="491">
        <v>219.8</v>
      </c>
      <c r="N78" s="491">
        <v>219.8</v>
      </c>
      <c r="O78" s="491">
        <v>219.8</v>
      </c>
      <c r="P78" s="491">
        <v>219.8</v>
      </c>
      <c r="Q78" s="491">
        <v>219.8</v>
      </c>
      <c r="R78" s="491">
        <v>219.8</v>
      </c>
      <c r="S78" s="491">
        <v>219.8</v>
      </c>
      <c r="T78" s="491">
        <v>219.8</v>
      </c>
      <c r="U78" s="491">
        <v>219.8</v>
      </c>
      <c r="V78" s="491">
        <v>219.8</v>
      </c>
      <c r="W78" s="491">
        <v>219.8</v>
      </c>
      <c r="X78" s="491">
        <v>219.8</v>
      </c>
      <c r="Y78" s="491">
        <v>219.8</v>
      </c>
      <c r="Z78" s="491">
        <v>219.8</v>
      </c>
      <c r="AA78" s="491">
        <v>219.8</v>
      </c>
      <c r="AB78" s="491">
        <v>219.8</v>
      </c>
      <c r="AC78" s="492">
        <v>219.8</v>
      </c>
      <c r="AD78" s="90"/>
      <c r="AE78" s="90"/>
      <c r="AF78" s="90"/>
      <c r="AG78" s="90"/>
      <c r="AH78" s="90"/>
      <c r="AI78" s="90"/>
      <c r="AJ78" s="90"/>
      <c r="AK78" s="90"/>
    </row>
    <row r="79" spans="1:37" ht="30.6" customHeight="1" x14ac:dyDescent="0.3">
      <c r="A79" s="934"/>
      <c r="B79" s="925"/>
      <c r="C79" s="939"/>
      <c r="D79" s="942"/>
      <c r="E79" s="143" t="s">
        <v>620</v>
      </c>
      <c r="F79" s="485">
        <v>219.8</v>
      </c>
      <c r="G79" s="485">
        <v>219.8</v>
      </c>
      <c r="H79" s="485">
        <v>219.8</v>
      </c>
      <c r="I79" s="485">
        <v>219.8</v>
      </c>
      <c r="J79" s="485">
        <v>219.8</v>
      </c>
      <c r="K79" s="485">
        <v>219.8</v>
      </c>
      <c r="L79" s="485">
        <v>219.8</v>
      </c>
      <c r="M79" s="485">
        <v>219.8</v>
      </c>
      <c r="N79" s="485">
        <v>219.8</v>
      </c>
      <c r="O79" s="485">
        <v>219.8</v>
      </c>
      <c r="P79" s="485">
        <v>219.8</v>
      </c>
      <c r="Q79" s="485">
        <v>219.8</v>
      </c>
      <c r="R79" s="485">
        <v>219.8</v>
      </c>
      <c r="S79" s="485">
        <v>219.8</v>
      </c>
      <c r="T79" s="485">
        <v>219.8</v>
      </c>
      <c r="U79" s="485">
        <v>219.8</v>
      </c>
      <c r="V79" s="485">
        <v>219.8</v>
      </c>
      <c r="W79" s="485">
        <v>219.8</v>
      </c>
      <c r="X79" s="485">
        <v>219.8</v>
      </c>
      <c r="Y79" s="485">
        <v>219.8</v>
      </c>
      <c r="Z79" s="485">
        <v>219.8</v>
      </c>
      <c r="AA79" s="485">
        <v>219.8</v>
      </c>
      <c r="AB79" s="485">
        <v>219.8</v>
      </c>
      <c r="AC79" s="493">
        <v>219.8</v>
      </c>
      <c r="AD79" s="90"/>
      <c r="AE79" s="90"/>
      <c r="AF79" s="90"/>
      <c r="AG79" s="90"/>
      <c r="AH79" s="90"/>
      <c r="AI79" s="90"/>
      <c r="AJ79" s="90"/>
      <c r="AK79" s="90"/>
    </row>
    <row r="80" spans="1:37" ht="30.6" customHeight="1" thickBot="1" x14ac:dyDescent="0.35">
      <c r="A80" s="935"/>
      <c r="B80" s="937"/>
      <c r="C80" s="940"/>
      <c r="D80" s="943"/>
      <c r="E80" s="149" t="s">
        <v>621</v>
      </c>
      <c r="F80" s="494">
        <v>219.8</v>
      </c>
      <c r="G80" s="494">
        <v>219.8</v>
      </c>
      <c r="H80" s="494">
        <v>219.8</v>
      </c>
      <c r="I80" s="494">
        <v>219.8</v>
      </c>
      <c r="J80" s="494">
        <v>219.8</v>
      </c>
      <c r="K80" s="494">
        <v>219.8</v>
      </c>
      <c r="L80" s="494">
        <v>219.8</v>
      </c>
      <c r="M80" s="494">
        <v>219.8</v>
      </c>
      <c r="N80" s="494">
        <v>219.8</v>
      </c>
      <c r="O80" s="494">
        <v>219.8</v>
      </c>
      <c r="P80" s="494">
        <v>219.8</v>
      </c>
      <c r="Q80" s="494">
        <v>219.8</v>
      </c>
      <c r="R80" s="494">
        <v>219.8</v>
      </c>
      <c r="S80" s="494">
        <v>219.8</v>
      </c>
      <c r="T80" s="494">
        <v>219.8</v>
      </c>
      <c r="U80" s="494">
        <v>219.8</v>
      </c>
      <c r="V80" s="494">
        <v>219.8</v>
      </c>
      <c r="W80" s="494">
        <v>219.8</v>
      </c>
      <c r="X80" s="494">
        <v>219.8</v>
      </c>
      <c r="Y80" s="494">
        <v>219.8</v>
      </c>
      <c r="Z80" s="494">
        <v>219.8</v>
      </c>
      <c r="AA80" s="494">
        <v>219.8</v>
      </c>
      <c r="AB80" s="494">
        <v>219.8</v>
      </c>
      <c r="AC80" s="495">
        <v>219.8</v>
      </c>
      <c r="AD80" s="90"/>
      <c r="AE80" s="90"/>
      <c r="AF80" s="90"/>
      <c r="AG80" s="90"/>
      <c r="AH80" s="90"/>
      <c r="AI80" s="90"/>
      <c r="AJ80" s="90"/>
      <c r="AK80" s="90"/>
    </row>
    <row r="81" spans="1:41" x14ac:dyDescent="0.3">
      <c r="B81" s="454"/>
      <c r="C81" s="454"/>
      <c r="D81" s="454"/>
      <c r="F81" s="347"/>
      <c r="G81" s="347"/>
      <c r="H81" s="347"/>
      <c r="I81" s="347"/>
      <c r="J81" s="347"/>
      <c r="K81" s="347"/>
      <c r="L81" s="347"/>
      <c r="M81" s="347"/>
      <c r="N81" s="347"/>
      <c r="O81" s="347"/>
      <c r="P81" s="347"/>
      <c r="Q81" s="347"/>
      <c r="R81" s="347"/>
      <c r="S81" s="347"/>
      <c r="T81" s="347"/>
      <c r="U81" s="347"/>
      <c r="V81" s="347"/>
      <c r="W81" s="347"/>
      <c r="X81" s="347"/>
      <c r="Y81" s="347"/>
      <c r="Z81" s="347"/>
      <c r="AA81" s="347"/>
      <c r="AB81" s="347"/>
      <c r="AC81" s="347"/>
      <c r="AD81" s="90"/>
      <c r="AE81" s="90"/>
      <c r="AF81" s="90"/>
      <c r="AG81" s="90"/>
      <c r="AH81" s="90"/>
      <c r="AI81" s="90"/>
      <c r="AJ81" s="90"/>
      <c r="AK81" s="90"/>
      <c r="AM81" s="100"/>
      <c r="AO81" s="168"/>
    </row>
    <row r="82" spans="1:41" x14ac:dyDescent="0.3">
      <c r="B82" s="454"/>
      <c r="C82" s="454"/>
      <c r="D82" s="454"/>
      <c r="F82" s="347"/>
      <c r="G82" s="347"/>
      <c r="H82" s="347"/>
      <c r="I82" s="347"/>
      <c r="J82" s="347"/>
      <c r="K82" s="347"/>
      <c r="L82" s="347"/>
      <c r="M82" s="347"/>
      <c r="N82" s="347"/>
      <c r="O82" s="347"/>
      <c r="P82" s="347"/>
      <c r="Q82" s="347"/>
      <c r="R82" s="347"/>
      <c r="S82" s="347"/>
      <c r="T82" s="347"/>
      <c r="U82" s="347"/>
      <c r="V82" s="347"/>
      <c r="W82" s="347"/>
      <c r="X82" s="347"/>
      <c r="Y82" s="347"/>
      <c r="Z82" s="347"/>
      <c r="AA82" s="347"/>
      <c r="AB82" s="347"/>
      <c r="AC82" s="347"/>
      <c r="AD82" s="90"/>
      <c r="AE82" s="90"/>
      <c r="AF82" s="90"/>
      <c r="AG82" s="90"/>
      <c r="AH82" s="90"/>
      <c r="AI82" s="90"/>
      <c r="AJ82" s="90"/>
      <c r="AK82" s="90"/>
      <c r="AM82" s="100"/>
      <c r="AO82" s="168"/>
    </row>
    <row r="83" spans="1:41" x14ac:dyDescent="0.3">
      <c r="B83" s="454"/>
      <c r="C83" s="454"/>
      <c r="D83" s="454"/>
      <c r="F83" s="347"/>
      <c r="G83" s="347"/>
      <c r="H83" s="347"/>
      <c r="I83" s="347"/>
      <c r="J83" s="347"/>
      <c r="K83" s="347"/>
      <c r="L83" s="347"/>
      <c r="M83" s="347"/>
      <c r="N83" s="347"/>
      <c r="O83" s="347"/>
      <c r="P83" s="347"/>
      <c r="Q83" s="347"/>
      <c r="R83" s="347"/>
      <c r="S83" s="347"/>
      <c r="T83" s="347"/>
      <c r="U83" s="347"/>
      <c r="V83" s="347"/>
      <c r="W83" s="347"/>
      <c r="X83" s="347"/>
      <c r="Y83" s="347"/>
      <c r="Z83" s="347"/>
      <c r="AA83" s="347"/>
      <c r="AB83" s="347"/>
      <c r="AC83" s="347"/>
      <c r="AD83" s="90"/>
      <c r="AE83" s="90"/>
      <c r="AF83" s="90"/>
      <c r="AG83" s="90"/>
      <c r="AH83" s="90"/>
      <c r="AI83" s="90"/>
      <c r="AJ83" s="90"/>
      <c r="AK83" s="90"/>
      <c r="AM83" s="100"/>
      <c r="AO83" s="168"/>
    </row>
    <row r="84" spans="1:41" x14ac:dyDescent="0.3">
      <c r="B84" s="454"/>
      <c r="C84" s="454"/>
      <c r="D84" s="454"/>
      <c r="F84" s="347"/>
      <c r="G84" s="347"/>
      <c r="H84" s="347"/>
      <c r="I84" s="347"/>
      <c r="J84" s="347"/>
      <c r="K84" s="347"/>
      <c r="L84" s="347"/>
      <c r="M84" s="347"/>
      <c r="N84" s="347"/>
      <c r="O84" s="347"/>
      <c r="P84" s="347"/>
      <c r="Q84" s="347"/>
      <c r="R84" s="347"/>
      <c r="S84" s="347"/>
      <c r="T84" s="347"/>
      <c r="U84" s="347"/>
      <c r="V84" s="347"/>
      <c r="W84" s="347"/>
      <c r="X84" s="347"/>
      <c r="Y84" s="347"/>
      <c r="Z84" s="347"/>
      <c r="AA84" s="347"/>
      <c r="AB84" s="347"/>
      <c r="AC84" s="347"/>
      <c r="AD84" s="90"/>
      <c r="AE84" s="90"/>
      <c r="AF84" s="90"/>
      <c r="AG84" s="90"/>
      <c r="AH84" s="90"/>
      <c r="AI84" s="90"/>
      <c r="AJ84" s="90"/>
      <c r="AK84" s="90"/>
      <c r="AM84" s="100"/>
      <c r="AO84" s="168"/>
    </row>
    <row r="85" spans="1:41" x14ac:dyDescent="0.3">
      <c r="B85" s="454"/>
      <c r="C85" s="454"/>
      <c r="D85" s="454"/>
      <c r="F85" s="347"/>
      <c r="G85" s="347"/>
      <c r="H85" s="347"/>
      <c r="I85" s="347"/>
      <c r="J85" s="347"/>
      <c r="K85" s="347"/>
      <c r="L85" s="347"/>
      <c r="M85" s="347"/>
      <c r="N85" s="347"/>
      <c r="O85" s="347"/>
      <c r="P85" s="347"/>
      <c r="Q85" s="347"/>
      <c r="R85" s="347"/>
      <c r="S85" s="347"/>
      <c r="T85" s="347"/>
      <c r="U85" s="347"/>
      <c r="V85" s="347"/>
      <c r="W85" s="347"/>
      <c r="X85" s="347"/>
      <c r="Y85" s="347"/>
      <c r="Z85" s="347"/>
      <c r="AA85" s="347"/>
      <c r="AB85" s="347"/>
      <c r="AC85" s="347"/>
      <c r="AD85" s="90"/>
      <c r="AE85" s="90"/>
      <c r="AF85" s="90"/>
      <c r="AG85" s="90"/>
      <c r="AH85" s="90"/>
      <c r="AI85" s="90"/>
      <c r="AJ85" s="90"/>
      <c r="AK85" s="90"/>
      <c r="AM85" s="100"/>
      <c r="AO85" s="168"/>
    </row>
    <row r="86" spans="1:41" x14ac:dyDescent="0.3">
      <c r="B86" s="454"/>
      <c r="C86" s="454"/>
      <c r="D86" s="454"/>
      <c r="F86" s="347"/>
      <c r="G86" s="347"/>
      <c r="H86" s="347"/>
      <c r="I86" s="347"/>
      <c r="J86" s="347"/>
      <c r="K86" s="347"/>
      <c r="L86" s="347"/>
      <c r="M86" s="347"/>
      <c r="N86" s="347"/>
      <c r="O86" s="347"/>
      <c r="P86" s="347"/>
      <c r="Q86" s="347"/>
      <c r="R86" s="347"/>
      <c r="S86" s="347"/>
      <c r="T86" s="347"/>
      <c r="U86" s="347"/>
      <c r="V86" s="347"/>
      <c r="W86" s="347"/>
      <c r="X86" s="347"/>
      <c r="Y86" s="347"/>
      <c r="Z86" s="347"/>
      <c r="AA86" s="347"/>
      <c r="AB86" s="347"/>
      <c r="AC86" s="347"/>
      <c r="AD86" s="90"/>
      <c r="AE86" s="90"/>
      <c r="AF86" s="90"/>
      <c r="AG86" s="90"/>
      <c r="AH86" s="90"/>
      <c r="AI86" s="90"/>
      <c r="AJ86" s="90"/>
      <c r="AK86" s="90"/>
      <c r="AM86" s="100"/>
      <c r="AO86" s="168"/>
    </row>
    <row r="87" spans="1:41" x14ac:dyDescent="0.3">
      <c r="B87" s="454"/>
      <c r="C87" s="454"/>
      <c r="D87" s="454"/>
      <c r="F87" s="347"/>
      <c r="G87" s="347"/>
      <c r="H87" s="347"/>
      <c r="I87" s="347"/>
      <c r="J87" s="347"/>
      <c r="K87" s="347"/>
      <c r="L87" s="347"/>
      <c r="M87" s="347"/>
      <c r="N87" s="347"/>
      <c r="O87" s="347"/>
      <c r="P87" s="347"/>
      <c r="Q87" s="347"/>
      <c r="R87" s="347"/>
      <c r="S87" s="347"/>
      <c r="T87" s="347"/>
      <c r="U87" s="347"/>
      <c r="V87" s="347"/>
      <c r="W87" s="347"/>
      <c r="X87" s="347"/>
      <c r="Y87" s="347"/>
      <c r="Z87" s="347"/>
      <c r="AA87" s="347"/>
      <c r="AB87" s="347"/>
      <c r="AC87" s="347"/>
      <c r="AD87" s="90"/>
      <c r="AE87" s="90"/>
      <c r="AF87" s="90"/>
      <c r="AG87" s="90"/>
      <c r="AH87" s="90"/>
      <c r="AI87" s="90"/>
      <c r="AJ87" s="90"/>
      <c r="AK87" s="90"/>
      <c r="AM87" s="100"/>
      <c r="AO87" s="168"/>
    </row>
    <row r="88" spans="1:41" x14ac:dyDescent="0.3">
      <c r="B88" s="454"/>
      <c r="C88" s="454"/>
      <c r="D88" s="454"/>
      <c r="F88" s="347"/>
      <c r="G88" s="347"/>
      <c r="H88" s="347"/>
      <c r="I88" s="347"/>
      <c r="J88" s="347"/>
      <c r="K88" s="347"/>
      <c r="L88" s="347"/>
      <c r="M88" s="347"/>
      <c r="N88" s="347"/>
      <c r="O88" s="347"/>
      <c r="P88" s="347"/>
      <c r="Q88" s="347"/>
      <c r="R88" s="347"/>
      <c r="S88" s="347"/>
      <c r="T88" s="347"/>
      <c r="U88" s="347"/>
      <c r="V88" s="347"/>
      <c r="W88" s="347"/>
      <c r="X88" s="347"/>
      <c r="Y88" s="347"/>
      <c r="Z88" s="347"/>
      <c r="AA88" s="347"/>
      <c r="AB88" s="347"/>
      <c r="AC88" s="347"/>
      <c r="AD88" s="90"/>
      <c r="AE88" s="90"/>
      <c r="AF88" s="90"/>
      <c r="AG88" s="90"/>
      <c r="AH88" s="90"/>
      <c r="AI88" s="90"/>
      <c r="AJ88" s="90"/>
      <c r="AK88" s="90"/>
      <c r="AM88" s="100"/>
      <c r="AO88" s="168"/>
    </row>
    <row r="89" spans="1:41" x14ac:dyDescent="0.3">
      <c r="B89" s="454"/>
      <c r="C89" s="454"/>
      <c r="D89" s="454"/>
      <c r="F89" s="347"/>
      <c r="G89" s="347"/>
      <c r="H89" s="347"/>
      <c r="I89" s="347"/>
      <c r="J89" s="347"/>
      <c r="K89" s="347"/>
      <c r="L89" s="347"/>
      <c r="M89" s="347"/>
      <c r="N89" s="347"/>
      <c r="O89" s="347"/>
      <c r="P89" s="347"/>
      <c r="Q89" s="347"/>
      <c r="R89" s="347"/>
      <c r="S89" s="347"/>
      <c r="T89" s="347"/>
      <c r="U89" s="347"/>
      <c r="V89" s="347"/>
      <c r="W89" s="347"/>
      <c r="X89" s="347"/>
      <c r="Y89" s="347"/>
      <c r="Z89" s="347"/>
      <c r="AA89" s="347"/>
      <c r="AB89" s="347"/>
      <c r="AC89" s="347"/>
      <c r="AD89" s="90"/>
      <c r="AE89" s="90"/>
      <c r="AF89" s="90"/>
      <c r="AG89" s="90"/>
      <c r="AH89" s="90"/>
      <c r="AI89" s="90"/>
      <c r="AJ89" s="90"/>
      <c r="AK89" s="90"/>
      <c r="AM89" s="100"/>
      <c r="AO89" s="168"/>
    </row>
    <row r="90" spans="1:41" x14ac:dyDescent="0.3">
      <c r="B90" s="454"/>
      <c r="C90" s="454"/>
      <c r="D90" s="454"/>
      <c r="F90" s="347"/>
      <c r="G90" s="347"/>
      <c r="H90" s="347"/>
      <c r="I90" s="347"/>
      <c r="J90" s="347"/>
      <c r="K90" s="347"/>
      <c r="L90" s="347"/>
      <c r="M90" s="347"/>
      <c r="N90" s="347"/>
      <c r="O90" s="347"/>
      <c r="P90" s="347"/>
      <c r="Q90" s="347"/>
      <c r="R90" s="347"/>
      <c r="S90" s="347"/>
      <c r="T90" s="347"/>
      <c r="U90" s="347"/>
      <c r="V90" s="347"/>
      <c r="W90" s="347"/>
      <c r="X90" s="347"/>
      <c r="Y90" s="347"/>
      <c r="Z90" s="347"/>
      <c r="AA90" s="347"/>
      <c r="AB90" s="347"/>
      <c r="AC90" s="347"/>
      <c r="AD90" s="90"/>
      <c r="AE90" s="90"/>
      <c r="AF90" s="90"/>
      <c r="AG90" s="90"/>
      <c r="AH90" s="90"/>
      <c r="AI90" s="90"/>
      <c r="AJ90" s="90"/>
      <c r="AK90" s="90"/>
      <c r="AM90" s="100"/>
      <c r="AO90" s="168"/>
    </row>
    <row r="91" spans="1:41" s="480" customFormat="1" ht="13.2" x14ac:dyDescent="0.3">
      <c r="A91" s="481" t="s">
        <v>88</v>
      </c>
      <c r="C91" s="175"/>
      <c r="D91" s="175"/>
      <c r="E91" s="175"/>
      <c r="F91" s="175"/>
      <c r="G91" s="175"/>
    </row>
    <row r="92" spans="1:41" s="290" customFormat="1" ht="13.2" x14ac:dyDescent="0.3">
      <c r="A92" s="189"/>
      <c r="C92" s="84"/>
      <c r="D92" s="84"/>
      <c r="E92" s="84"/>
      <c r="F92" s="84"/>
      <c r="G92" s="84"/>
    </row>
    <row r="93" spans="1:41" s="290" customFormat="1" ht="15.6" x14ac:dyDescent="0.3">
      <c r="A93" s="1039" t="s">
        <v>648</v>
      </c>
      <c r="B93" s="1040"/>
      <c r="C93" s="1040"/>
      <c r="D93" s="1040"/>
      <c r="E93" s="1040"/>
      <c r="F93" s="1040"/>
      <c r="G93" s="84"/>
    </row>
    <row r="94" spans="1:41" s="290" customFormat="1" ht="14.4" x14ac:dyDescent="0.3">
      <c r="A94" s="49" t="s">
        <v>649</v>
      </c>
      <c r="B94" s="49" t="s">
        <v>616</v>
      </c>
      <c r="C94" s="1041" t="s">
        <v>650</v>
      </c>
      <c r="D94" s="1041"/>
      <c r="E94" s="51" t="s">
        <v>620</v>
      </c>
      <c r="F94" s="52" t="s">
        <v>621</v>
      </c>
      <c r="G94" s="84"/>
    </row>
    <row r="95" spans="1:41" s="290" customFormat="1" ht="14.4" x14ac:dyDescent="0.3">
      <c r="A95" s="47" t="s">
        <v>651</v>
      </c>
      <c r="B95" s="47">
        <v>6</v>
      </c>
      <c r="C95" s="47"/>
      <c r="D95" s="655">
        <v>0</v>
      </c>
      <c r="E95" s="657"/>
      <c r="F95" s="10"/>
      <c r="G95" s="84"/>
    </row>
    <row r="96" spans="1:41" s="290" customFormat="1" ht="14.4" x14ac:dyDescent="0.3">
      <c r="A96" s="47" t="s">
        <v>652</v>
      </c>
      <c r="B96" s="47">
        <v>1</v>
      </c>
      <c r="C96" s="47" t="s">
        <v>653</v>
      </c>
      <c r="D96" s="655">
        <v>0.2</v>
      </c>
      <c r="E96" s="657"/>
      <c r="F96" s="10"/>
      <c r="G96" s="84"/>
    </row>
    <row r="97" spans="1:23" s="290" customFormat="1" ht="14.4" x14ac:dyDescent="0.3">
      <c r="A97" s="47" t="s">
        <v>654</v>
      </c>
      <c r="B97" s="47">
        <v>1</v>
      </c>
      <c r="C97" s="47" t="s">
        <v>655</v>
      </c>
      <c r="D97" s="655">
        <v>0.7</v>
      </c>
      <c r="E97" s="657"/>
      <c r="F97" s="10"/>
      <c r="G97" s="84"/>
    </row>
    <row r="98" spans="1:23" s="290" customFormat="1" ht="14.4" x14ac:dyDescent="0.3">
      <c r="A98" s="50" t="s">
        <v>656</v>
      </c>
      <c r="B98" s="47">
        <v>9</v>
      </c>
      <c r="C98" s="47" t="s">
        <v>657</v>
      </c>
      <c r="D98" s="655">
        <v>1</v>
      </c>
      <c r="E98" s="657"/>
      <c r="F98" s="10"/>
      <c r="G98" s="84"/>
    </row>
    <row r="99" spans="1:23" s="290" customFormat="1" ht="14.4" x14ac:dyDescent="0.3">
      <c r="A99" s="47" t="s">
        <v>658</v>
      </c>
      <c r="B99" s="47">
        <v>1</v>
      </c>
      <c r="C99" s="47" t="s">
        <v>655</v>
      </c>
      <c r="D99" s="655">
        <v>0.7</v>
      </c>
      <c r="E99" s="657"/>
      <c r="F99" s="10"/>
      <c r="G99" s="84"/>
    </row>
    <row r="100" spans="1:23" s="57" customFormat="1" ht="18.600000000000001" customHeight="1" x14ac:dyDescent="0.25">
      <c r="A100" s="47" t="s">
        <v>659</v>
      </c>
      <c r="B100" s="47">
        <v>1</v>
      </c>
      <c r="C100" s="47" t="s">
        <v>660</v>
      </c>
      <c r="D100" s="655">
        <v>0.5</v>
      </c>
      <c r="E100" s="657"/>
      <c r="F100" s="10"/>
    </row>
    <row r="101" spans="1:23" s="57" customFormat="1" ht="18.600000000000001" customHeight="1" x14ac:dyDescent="0.25">
      <c r="A101" s="47" t="s">
        <v>661</v>
      </c>
      <c r="B101" s="47">
        <v>1</v>
      </c>
      <c r="C101" s="47" t="s">
        <v>653</v>
      </c>
      <c r="D101" s="655">
        <v>0.3</v>
      </c>
      <c r="E101" s="657"/>
      <c r="F101" s="10"/>
    </row>
    <row r="102" spans="1:23" s="57" customFormat="1" ht="18.600000000000001" customHeight="1" x14ac:dyDescent="0.25">
      <c r="A102" s="47" t="s">
        <v>662</v>
      </c>
      <c r="B102" s="47">
        <v>2</v>
      </c>
      <c r="C102" s="47" t="s">
        <v>653</v>
      </c>
      <c r="D102" s="655">
        <v>0.2</v>
      </c>
      <c r="E102" s="657"/>
      <c r="F102" s="10"/>
    </row>
    <row r="103" spans="1:23" s="57" customFormat="1" ht="18.600000000000001" customHeight="1" x14ac:dyDescent="0.25">
      <c r="A103" s="47" t="s">
        <v>663</v>
      </c>
      <c r="B103" s="47">
        <v>2</v>
      </c>
      <c r="C103" s="47"/>
      <c r="D103" s="655">
        <v>0</v>
      </c>
      <c r="E103" s="657"/>
      <c r="F103" s="656"/>
    </row>
    <row r="104" spans="1:23" s="57" customFormat="1" ht="18.600000000000001" customHeight="1" x14ac:dyDescent="0.25">
      <c r="A104" s="10"/>
      <c r="B104" s="10"/>
      <c r="C104" s="10"/>
      <c r="D104" s="5">
        <f>SUMPRODUCT(D96:D102,B96:B102)</f>
        <v>11.8</v>
      </c>
      <c r="E104" s="53">
        <f>(Schedules!E109-D104*249)/(52*2+11)</f>
        <v>3.0267019900374774</v>
      </c>
      <c r="F104" s="54">
        <v>0</v>
      </c>
    </row>
    <row r="105" spans="1:23" s="57" customFormat="1" ht="18.600000000000001" customHeight="1" x14ac:dyDescent="0.25"/>
    <row r="106" spans="1:23" s="57" customFormat="1" ht="18.600000000000001" customHeight="1" x14ac:dyDescent="0.25"/>
    <row r="107" spans="1:23" customFormat="1" ht="18.600000000000001" customHeight="1" x14ac:dyDescent="0.3">
      <c r="A107" s="1053" t="s">
        <v>664</v>
      </c>
      <c r="B107" s="1053"/>
      <c r="C107" s="1053"/>
      <c r="D107" s="1053"/>
      <c r="E107" s="1053"/>
      <c r="F107" s="1053"/>
      <c r="G107" s="1053"/>
      <c r="H107" s="1053"/>
      <c r="I107" s="1053"/>
      <c r="J107" s="1053"/>
      <c r="K107" s="1053"/>
      <c r="L107" s="1053"/>
      <c r="M107" s="1053"/>
      <c r="N107" s="41"/>
      <c r="O107" s="41"/>
      <c r="P107" s="41"/>
      <c r="Q107" s="41"/>
      <c r="R107" s="41"/>
      <c r="S107" s="41"/>
      <c r="T107" s="41"/>
      <c r="U107" s="41"/>
      <c r="V107" s="41"/>
      <c r="W107" s="41"/>
    </row>
    <row r="108" spans="1:23" customFormat="1" ht="18.600000000000001" customHeight="1" x14ac:dyDescent="0.3">
      <c r="A108" s="42"/>
      <c r="B108" s="42"/>
      <c r="C108" s="42"/>
      <c r="D108" s="42"/>
      <c r="E108" s="42"/>
      <c r="F108" s="42"/>
      <c r="G108" s="42"/>
      <c r="H108" s="42"/>
      <c r="I108" s="42"/>
      <c r="J108" s="42"/>
      <c r="K108" s="42"/>
      <c r="L108" s="42"/>
      <c r="M108" s="42"/>
      <c r="N108" s="2"/>
      <c r="O108" s="2"/>
      <c r="P108" s="2"/>
      <c r="Q108" s="2"/>
      <c r="R108" s="2"/>
      <c r="S108" s="2"/>
      <c r="T108" s="2"/>
      <c r="U108" s="2"/>
      <c r="V108" s="2"/>
      <c r="W108" s="2"/>
    </row>
    <row r="109" spans="1:23" customFormat="1" ht="18" x14ac:dyDescent="0.35">
      <c r="A109" s="1052" t="s">
        <v>665</v>
      </c>
      <c r="B109" s="1052"/>
      <c r="C109" s="1052"/>
      <c r="D109" s="9" t="s">
        <v>666</v>
      </c>
      <c r="E109" s="17">
        <v>3286.2707288543102</v>
      </c>
      <c r="F109" s="13"/>
      <c r="G109" t="s">
        <v>667</v>
      </c>
      <c r="H109">
        <f>52*5-11</f>
        <v>249</v>
      </c>
      <c r="I109" s="13"/>
      <c r="J109" s="13"/>
      <c r="K109" s="13"/>
      <c r="L109" s="13"/>
      <c r="M109" s="13"/>
    </row>
    <row r="110" spans="1:23" customFormat="1" ht="18" x14ac:dyDescent="0.35">
      <c r="A110" s="1052" t="s">
        <v>668</v>
      </c>
      <c r="B110" s="1052"/>
      <c r="C110" s="1052"/>
      <c r="D110" s="9" t="s">
        <v>666</v>
      </c>
      <c r="E110" s="18">
        <v>9.0034814489159292</v>
      </c>
      <c r="F110" s="13"/>
      <c r="G110" s="13"/>
      <c r="H110" s="13"/>
      <c r="I110" s="13"/>
      <c r="J110" s="13"/>
      <c r="K110" s="13"/>
      <c r="L110" s="13"/>
      <c r="M110" s="13"/>
    </row>
    <row r="111" spans="1:23" customFormat="1" ht="30" customHeight="1" x14ac:dyDescent="0.35">
      <c r="A111" s="1054" t="s">
        <v>669</v>
      </c>
      <c r="B111" s="1054"/>
      <c r="C111" s="1054"/>
      <c r="D111" s="45" t="s">
        <v>666</v>
      </c>
      <c r="E111" s="44">
        <f>E109/H109</f>
        <v>13.197874413069519</v>
      </c>
      <c r="F111" s="46"/>
      <c r="G111" s="46"/>
      <c r="H111" s="13"/>
      <c r="I111" s="13"/>
      <c r="J111" s="13"/>
      <c r="K111" s="13"/>
      <c r="L111" s="13"/>
      <c r="M111" s="13"/>
    </row>
    <row r="112" spans="1:23" customFormat="1" ht="18" x14ac:dyDescent="0.35">
      <c r="A112" s="7"/>
      <c r="B112" s="7"/>
      <c r="C112" s="7"/>
      <c r="D112" s="8"/>
      <c r="E112" s="43"/>
      <c r="F112" s="13"/>
      <c r="G112" s="13"/>
      <c r="H112" s="13"/>
      <c r="I112" s="13"/>
      <c r="J112" s="13"/>
      <c r="K112" s="13"/>
      <c r="L112" s="13"/>
      <c r="M112" s="13"/>
    </row>
    <row r="113" spans="1:24" customFormat="1" ht="14.4" x14ac:dyDescent="0.3"/>
    <row r="114" spans="1:24" customFormat="1" ht="15.6" x14ac:dyDescent="0.3">
      <c r="A114" s="27" t="s">
        <v>670</v>
      </c>
      <c r="B114" s="19"/>
      <c r="C114" s="19"/>
      <c r="D114" s="19"/>
      <c r="E114" s="19"/>
      <c r="F114" s="19"/>
      <c r="G114" s="19"/>
      <c r="H114" s="19"/>
      <c r="I114" s="19"/>
      <c r="J114" s="19"/>
      <c r="K114" s="19"/>
      <c r="L114" s="19"/>
    </row>
    <row r="115" spans="1:24" customFormat="1" ht="41.4" x14ac:dyDescent="0.3">
      <c r="A115" s="32" t="s">
        <v>671</v>
      </c>
      <c r="B115" s="32" t="s">
        <v>672</v>
      </c>
      <c r="C115" s="33" t="s">
        <v>61</v>
      </c>
      <c r="D115" s="34" t="s">
        <v>673</v>
      </c>
      <c r="E115" s="34" t="s">
        <v>674</v>
      </c>
      <c r="F115" s="34" t="s">
        <v>675</v>
      </c>
      <c r="G115" s="34" t="s">
        <v>676</v>
      </c>
      <c r="H115" s="34" t="s">
        <v>677</v>
      </c>
      <c r="I115" s="34" t="s">
        <v>678</v>
      </c>
      <c r="J115" s="34" t="s">
        <v>679</v>
      </c>
      <c r="K115" s="34" t="s">
        <v>680</v>
      </c>
      <c r="L115" s="34" t="s">
        <v>98</v>
      </c>
      <c r="M115" s="20" t="s">
        <v>681</v>
      </c>
    </row>
    <row r="116" spans="1:24" customFormat="1" ht="14.4" x14ac:dyDescent="0.3">
      <c r="A116" s="28" t="s">
        <v>682</v>
      </c>
      <c r="B116" s="29" t="s">
        <v>683</v>
      </c>
      <c r="C116" s="30" t="s">
        <v>666</v>
      </c>
      <c r="D116" s="31">
        <v>9.2199272562384325E-3</v>
      </c>
      <c r="E116" s="31">
        <v>0.3704176112589761</v>
      </c>
      <c r="F116" s="31">
        <v>0.52762779289229078</v>
      </c>
      <c r="G116" s="31">
        <v>5.0098236618718602E-2</v>
      </c>
      <c r="H116" s="31">
        <v>1.1767081866806783E-2</v>
      </c>
      <c r="I116" s="31">
        <v>5.6645949132663256E-3</v>
      </c>
      <c r="J116" s="31">
        <v>6.7988415461615378E-3</v>
      </c>
      <c r="K116" s="31">
        <v>1.8405913647544257E-2</v>
      </c>
      <c r="L116" s="31">
        <v>1.0000000000000007</v>
      </c>
      <c r="M116" s="21"/>
    </row>
    <row r="117" spans="1:24" customFormat="1" ht="14.4" x14ac:dyDescent="0.3">
      <c r="A117" s="25"/>
      <c r="B117" s="25"/>
      <c r="C117" s="25"/>
      <c r="D117" s="26"/>
      <c r="E117" s="26"/>
      <c r="F117" s="26"/>
      <c r="G117" s="26"/>
      <c r="H117" s="26"/>
      <c r="I117" s="26"/>
      <c r="J117" s="26"/>
      <c r="K117" s="26"/>
      <c r="L117" s="26"/>
    </row>
    <row r="118" spans="1:24" customFormat="1" ht="14.4" x14ac:dyDescent="0.3">
      <c r="A118" s="27" t="s">
        <v>684</v>
      </c>
    </row>
    <row r="119" spans="1:24" customFormat="1" ht="30.6" x14ac:dyDescent="0.3">
      <c r="A119" s="36" t="s">
        <v>671</v>
      </c>
      <c r="B119" s="36" t="s">
        <v>672</v>
      </c>
      <c r="C119" s="37" t="s">
        <v>61</v>
      </c>
      <c r="D119" s="38" t="s">
        <v>685</v>
      </c>
      <c r="E119" s="38" t="s">
        <v>686</v>
      </c>
      <c r="F119" s="38" t="s">
        <v>687</v>
      </c>
      <c r="G119" s="38" t="s">
        <v>688</v>
      </c>
      <c r="H119" s="38" t="s">
        <v>689</v>
      </c>
      <c r="I119" s="38" t="s">
        <v>690</v>
      </c>
      <c r="J119" s="38" t="s">
        <v>691</v>
      </c>
      <c r="K119" s="38" t="s">
        <v>692</v>
      </c>
      <c r="L119" s="38" t="s">
        <v>693</v>
      </c>
      <c r="M119" s="38" t="s">
        <v>694</v>
      </c>
      <c r="N119" s="38" t="s">
        <v>695</v>
      </c>
      <c r="O119" s="38" t="s">
        <v>696</v>
      </c>
      <c r="P119" s="38" t="s">
        <v>697</v>
      </c>
      <c r="Q119" s="38" t="s">
        <v>698</v>
      </c>
      <c r="R119" s="38" t="s">
        <v>699</v>
      </c>
      <c r="S119" s="38" t="s">
        <v>700</v>
      </c>
      <c r="T119" s="38" t="s">
        <v>701</v>
      </c>
      <c r="U119" s="38" t="s">
        <v>702</v>
      </c>
      <c r="V119" s="38" t="s">
        <v>703</v>
      </c>
      <c r="W119" s="39" t="s">
        <v>98</v>
      </c>
      <c r="X119" s="20" t="s">
        <v>704</v>
      </c>
    </row>
    <row r="120" spans="1:24" customFormat="1" ht="14.4" x14ac:dyDescent="0.3">
      <c r="A120" s="14" t="s">
        <v>682</v>
      </c>
      <c r="B120" s="14" t="s">
        <v>683</v>
      </c>
      <c r="C120" s="14" t="s">
        <v>666</v>
      </c>
      <c r="D120" s="35">
        <v>6.2650871625672202E-4</v>
      </c>
      <c r="E120" s="35">
        <v>3.0686645429828228E-3</v>
      </c>
      <c r="F120" s="35">
        <v>1.5742559501458413E-2</v>
      </c>
      <c r="G120" s="31">
        <v>7.1774338935779822E-2</v>
      </c>
      <c r="H120" s="31">
        <v>0.5363752827612488</v>
      </c>
      <c r="I120" s="31">
        <v>0.19274235306630758</v>
      </c>
      <c r="J120" s="31">
        <v>8.7378482422057049E-2</v>
      </c>
      <c r="K120" s="35">
        <v>2.4838127253031455E-2</v>
      </c>
      <c r="L120" s="35">
        <v>1.9926606377181764E-2</v>
      </c>
      <c r="M120" s="35">
        <v>6.3344986240465653E-3</v>
      </c>
      <c r="N120" s="35">
        <v>5.8534528117841636E-3</v>
      </c>
      <c r="O120" s="35">
        <v>5.3988043496900791E-3</v>
      </c>
      <c r="P120" s="35">
        <v>2.1390822506302141E-3</v>
      </c>
      <c r="Q120" s="35">
        <v>2.5964831938382503E-3</v>
      </c>
      <c r="R120" s="35">
        <v>5.0745005735573491E-5</v>
      </c>
      <c r="S120" s="35">
        <v>0</v>
      </c>
      <c r="T120" s="35">
        <v>3.7350006082068505E-4</v>
      </c>
      <c r="U120" s="35">
        <v>3.45688594189628E-3</v>
      </c>
      <c r="V120" s="35">
        <v>2.1323624185253184E-2</v>
      </c>
      <c r="W120" s="35">
        <v>0.99999999999999944</v>
      </c>
    </row>
    <row r="121" spans="1:24" customFormat="1" ht="14.4" x14ac:dyDescent="0.3"/>
    <row r="122" spans="1:24" customFormat="1" ht="14.4" x14ac:dyDescent="0.3"/>
    <row r="123" spans="1:24" customFormat="1" ht="14.4" x14ac:dyDescent="0.3"/>
    <row r="124" spans="1:24" customFormat="1" ht="25.2" customHeight="1" x14ac:dyDescent="0.3">
      <c r="A124" s="1057" t="s">
        <v>705</v>
      </c>
      <c r="B124" s="1057"/>
      <c r="C124" s="1057"/>
      <c r="D124" s="1057"/>
      <c r="E124" s="1057"/>
      <c r="F124" s="1057"/>
      <c r="G124" s="1057"/>
      <c r="H124" s="1057"/>
      <c r="I124" s="1057"/>
      <c r="J124" s="1057"/>
      <c r="K124" s="1057"/>
      <c r="L124" s="1057"/>
      <c r="M124" s="1057"/>
      <c r="N124" s="40"/>
      <c r="O124" s="40"/>
      <c r="P124" s="40"/>
      <c r="Q124" s="40"/>
      <c r="R124" s="40"/>
      <c r="S124" s="40"/>
      <c r="T124" s="40"/>
      <c r="U124" s="40"/>
      <c r="V124" s="40"/>
      <c r="W124" s="40"/>
    </row>
    <row r="125" spans="1:24" customFormat="1" ht="18" customHeight="1" x14ac:dyDescent="0.3">
      <c r="A125" s="48"/>
      <c r="B125" s="48"/>
      <c r="C125" s="48"/>
      <c r="D125" s="48"/>
      <c r="E125" s="48"/>
      <c r="F125" s="48"/>
      <c r="G125" s="48"/>
      <c r="H125" s="48"/>
      <c r="I125" s="48"/>
      <c r="J125" s="48"/>
      <c r="K125" s="48"/>
      <c r="L125" s="48"/>
      <c r="M125" s="48"/>
    </row>
    <row r="126" spans="1:24" customFormat="1" ht="18" customHeight="1" x14ac:dyDescent="0.3">
      <c r="A126" s="48"/>
      <c r="B126" s="48"/>
      <c r="C126" s="48"/>
      <c r="D126" s="48"/>
      <c r="E126" s="48"/>
      <c r="F126" s="48"/>
      <c r="G126" s="48"/>
      <c r="H126" s="48"/>
      <c r="I126" s="48"/>
      <c r="J126" s="48"/>
      <c r="K126" s="48"/>
      <c r="L126" s="48"/>
      <c r="M126" s="48"/>
    </row>
    <row r="127" spans="1:24" customFormat="1" ht="18" customHeight="1" x14ac:dyDescent="0.3">
      <c r="A127" s="48"/>
      <c r="B127" s="48"/>
      <c r="C127" s="48"/>
      <c r="D127" s="48"/>
      <c r="E127" s="48"/>
      <c r="F127" s="48"/>
      <c r="G127" s="48"/>
      <c r="H127" s="48"/>
      <c r="I127" s="48"/>
      <c r="J127" s="48"/>
      <c r="K127" s="48"/>
      <c r="L127" s="48"/>
      <c r="M127" s="48"/>
    </row>
    <row r="128" spans="1:24" customFormat="1" ht="18" customHeight="1" x14ac:dyDescent="0.3">
      <c r="A128" s="48"/>
      <c r="B128" s="48"/>
      <c r="C128" s="48"/>
      <c r="D128" s="48"/>
      <c r="E128" s="48"/>
      <c r="F128" s="48"/>
      <c r="G128" s="48"/>
      <c r="H128" s="48"/>
      <c r="I128" s="48"/>
      <c r="J128" s="48"/>
      <c r="K128" s="48"/>
      <c r="L128" s="48"/>
      <c r="M128" s="48"/>
    </row>
    <row r="129" spans="1:26" customFormat="1" ht="18" customHeight="1" x14ac:dyDescent="0.3">
      <c r="A129" s="48"/>
      <c r="B129" s="48"/>
      <c r="C129" s="48"/>
      <c r="D129" s="48"/>
      <c r="E129" s="48"/>
      <c r="F129" s="48"/>
      <c r="G129" s="48"/>
      <c r="H129" s="48"/>
      <c r="I129" s="48"/>
      <c r="J129" s="48"/>
      <c r="K129" s="48"/>
      <c r="L129" s="48"/>
      <c r="M129" s="48"/>
    </row>
    <row r="130" spans="1:26" customFormat="1" ht="18" customHeight="1" x14ac:dyDescent="0.3">
      <c r="A130" s="48"/>
      <c r="B130" s="48"/>
      <c r="C130" s="48"/>
      <c r="D130" s="48"/>
      <c r="E130" s="48"/>
      <c r="F130" s="48"/>
      <c r="G130" s="48"/>
      <c r="H130" s="48"/>
      <c r="I130" s="48"/>
      <c r="J130" s="48"/>
      <c r="K130" s="48"/>
      <c r="L130" s="48"/>
      <c r="M130" s="48"/>
    </row>
    <row r="131" spans="1:26" customFormat="1" ht="18" customHeight="1" x14ac:dyDescent="0.3">
      <c r="A131" s="48"/>
      <c r="B131" s="48"/>
      <c r="C131" s="48"/>
      <c r="D131" s="48"/>
      <c r="E131" s="48"/>
      <c r="F131" s="48"/>
      <c r="G131" s="48"/>
      <c r="H131" s="48"/>
      <c r="I131" s="48"/>
      <c r="J131" s="48"/>
      <c r="K131" s="48"/>
      <c r="L131" s="48"/>
      <c r="M131" s="48"/>
    </row>
    <row r="132" spans="1:26" customFormat="1" ht="36" customHeight="1" x14ac:dyDescent="0.3">
      <c r="A132" s="48"/>
      <c r="B132" s="48"/>
      <c r="C132" s="48"/>
      <c r="D132" s="48"/>
      <c r="E132" s="48"/>
      <c r="F132" s="48"/>
      <c r="G132" s="48"/>
      <c r="H132" s="48"/>
      <c r="I132" s="48"/>
      <c r="J132" s="48"/>
      <c r="K132" s="48"/>
      <c r="L132" s="48"/>
      <c r="M132" s="48"/>
    </row>
    <row r="133" spans="1:26" customFormat="1" ht="18" customHeight="1" x14ac:dyDescent="0.3">
      <c r="A133" s="48"/>
      <c r="B133" s="48"/>
      <c r="C133" s="48"/>
      <c r="D133" s="48"/>
      <c r="E133" s="48"/>
      <c r="F133" s="48"/>
      <c r="G133" s="48"/>
      <c r="H133" s="48"/>
      <c r="I133" s="48"/>
      <c r="J133" s="48"/>
      <c r="K133" s="48"/>
      <c r="L133" s="48"/>
      <c r="M133" s="48"/>
    </row>
    <row r="134" spans="1:26" customFormat="1" ht="18" customHeight="1" x14ac:dyDescent="0.3">
      <c r="A134" s="48"/>
      <c r="B134" s="48"/>
      <c r="C134" s="48"/>
      <c r="D134" s="48"/>
      <c r="E134" s="48"/>
      <c r="F134" s="48"/>
      <c r="G134" s="48"/>
      <c r="H134" s="48"/>
      <c r="I134" s="48"/>
      <c r="J134" s="48"/>
      <c r="K134" s="48"/>
      <c r="L134" s="48"/>
      <c r="M134" s="48"/>
    </row>
    <row r="135" spans="1:26" customFormat="1" ht="18" customHeight="1" x14ac:dyDescent="0.3">
      <c r="A135" s="48"/>
      <c r="B135" s="48"/>
      <c r="C135" s="48"/>
      <c r="D135" s="48"/>
      <c r="E135" s="48"/>
      <c r="F135" s="48"/>
      <c r="G135" s="48"/>
      <c r="H135" s="48"/>
      <c r="I135" s="48"/>
      <c r="J135" s="48"/>
      <c r="K135" s="48"/>
      <c r="L135" s="48"/>
      <c r="M135" s="48"/>
    </row>
    <row r="136" spans="1:26" customFormat="1" ht="18" customHeight="1" x14ac:dyDescent="0.3">
      <c r="A136" s="48"/>
      <c r="B136" s="48"/>
      <c r="C136" s="48"/>
      <c r="D136" s="48"/>
      <c r="E136" s="48"/>
      <c r="F136" s="48"/>
      <c r="G136" s="48"/>
      <c r="H136" s="48"/>
      <c r="I136" s="48"/>
      <c r="J136" s="48"/>
      <c r="K136" s="48"/>
      <c r="L136" s="48"/>
      <c r="M136" s="48"/>
    </row>
    <row r="137" spans="1:26" customFormat="1" ht="18" customHeight="1" x14ac:dyDescent="0.3">
      <c r="A137" s="48"/>
      <c r="B137" s="48"/>
      <c r="C137" s="48"/>
      <c r="D137" s="48"/>
      <c r="E137" s="48"/>
      <c r="F137" s="48"/>
      <c r="G137" s="48"/>
      <c r="H137" s="48"/>
      <c r="I137" s="48"/>
      <c r="J137" s="48"/>
      <c r="K137" s="48"/>
      <c r="L137" s="48"/>
      <c r="M137" s="48"/>
    </row>
    <row r="138" spans="1:26" customFormat="1" ht="18" customHeight="1" x14ac:dyDescent="0.3">
      <c r="A138" s="48"/>
      <c r="B138" s="48"/>
      <c r="C138" s="48"/>
      <c r="D138" s="48"/>
      <c r="E138" s="48"/>
      <c r="F138" s="48"/>
      <c r="G138" s="48"/>
      <c r="H138" s="48"/>
      <c r="I138" s="48"/>
      <c r="J138" s="48"/>
      <c r="K138" s="48"/>
      <c r="L138" s="48"/>
      <c r="M138" s="48"/>
    </row>
    <row r="139" spans="1:26" customFormat="1" ht="18" customHeight="1" x14ac:dyDescent="0.3">
      <c r="A139" s="48"/>
      <c r="B139" s="48"/>
      <c r="C139" s="48"/>
      <c r="D139" s="48"/>
      <c r="E139" s="48"/>
      <c r="F139" s="48"/>
      <c r="G139" s="48"/>
      <c r="H139" s="48"/>
      <c r="I139" s="48"/>
      <c r="J139" s="48"/>
      <c r="K139" s="48"/>
      <c r="L139" s="48"/>
      <c r="M139" s="48"/>
      <c r="O139" s="25"/>
      <c r="P139" s="25"/>
      <c r="Q139" s="25"/>
      <c r="R139" s="26"/>
      <c r="S139" s="26"/>
      <c r="T139" s="26"/>
      <c r="U139" s="26"/>
      <c r="V139" s="26"/>
      <c r="W139" s="26"/>
      <c r="X139" s="26"/>
      <c r="Y139" s="26"/>
      <c r="Z139" s="26"/>
    </row>
    <row r="140" spans="1:26" customFormat="1" ht="15" customHeight="1" x14ac:dyDescent="0.3">
      <c r="B140" s="1056" t="s">
        <v>706</v>
      </c>
      <c r="C140" s="1056"/>
      <c r="E140" s="1056" t="s">
        <v>707</v>
      </c>
      <c r="F140" s="1056"/>
      <c r="G140" s="1056"/>
      <c r="J140" s="88"/>
      <c r="K140" s="88"/>
      <c r="L140" s="88"/>
      <c r="N140" s="25"/>
      <c r="O140" s="25"/>
      <c r="P140" s="25"/>
      <c r="Q140" s="1056" t="s">
        <v>708</v>
      </c>
      <c r="R140" s="1056"/>
      <c r="S140" s="1056"/>
      <c r="T140" s="26"/>
      <c r="U140" s="26"/>
      <c r="V140" s="26"/>
      <c r="W140" s="26"/>
      <c r="X140" s="26"/>
      <c r="Y140" s="26"/>
    </row>
    <row r="141" spans="1:26" customFormat="1" ht="15" customHeight="1" x14ac:dyDescent="0.3">
      <c r="A141" t="s">
        <v>616</v>
      </c>
      <c r="B141" t="s">
        <v>709</v>
      </c>
      <c r="C141">
        <v>18.580625999999999</v>
      </c>
      <c r="F141" s="4" t="s">
        <v>710</v>
      </c>
      <c r="G141" s="22">
        <f>1/0.0538</f>
        <v>18.587360594795538</v>
      </c>
      <c r="J141" s="88"/>
      <c r="K141" s="88"/>
      <c r="L141" s="88"/>
      <c r="N141" s="25"/>
      <c r="O141" s="25"/>
      <c r="P141" s="25"/>
      <c r="Q141" s="1058" t="s">
        <v>711</v>
      </c>
      <c r="R141" s="1058"/>
      <c r="S141" s="1">
        <f>1/ 0.0538195521</f>
        <v>18.580607994320339</v>
      </c>
      <c r="T141" s="26"/>
      <c r="U141" s="26"/>
      <c r="V141" s="26"/>
      <c r="W141" s="26"/>
      <c r="X141" s="26"/>
      <c r="Y141" s="26"/>
    </row>
    <row r="142" spans="1:26" customFormat="1" ht="15" customHeight="1" x14ac:dyDescent="0.3">
      <c r="B142" t="s">
        <v>712</v>
      </c>
      <c r="C142" t="s">
        <v>713</v>
      </c>
      <c r="E142" t="s">
        <v>714</v>
      </c>
      <c r="F142" t="s">
        <v>715</v>
      </c>
      <c r="G142" t="s">
        <v>716</v>
      </c>
      <c r="J142" s="88"/>
      <c r="K142" s="88"/>
      <c r="L142" s="88"/>
      <c r="N142" s="25"/>
      <c r="O142" s="25"/>
      <c r="P142" s="25"/>
      <c r="Q142" t="s">
        <v>717</v>
      </c>
      <c r="R142" t="s">
        <v>718</v>
      </c>
      <c r="S142" t="s">
        <v>719</v>
      </c>
      <c r="T142" s="26"/>
      <c r="U142" s="26"/>
      <c r="V142" s="26"/>
      <c r="W142" s="26"/>
      <c r="X142" s="26"/>
      <c r="Y142" s="26"/>
    </row>
    <row r="143" spans="1:26" customFormat="1" ht="15" customHeight="1" x14ac:dyDescent="0.3">
      <c r="A143">
        <v>1</v>
      </c>
      <c r="B143">
        <v>0</v>
      </c>
      <c r="C143">
        <v>0</v>
      </c>
      <c r="E143">
        <v>0</v>
      </c>
      <c r="F143">
        <v>0</v>
      </c>
      <c r="G143">
        <v>0</v>
      </c>
      <c r="J143" s="88"/>
      <c r="K143" s="88"/>
      <c r="L143" s="88"/>
      <c r="N143" s="25"/>
      <c r="O143" s="25"/>
      <c r="P143" s="25"/>
      <c r="Q143">
        <v>0</v>
      </c>
      <c r="R143">
        <v>0</v>
      </c>
      <c r="S143">
        <v>0</v>
      </c>
      <c r="T143" s="26"/>
      <c r="U143" s="26"/>
      <c r="V143" s="26"/>
      <c r="W143" s="26"/>
      <c r="X143" s="26"/>
      <c r="Y143" s="26"/>
    </row>
    <row r="144" spans="1:26" customFormat="1" ht="15" customHeight="1" x14ac:dyDescent="0.3">
      <c r="A144">
        <f t="shared" ref="A144:A166" si="6">A143+1</f>
        <v>2</v>
      </c>
      <c r="B144">
        <v>0</v>
      </c>
      <c r="C144">
        <v>0</v>
      </c>
      <c r="E144">
        <v>0</v>
      </c>
      <c r="F144">
        <v>0</v>
      </c>
      <c r="G144">
        <v>0</v>
      </c>
      <c r="J144" s="88"/>
      <c r="K144" s="88"/>
      <c r="L144" s="88"/>
      <c r="N144" s="25"/>
      <c r="O144" s="25"/>
      <c r="P144" s="25"/>
      <c r="Q144">
        <v>0</v>
      </c>
      <c r="R144">
        <v>0</v>
      </c>
      <c r="S144">
        <v>0</v>
      </c>
      <c r="T144" s="26"/>
      <c r="U144" s="26"/>
      <c r="V144" s="26"/>
      <c r="W144" s="26"/>
      <c r="X144" s="26"/>
      <c r="Y144" s="26"/>
    </row>
    <row r="145" spans="1:25" customFormat="1" ht="15" customHeight="1" x14ac:dyDescent="0.3">
      <c r="A145">
        <f t="shared" si="6"/>
        <v>3</v>
      </c>
      <c r="B145">
        <v>0</v>
      </c>
      <c r="C145">
        <v>0</v>
      </c>
      <c r="E145">
        <v>0</v>
      </c>
      <c r="F145">
        <v>0</v>
      </c>
      <c r="G145">
        <v>0</v>
      </c>
      <c r="J145" s="88"/>
      <c r="K145" s="88"/>
      <c r="L145" s="88"/>
      <c r="N145" s="25"/>
      <c r="O145" s="25"/>
      <c r="P145" s="25"/>
      <c r="Q145">
        <v>0</v>
      </c>
      <c r="R145">
        <v>0</v>
      </c>
      <c r="S145">
        <v>0</v>
      </c>
      <c r="T145" s="26"/>
      <c r="U145" s="26"/>
      <c r="V145" s="26"/>
      <c r="W145" s="26"/>
      <c r="X145" s="26"/>
      <c r="Y145" s="26"/>
    </row>
    <row r="146" spans="1:25" customFormat="1" ht="15" customHeight="1" x14ac:dyDescent="0.3">
      <c r="A146">
        <f t="shared" si="6"/>
        <v>4</v>
      </c>
      <c r="B146">
        <v>0</v>
      </c>
      <c r="C146">
        <v>0</v>
      </c>
      <c r="E146">
        <v>0</v>
      </c>
      <c r="F146">
        <v>0</v>
      </c>
      <c r="G146">
        <v>0</v>
      </c>
      <c r="J146" s="88"/>
      <c r="K146" s="88"/>
      <c r="L146" s="88"/>
      <c r="Q146">
        <v>0</v>
      </c>
      <c r="R146">
        <v>0</v>
      </c>
      <c r="S146">
        <v>0</v>
      </c>
    </row>
    <row r="147" spans="1:25" customFormat="1" ht="15" customHeight="1" x14ac:dyDescent="0.3">
      <c r="A147">
        <f t="shared" si="6"/>
        <v>5</v>
      </c>
      <c r="B147">
        <v>0</v>
      </c>
      <c r="C147">
        <v>0</v>
      </c>
      <c r="E147">
        <v>0</v>
      </c>
      <c r="F147">
        <v>0</v>
      </c>
      <c r="G147">
        <v>0</v>
      </c>
      <c r="J147" s="88"/>
      <c r="K147" s="88"/>
      <c r="L147" s="88"/>
      <c r="Q147">
        <v>0</v>
      </c>
      <c r="R147">
        <v>0</v>
      </c>
      <c r="S147">
        <v>0</v>
      </c>
    </row>
    <row r="148" spans="1:25" customFormat="1" ht="23.7" customHeight="1" x14ac:dyDescent="0.3">
      <c r="A148">
        <f t="shared" si="6"/>
        <v>6</v>
      </c>
      <c r="B148">
        <v>0</v>
      </c>
      <c r="C148">
        <v>0</v>
      </c>
      <c r="E148">
        <v>0</v>
      </c>
      <c r="F148">
        <v>0</v>
      </c>
      <c r="G148">
        <v>0</v>
      </c>
      <c r="J148" s="88"/>
      <c r="K148" s="88"/>
      <c r="L148" s="88"/>
      <c r="Q148">
        <v>0</v>
      </c>
      <c r="R148">
        <v>0</v>
      </c>
      <c r="S148">
        <v>0</v>
      </c>
    </row>
    <row r="149" spans="1:25" customFormat="1" ht="15" customHeight="1" x14ac:dyDescent="0.3">
      <c r="A149">
        <f t="shared" si="6"/>
        <v>7</v>
      </c>
      <c r="B149">
        <v>0.11</v>
      </c>
      <c r="C149">
        <v>0.11</v>
      </c>
      <c r="E149">
        <v>0.1</v>
      </c>
      <c r="F149">
        <v>0.1</v>
      </c>
      <c r="G149">
        <v>0.05</v>
      </c>
      <c r="J149" s="88"/>
      <c r="K149" s="88"/>
      <c r="L149" s="88"/>
      <c r="Q149">
        <v>0.1</v>
      </c>
      <c r="R149">
        <v>0.1</v>
      </c>
      <c r="S149">
        <v>0.05</v>
      </c>
    </row>
    <row r="150" spans="1:25" customFormat="1" ht="15" customHeight="1" x14ac:dyDescent="0.3">
      <c r="A150">
        <f t="shared" si="6"/>
        <v>8</v>
      </c>
      <c r="B150">
        <v>0.21</v>
      </c>
      <c r="C150">
        <v>0.21</v>
      </c>
      <c r="E150">
        <v>0.2</v>
      </c>
      <c r="F150">
        <v>0.1</v>
      </c>
      <c r="G150">
        <v>0.05</v>
      </c>
      <c r="J150" s="88"/>
      <c r="K150" s="88"/>
      <c r="L150" s="88"/>
      <c r="Q150">
        <v>0.2</v>
      </c>
      <c r="R150">
        <v>0.1</v>
      </c>
      <c r="S150">
        <v>0.05</v>
      </c>
    </row>
    <row r="151" spans="1:25" customFormat="1" ht="15" customHeight="1" x14ac:dyDescent="0.3">
      <c r="A151">
        <f t="shared" si="6"/>
        <v>9</v>
      </c>
      <c r="B151">
        <v>1</v>
      </c>
      <c r="C151">
        <v>1</v>
      </c>
      <c r="E151">
        <v>0.95</v>
      </c>
      <c r="F151">
        <v>0.3</v>
      </c>
      <c r="G151">
        <v>0.05</v>
      </c>
      <c r="J151" s="88"/>
      <c r="K151" s="88"/>
      <c r="L151" s="88"/>
      <c r="Q151">
        <v>0.95</v>
      </c>
      <c r="R151">
        <v>0.3</v>
      </c>
      <c r="S151">
        <v>0.05</v>
      </c>
    </row>
    <row r="152" spans="1:25" customFormat="1" ht="15" customHeight="1" x14ac:dyDescent="0.3">
      <c r="A152">
        <f t="shared" si="6"/>
        <v>10</v>
      </c>
      <c r="B152">
        <v>1</v>
      </c>
      <c r="C152">
        <v>1</v>
      </c>
      <c r="E152">
        <v>0.95</v>
      </c>
      <c r="F152">
        <v>0.3</v>
      </c>
      <c r="G152">
        <v>0.05</v>
      </c>
      <c r="J152" s="88"/>
      <c r="K152" s="88"/>
      <c r="L152" s="88"/>
      <c r="Q152">
        <v>0.95</v>
      </c>
      <c r="R152">
        <v>0.3</v>
      </c>
      <c r="S152">
        <v>0.05</v>
      </c>
    </row>
    <row r="153" spans="1:25" customFormat="1" ht="15" customHeight="1" x14ac:dyDescent="0.3">
      <c r="A153">
        <f t="shared" si="6"/>
        <v>11</v>
      </c>
      <c r="B153">
        <v>1</v>
      </c>
      <c r="C153">
        <v>0</v>
      </c>
      <c r="E153">
        <v>0.95</v>
      </c>
      <c r="F153">
        <v>0.3</v>
      </c>
      <c r="G153">
        <v>0.05</v>
      </c>
      <c r="J153" s="88"/>
      <c r="K153" s="88"/>
      <c r="L153" s="88"/>
      <c r="Q153">
        <v>0.95</v>
      </c>
      <c r="R153">
        <v>0.3</v>
      </c>
      <c r="S153">
        <v>0.05</v>
      </c>
    </row>
    <row r="154" spans="1:25" customFormat="1" ht="15" customHeight="1" x14ac:dyDescent="0.3">
      <c r="A154">
        <f t="shared" si="6"/>
        <v>12</v>
      </c>
      <c r="B154">
        <v>1</v>
      </c>
      <c r="C154">
        <v>1</v>
      </c>
      <c r="E154">
        <v>0.95</v>
      </c>
      <c r="F154">
        <v>0.3</v>
      </c>
      <c r="G154">
        <v>0.05</v>
      </c>
      <c r="J154" s="88"/>
      <c r="K154" s="88"/>
      <c r="L154" s="88"/>
      <c r="Q154">
        <v>0.95</v>
      </c>
      <c r="R154">
        <v>0.3</v>
      </c>
      <c r="S154">
        <v>0.05</v>
      </c>
    </row>
    <row r="155" spans="1:25" customFormat="1" ht="15" customHeight="1" x14ac:dyDescent="0.3">
      <c r="A155">
        <f t="shared" si="6"/>
        <v>13</v>
      </c>
      <c r="B155">
        <v>1</v>
      </c>
      <c r="C155">
        <v>0</v>
      </c>
      <c r="E155">
        <v>0.5</v>
      </c>
      <c r="F155">
        <v>0.1</v>
      </c>
      <c r="G155">
        <v>0.05</v>
      </c>
      <c r="J155" s="88"/>
      <c r="K155" s="88"/>
      <c r="L155" s="88"/>
      <c r="Q155">
        <v>0.5</v>
      </c>
      <c r="R155">
        <v>0.1</v>
      </c>
      <c r="S155">
        <v>0.05</v>
      </c>
    </row>
    <row r="156" spans="1:25" customFormat="1" ht="15" customHeight="1" x14ac:dyDescent="0.3">
      <c r="A156">
        <f t="shared" si="6"/>
        <v>14</v>
      </c>
      <c r="B156">
        <v>0.61</v>
      </c>
      <c r="C156">
        <v>1</v>
      </c>
      <c r="E156">
        <v>0.95</v>
      </c>
      <c r="F156">
        <v>0.1</v>
      </c>
      <c r="G156">
        <v>0.05</v>
      </c>
      <c r="J156" s="88"/>
      <c r="K156" s="88"/>
      <c r="L156" s="88"/>
      <c r="Q156">
        <v>0.95</v>
      </c>
      <c r="R156">
        <v>0.1</v>
      </c>
      <c r="S156">
        <v>0.05</v>
      </c>
    </row>
    <row r="157" spans="1:25" customFormat="1" ht="15" customHeight="1" x14ac:dyDescent="0.3">
      <c r="A157">
        <f t="shared" si="6"/>
        <v>15</v>
      </c>
      <c r="B157">
        <v>1</v>
      </c>
      <c r="C157">
        <v>0</v>
      </c>
      <c r="E157">
        <v>0.95</v>
      </c>
      <c r="F157">
        <v>0.1</v>
      </c>
      <c r="G157">
        <v>0.05</v>
      </c>
      <c r="J157" s="88"/>
      <c r="K157" s="88"/>
      <c r="L157" s="88"/>
      <c r="Q157">
        <v>0.95</v>
      </c>
      <c r="R157">
        <v>0.1</v>
      </c>
      <c r="S157">
        <v>0.05</v>
      </c>
    </row>
    <row r="158" spans="1:25" customFormat="1" ht="15" customHeight="1" x14ac:dyDescent="0.3">
      <c r="A158">
        <f t="shared" si="6"/>
        <v>16</v>
      </c>
      <c r="B158">
        <v>1</v>
      </c>
      <c r="C158">
        <v>1</v>
      </c>
      <c r="E158">
        <v>0.95</v>
      </c>
      <c r="F158">
        <v>0.1</v>
      </c>
      <c r="G158">
        <v>0.05</v>
      </c>
      <c r="J158" s="88"/>
      <c r="K158" s="88"/>
      <c r="L158" s="88"/>
      <c r="Q158">
        <v>0.95</v>
      </c>
      <c r="R158">
        <v>0.1</v>
      </c>
      <c r="S158">
        <v>0.05</v>
      </c>
    </row>
    <row r="159" spans="1:25" customFormat="1" ht="15" customHeight="1" x14ac:dyDescent="0.3">
      <c r="A159">
        <f t="shared" si="6"/>
        <v>17</v>
      </c>
      <c r="B159">
        <v>1</v>
      </c>
      <c r="C159">
        <v>1</v>
      </c>
      <c r="E159">
        <v>0.95</v>
      </c>
      <c r="F159">
        <v>0.1</v>
      </c>
      <c r="G159">
        <v>0.05</v>
      </c>
      <c r="J159" s="88"/>
      <c r="K159" s="88"/>
      <c r="L159" s="88"/>
      <c r="Q159">
        <v>0.95</v>
      </c>
      <c r="R159">
        <v>0.1</v>
      </c>
      <c r="S159">
        <v>0.05</v>
      </c>
    </row>
    <row r="160" spans="1:25" customFormat="1" ht="15" customHeight="1" x14ac:dyDescent="0.3">
      <c r="A160">
        <f t="shared" si="6"/>
        <v>18</v>
      </c>
      <c r="B160">
        <v>1</v>
      </c>
      <c r="C160">
        <v>0.32</v>
      </c>
      <c r="E160">
        <v>0.3</v>
      </c>
      <c r="F160">
        <v>0.05</v>
      </c>
      <c r="G160">
        <v>0.05</v>
      </c>
      <c r="J160" s="88"/>
      <c r="K160" s="88"/>
      <c r="L160" s="88"/>
      <c r="Q160">
        <v>0.3</v>
      </c>
      <c r="R160">
        <v>0.05</v>
      </c>
      <c r="S160">
        <v>0.05</v>
      </c>
    </row>
    <row r="161" spans="1:52" customFormat="1" ht="15" customHeight="1" x14ac:dyDescent="0.3">
      <c r="A161">
        <f t="shared" si="6"/>
        <v>19</v>
      </c>
      <c r="B161">
        <v>0.32</v>
      </c>
      <c r="C161">
        <v>0.11</v>
      </c>
      <c r="E161">
        <v>0.1</v>
      </c>
      <c r="F161">
        <v>0.05</v>
      </c>
      <c r="G161">
        <v>0</v>
      </c>
      <c r="J161" s="88"/>
      <c r="K161" s="88"/>
      <c r="L161" s="88"/>
      <c r="Q161">
        <v>0.1</v>
      </c>
      <c r="R161">
        <v>0.05</v>
      </c>
      <c r="S161">
        <v>0</v>
      </c>
    </row>
    <row r="162" spans="1:52" customFormat="1" ht="15" customHeight="1" x14ac:dyDescent="0.3">
      <c r="A162">
        <f t="shared" si="6"/>
        <v>20</v>
      </c>
      <c r="B162">
        <v>0.11</v>
      </c>
      <c r="C162">
        <v>0.11</v>
      </c>
      <c r="E162">
        <v>0.1</v>
      </c>
      <c r="F162">
        <v>0</v>
      </c>
      <c r="G162">
        <v>0</v>
      </c>
      <c r="J162" s="88"/>
      <c r="K162" s="88"/>
      <c r="L162" s="88"/>
      <c r="Q162">
        <v>0.1</v>
      </c>
      <c r="R162">
        <v>0</v>
      </c>
      <c r="S162">
        <v>0</v>
      </c>
    </row>
    <row r="163" spans="1:52" customFormat="1" ht="15" customHeight="1" x14ac:dyDescent="0.3">
      <c r="A163">
        <f t="shared" si="6"/>
        <v>21</v>
      </c>
      <c r="B163">
        <v>0.11</v>
      </c>
      <c r="C163">
        <v>0.11</v>
      </c>
      <c r="E163">
        <v>0.1</v>
      </c>
      <c r="F163">
        <v>0</v>
      </c>
      <c r="G163">
        <v>0</v>
      </c>
      <c r="J163" s="88"/>
      <c r="K163" s="88"/>
      <c r="L163" s="88"/>
      <c r="Q163">
        <v>0.1</v>
      </c>
      <c r="R163">
        <v>0</v>
      </c>
      <c r="S163">
        <v>0</v>
      </c>
    </row>
    <row r="164" spans="1:52" customFormat="1" ht="15" customHeight="1" x14ac:dyDescent="0.3">
      <c r="A164">
        <f t="shared" si="6"/>
        <v>22</v>
      </c>
      <c r="B164">
        <v>0.11</v>
      </c>
      <c r="C164">
        <v>0.11</v>
      </c>
      <c r="E164">
        <v>0.1</v>
      </c>
      <c r="F164">
        <v>0</v>
      </c>
      <c r="G164">
        <v>0</v>
      </c>
      <c r="J164" s="88"/>
      <c r="K164" s="88"/>
      <c r="L164" s="88"/>
      <c r="Q164">
        <v>0.1</v>
      </c>
      <c r="R164">
        <v>0</v>
      </c>
      <c r="S164">
        <v>0</v>
      </c>
    </row>
    <row r="165" spans="1:52" customFormat="1" ht="15" customHeight="1" x14ac:dyDescent="0.3">
      <c r="A165">
        <f t="shared" si="6"/>
        <v>23</v>
      </c>
      <c r="B165">
        <v>0.05</v>
      </c>
      <c r="C165">
        <v>0.05</v>
      </c>
      <c r="E165">
        <v>0.05</v>
      </c>
      <c r="F165">
        <v>0</v>
      </c>
      <c r="G165">
        <v>0</v>
      </c>
      <c r="J165" s="88"/>
      <c r="K165" s="88"/>
      <c r="L165" s="88"/>
      <c r="Q165">
        <v>0.05</v>
      </c>
      <c r="R165">
        <v>0</v>
      </c>
      <c r="S165">
        <v>0</v>
      </c>
    </row>
    <row r="166" spans="1:52" customFormat="1" ht="15" customHeight="1" x14ac:dyDescent="0.3">
      <c r="A166">
        <f t="shared" si="6"/>
        <v>24</v>
      </c>
      <c r="B166">
        <v>0</v>
      </c>
      <c r="C166">
        <v>0</v>
      </c>
      <c r="E166">
        <v>0.05</v>
      </c>
      <c r="F166">
        <v>0</v>
      </c>
      <c r="G166">
        <v>0</v>
      </c>
      <c r="J166" s="88"/>
      <c r="K166" s="88"/>
      <c r="L166" s="88"/>
      <c r="Q166">
        <v>0</v>
      </c>
      <c r="R166">
        <v>0</v>
      </c>
      <c r="S166">
        <v>0</v>
      </c>
    </row>
    <row r="167" spans="1:52" customFormat="1" ht="15" customHeight="1" x14ac:dyDescent="0.3">
      <c r="B167">
        <f>SUM(B143:B166)</f>
        <v>10.629999999999999</v>
      </c>
      <c r="C167">
        <f>SUM(C143:C166)</f>
        <v>7.1300000000000017</v>
      </c>
      <c r="E167">
        <f>SUM(E143:E166)</f>
        <v>9.2000000000000011</v>
      </c>
      <c r="F167">
        <f>SUM(F143:F166)</f>
        <v>2.0000000000000004</v>
      </c>
      <c r="G167">
        <f>SUM(G143:G166)</f>
        <v>0.6</v>
      </c>
      <c r="J167" s="88"/>
      <c r="K167" s="88"/>
      <c r="L167" s="88"/>
      <c r="Q167">
        <f>SUM(Q143:Q166)</f>
        <v>9.15</v>
      </c>
      <c r="R167">
        <f>SUM(R143:R166)</f>
        <v>2.0000000000000004</v>
      </c>
      <c r="S167">
        <f>SUM(S143:S166)</f>
        <v>0.6</v>
      </c>
    </row>
    <row r="168" spans="1:52" customFormat="1" ht="15" customHeight="1" x14ac:dyDescent="0.3">
      <c r="B168" t="s">
        <v>720</v>
      </c>
      <c r="C168">
        <v>17</v>
      </c>
      <c r="E168" t="s">
        <v>721</v>
      </c>
      <c r="F168">
        <f>13</f>
        <v>13</v>
      </c>
      <c r="G168" t="s">
        <v>721</v>
      </c>
      <c r="J168" s="48"/>
      <c r="K168" s="48"/>
      <c r="L168" s="48"/>
      <c r="M168" s="48"/>
    </row>
    <row r="169" spans="1:52" customFormat="1" ht="15" customHeight="1" x14ac:dyDescent="0.3">
      <c r="J169" s="48"/>
      <c r="K169" s="48"/>
      <c r="L169" s="48"/>
      <c r="M169" s="48"/>
    </row>
    <row r="170" spans="1:52" customFormat="1" ht="15" customHeight="1" x14ac:dyDescent="0.3">
      <c r="J170" s="48"/>
      <c r="K170" s="48"/>
      <c r="L170" s="48"/>
      <c r="M170" s="48"/>
    </row>
    <row r="171" spans="1:52" customFormat="1" ht="15" customHeight="1" x14ac:dyDescent="0.3">
      <c r="J171" s="48"/>
      <c r="K171" s="48"/>
      <c r="L171" s="48"/>
      <c r="M171" s="48"/>
    </row>
    <row r="172" spans="1:52" customFormat="1" ht="14.4" x14ac:dyDescent="0.3"/>
    <row r="173" spans="1:52" s="12" customFormat="1" ht="23.4" x14ac:dyDescent="0.45">
      <c r="A173" s="11" t="s">
        <v>722</v>
      </c>
    </row>
    <row r="174" spans="1:52" s="16" customFormat="1" ht="23.4" x14ac:dyDescent="0.45">
      <c r="A174" s="15"/>
    </row>
    <row r="175" spans="1:52" customFormat="1" ht="14.4" x14ac:dyDescent="0.3">
      <c r="B175" s="6" t="s">
        <v>723</v>
      </c>
      <c r="C175" s="6"/>
    </row>
    <row r="176" spans="1:52" customFormat="1" ht="14.4" x14ac:dyDescent="0.3">
      <c r="B176" t="s">
        <v>724</v>
      </c>
      <c r="E176" t="s">
        <v>724</v>
      </c>
      <c r="K176" t="s">
        <v>724</v>
      </c>
      <c r="Q176" t="s">
        <v>724</v>
      </c>
      <c r="W176" t="s">
        <v>724</v>
      </c>
      <c r="AC176" t="s">
        <v>724</v>
      </c>
      <c r="AH176" t="s">
        <v>724</v>
      </c>
      <c r="AN176" t="s">
        <v>724</v>
      </c>
      <c r="AT176" t="s">
        <v>724</v>
      </c>
      <c r="AZ176" t="s">
        <v>724</v>
      </c>
    </row>
    <row r="177" spans="2:52" customFormat="1" ht="14.4" x14ac:dyDescent="0.3">
      <c r="B177" s="23" t="s">
        <v>725</v>
      </c>
      <c r="E177" s="23" t="s">
        <v>726</v>
      </c>
      <c r="K177" t="s">
        <v>727</v>
      </c>
      <c r="Q177" t="s">
        <v>728</v>
      </c>
      <c r="W177" t="s">
        <v>729</v>
      </c>
      <c r="AC177" t="s">
        <v>730</v>
      </c>
      <c r="AH177" t="s">
        <v>731</v>
      </c>
      <c r="AN177" t="s">
        <v>732</v>
      </c>
      <c r="AT177" t="s">
        <v>733</v>
      </c>
      <c r="AZ177" t="s">
        <v>734</v>
      </c>
    </row>
    <row r="178" spans="2:52" customFormat="1" ht="14.4" x14ac:dyDescent="0.3">
      <c r="B178" t="s">
        <v>735</v>
      </c>
      <c r="E178" t="s">
        <v>735</v>
      </c>
      <c r="K178" t="s">
        <v>735</v>
      </c>
      <c r="Q178" t="s">
        <v>735</v>
      </c>
      <c r="W178" t="s">
        <v>735</v>
      </c>
      <c r="AC178" t="s">
        <v>735</v>
      </c>
      <c r="AH178" t="s">
        <v>735</v>
      </c>
      <c r="AN178" t="s">
        <v>735</v>
      </c>
      <c r="AT178" t="s">
        <v>735</v>
      </c>
      <c r="AZ178" t="s">
        <v>735</v>
      </c>
    </row>
    <row r="179" spans="2:52" customFormat="1" ht="14.4" x14ac:dyDescent="0.3">
      <c r="B179" t="s">
        <v>736</v>
      </c>
      <c r="E179" t="s">
        <v>736</v>
      </c>
      <c r="K179" t="s">
        <v>736</v>
      </c>
      <c r="Q179" t="s">
        <v>736</v>
      </c>
      <c r="W179" t="s">
        <v>736</v>
      </c>
      <c r="AC179" t="s">
        <v>736</v>
      </c>
      <c r="AH179" t="s">
        <v>736</v>
      </c>
      <c r="AN179" t="s">
        <v>736</v>
      </c>
      <c r="AT179" t="s">
        <v>736</v>
      </c>
      <c r="AZ179" t="s">
        <v>736</v>
      </c>
    </row>
    <row r="180" spans="2:52" customFormat="1" ht="14.4" x14ac:dyDescent="0.3">
      <c r="B180" t="s">
        <v>737</v>
      </c>
      <c r="E180" t="s">
        <v>737</v>
      </c>
      <c r="K180" t="s">
        <v>737</v>
      </c>
      <c r="Q180" t="s">
        <v>737</v>
      </c>
      <c r="W180" t="s">
        <v>737</v>
      </c>
      <c r="AC180" t="s">
        <v>737</v>
      </c>
      <c r="AH180" t="s">
        <v>737</v>
      </c>
      <c r="AN180" t="s">
        <v>737</v>
      </c>
      <c r="AT180" t="s">
        <v>737</v>
      </c>
      <c r="AZ180" t="s">
        <v>737</v>
      </c>
    </row>
    <row r="181" spans="2:52" customFormat="1" ht="14.4" x14ac:dyDescent="0.3">
      <c r="B181" t="s">
        <v>738</v>
      </c>
      <c r="E181" t="s">
        <v>738</v>
      </c>
      <c r="K181" t="s">
        <v>738</v>
      </c>
      <c r="N181">
        <v>0</v>
      </c>
      <c r="O181">
        <v>0</v>
      </c>
      <c r="Q181" t="s">
        <v>738</v>
      </c>
      <c r="W181" t="s">
        <v>738</v>
      </c>
      <c r="AC181" t="s">
        <v>738</v>
      </c>
      <c r="AH181" t="s">
        <v>738</v>
      </c>
      <c r="AN181" t="s">
        <v>738</v>
      </c>
      <c r="AT181" t="s">
        <v>738</v>
      </c>
      <c r="AZ181" t="s">
        <v>738</v>
      </c>
    </row>
    <row r="182" spans="2:52" customFormat="1" ht="14.4" x14ac:dyDescent="0.3">
      <c r="B182" t="s">
        <v>739</v>
      </c>
      <c r="E182" t="s">
        <v>739</v>
      </c>
      <c r="K182" t="s">
        <v>739</v>
      </c>
      <c r="N182">
        <v>0</v>
      </c>
      <c r="O182">
        <v>0</v>
      </c>
      <c r="Q182" t="s">
        <v>739</v>
      </c>
      <c r="W182" t="s">
        <v>739</v>
      </c>
      <c r="AC182" t="s">
        <v>739</v>
      </c>
      <c r="AH182" t="s">
        <v>739</v>
      </c>
      <c r="AN182" t="s">
        <v>739</v>
      </c>
      <c r="AT182" t="s">
        <v>739</v>
      </c>
      <c r="AZ182" t="s">
        <v>739</v>
      </c>
    </row>
    <row r="183" spans="2:52" customFormat="1" ht="14.4" x14ac:dyDescent="0.3">
      <c r="B183" t="s">
        <v>740</v>
      </c>
      <c r="E183" t="s">
        <v>740</v>
      </c>
      <c r="K183" t="s">
        <v>740</v>
      </c>
      <c r="N183">
        <v>0</v>
      </c>
      <c r="O183">
        <v>0</v>
      </c>
      <c r="Q183" t="s">
        <v>740</v>
      </c>
      <c r="W183" t="s">
        <v>740</v>
      </c>
      <c r="AC183" t="s">
        <v>740</v>
      </c>
      <c r="AH183" t="s">
        <v>740</v>
      </c>
      <c r="AN183" t="s">
        <v>740</v>
      </c>
      <c r="AT183" t="s">
        <v>740</v>
      </c>
      <c r="AZ183" t="s">
        <v>740</v>
      </c>
    </row>
    <row r="184" spans="2:52" customFormat="1" ht="14.4" x14ac:dyDescent="0.3">
      <c r="B184" t="s">
        <v>741</v>
      </c>
      <c r="E184" t="s">
        <v>741</v>
      </c>
      <c r="K184" t="s">
        <v>741</v>
      </c>
      <c r="N184">
        <v>0</v>
      </c>
      <c r="O184">
        <v>0</v>
      </c>
      <c r="Q184" t="s">
        <v>741</v>
      </c>
      <c r="W184" t="s">
        <v>741</v>
      </c>
      <c r="AC184" t="s">
        <v>741</v>
      </c>
      <c r="AH184" t="s">
        <v>741</v>
      </c>
      <c r="AN184" t="s">
        <v>741</v>
      </c>
      <c r="AT184" t="s">
        <v>741</v>
      </c>
      <c r="AZ184" t="s">
        <v>741</v>
      </c>
    </row>
    <row r="185" spans="2:52" customFormat="1" ht="14.4" x14ac:dyDescent="0.3">
      <c r="B185" t="s">
        <v>742</v>
      </c>
      <c r="E185" t="s">
        <v>742</v>
      </c>
      <c r="K185" t="s">
        <v>742</v>
      </c>
      <c r="N185">
        <v>0</v>
      </c>
      <c r="O185">
        <v>0</v>
      </c>
      <c r="Q185" t="s">
        <v>742</v>
      </c>
      <c r="W185" t="s">
        <v>742</v>
      </c>
      <c r="AC185" t="s">
        <v>742</v>
      </c>
      <c r="AH185" t="s">
        <v>742</v>
      </c>
      <c r="AN185" t="s">
        <v>742</v>
      </c>
      <c r="AT185" t="s">
        <v>742</v>
      </c>
      <c r="AZ185" t="s">
        <v>742</v>
      </c>
    </row>
    <row r="186" spans="2:52" customFormat="1" ht="14.4" x14ac:dyDescent="0.3">
      <c r="B186" t="s">
        <v>743</v>
      </c>
      <c r="E186" t="s">
        <v>743</v>
      </c>
      <c r="K186" t="s">
        <v>743</v>
      </c>
      <c r="N186">
        <v>0</v>
      </c>
      <c r="O186">
        <v>0</v>
      </c>
      <c r="Q186" t="s">
        <v>743</v>
      </c>
      <c r="W186" t="s">
        <v>743</v>
      </c>
      <c r="AC186" t="s">
        <v>743</v>
      </c>
      <c r="AH186" t="s">
        <v>743</v>
      </c>
      <c r="AN186" t="s">
        <v>743</v>
      </c>
      <c r="AT186" t="s">
        <v>743</v>
      </c>
      <c r="AZ186" t="s">
        <v>743</v>
      </c>
    </row>
    <row r="187" spans="2:52" customFormat="1" ht="14.4" x14ac:dyDescent="0.3">
      <c r="B187" t="s">
        <v>744</v>
      </c>
      <c r="E187" t="s">
        <v>744</v>
      </c>
      <c r="K187" t="s">
        <v>744</v>
      </c>
      <c r="N187">
        <v>0.1</v>
      </c>
      <c r="O187">
        <v>0.1</v>
      </c>
      <c r="Q187" t="s">
        <v>744</v>
      </c>
      <c r="W187" t="s">
        <v>744</v>
      </c>
      <c r="AC187" t="s">
        <v>744</v>
      </c>
      <c r="AH187" t="s">
        <v>744</v>
      </c>
      <c r="AN187" t="s">
        <v>744</v>
      </c>
      <c r="AT187" t="s">
        <v>744</v>
      </c>
      <c r="AZ187" t="s">
        <v>744</v>
      </c>
    </row>
    <row r="188" spans="2:52" customFormat="1" ht="14.4" x14ac:dyDescent="0.3">
      <c r="B188" t="s">
        <v>745</v>
      </c>
      <c r="E188" t="s">
        <v>745</v>
      </c>
      <c r="K188" t="s">
        <v>745</v>
      </c>
      <c r="N188">
        <v>0.2</v>
      </c>
      <c r="O188">
        <v>0.1</v>
      </c>
      <c r="Q188" t="s">
        <v>745</v>
      </c>
      <c r="W188" t="s">
        <v>745</v>
      </c>
      <c r="AC188" t="s">
        <v>745</v>
      </c>
      <c r="AH188" t="s">
        <v>745</v>
      </c>
      <c r="AN188" t="s">
        <v>745</v>
      </c>
      <c r="AT188" t="s">
        <v>745</v>
      </c>
      <c r="AZ188" t="s">
        <v>745</v>
      </c>
    </row>
    <row r="189" spans="2:52" customFormat="1" ht="14.4" x14ac:dyDescent="0.3">
      <c r="B189" t="s">
        <v>746</v>
      </c>
      <c r="E189" t="s">
        <v>746</v>
      </c>
      <c r="K189" t="s">
        <v>746</v>
      </c>
      <c r="N189">
        <v>0.95</v>
      </c>
      <c r="O189">
        <v>0.3</v>
      </c>
      <c r="Q189" t="s">
        <v>746</v>
      </c>
      <c r="W189" t="s">
        <v>746</v>
      </c>
      <c r="AC189" t="s">
        <v>746</v>
      </c>
      <c r="AH189" t="s">
        <v>746</v>
      </c>
      <c r="AN189" t="s">
        <v>746</v>
      </c>
      <c r="AT189" t="s">
        <v>746</v>
      </c>
      <c r="AZ189" t="s">
        <v>746</v>
      </c>
    </row>
    <row r="190" spans="2:52" customFormat="1" ht="14.4" x14ac:dyDescent="0.3">
      <c r="B190" t="s">
        <v>747</v>
      </c>
      <c r="E190" t="s">
        <v>747</v>
      </c>
      <c r="K190" t="s">
        <v>747</v>
      </c>
      <c r="N190">
        <v>0.95</v>
      </c>
      <c r="O190">
        <v>0.3</v>
      </c>
      <c r="Q190" t="s">
        <v>747</v>
      </c>
      <c r="W190" t="s">
        <v>747</v>
      </c>
      <c r="AC190" t="s">
        <v>747</v>
      </c>
      <c r="AH190" t="s">
        <v>747</v>
      </c>
      <c r="AN190" t="s">
        <v>747</v>
      </c>
      <c r="AT190" t="s">
        <v>747</v>
      </c>
      <c r="AZ190" t="s">
        <v>747</v>
      </c>
    </row>
    <row r="191" spans="2:52" customFormat="1" ht="14.4" x14ac:dyDescent="0.3">
      <c r="B191" t="s">
        <v>748</v>
      </c>
      <c r="E191" t="s">
        <v>748</v>
      </c>
      <c r="K191" t="s">
        <v>748</v>
      </c>
      <c r="N191">
        <v>0.95</v>
      </c>
      <c r="O191">
        <v>0.3</v>
      </c>
      <c r="Q191" t="s">
        <v>748</v>
      </c>
      <c r="W191" t="s">
        <v>748</v>
      </c>
      <c r="AC191" t="s">
        <v>748</v>
      </c>
      <c r="AH191" t="s">
        <v>748</v>
      </c>
      <c r="AN191" t="s">
        <v>748</v>
      </c>
      <c r="AT191" t="s">
        <v>748</v>
      </c>
      <c r="AZ191" t="s">
        <v>748</v>
      </c>
    </row>
    <row r="192" spans="2:52" customFormat="1" ht="14.4" x14ac:dyDescent="0.3">
      <c r="B192" t="s">
        <v>749</v>
      </c>
      <c r="E192" t="s">
        <v>749</v>
      </c>
      <c r="K192" t="s">
        <v>749</v>
      </c>
      <c r="N192">
        <v>0.95</v>
      </c>
      <c r="O192">
        <v>0.3</v>
      </c>
      <c r="Q192" t="s">
        <v>749</v>
      </c>
      <c r="W192" t="s">
        <v>749</v>
      </c>
      <c r="AC192" t="s">
        <v>749</v>
      </c>
      <c r="AH192" t="s">
        <v>749</v>
      </c>
      <c r="AN192" t="s">
        <v>749</v>
      </c>
      <c r="AT192" t="s">
        <v>749</v>
      </c>
      <c r="AZ192" t="s">
        <v>749</v>
      </c>
    </row>
    <row r="193" spans="1:52" customFormat="1" ht="14.4" x14ac:dyDescent="0.3">
      <c r="B193" t="s">
        <v>750</v>
      </c>
      <c r="E193" t="s">
        <v>750</v>
      </c>
      <c r="K193" t="s">
        <v>750</v>
      </c>
      <c r="N193">
        <v>0.5</v>
      </c>
      <c r="O193">
        <v>0.1</v>
      </c>
      <c r="Q193" t="s">
        <v>750</v>
      </c>
      <c r="W193" t="s">
        <v>750</v>
      </c>
      <c r="AC193" t="s">
        <v>750</v>
      </c>
      <c r="AH193" t="s">
        <v>750</v>
      </c>
      <c r="AN193" t="s">
        <v>750</v>
      </c>
      <c r="AT193" t="s">
        <v>750</v>
      </c>
      <c r="AZ193" t="s">
        <v>750</v>
      </c>
    </row>
    <row r="194" spans="1:52" customFormat="1" ht="14.4" x14ac:dyDescent="0.3">
      <c r="B194" t="s">
        <v>751</v>
      </c>
      <c r="E194" t="s">
        <v>751</v>
      </c>
      <c r="K194" t="s">
        <v>751</v>
      </c>
      <c r="N194">
        <v>0.95</v>
      </c>
      <c r="O194">
        <v>0.1</v>
      </c>
      <c r="Q194" t="s">
        <v>751</v>
      </c>
      <c r="W194" t="s">
        <v>751</v>
      </c>
      <c r="AC194" t="s">
        <v>751</v>
      </c>
      <c r="AH194" t="s">
        <v>751</v>
      </c>
      <c r="AN194" t="s">
        <v>751</v>
      </c>
      <c r="AT194" t="s">
        <v>751</v>
      </c>
      <c r="AZ194" t="s">
        <v>751</v>
      </c>
    </row>
    <row r="195" spans="1:52" customFormat="1" ht="14.4" x14ac:dyDescent="0.3">
      <c r="B195" t="s">
        <v>752</v>
      </c>
      <c r="E195" t="s">
        <v>752</v>
      </c>
      <c r="K195" t="s">
        <v>752</v>
      </c>
      <c r="N195">
        <v>0.95</v>
      </c>
      <c r="O195">
        <v>0.1</v>
      </c>
      <c r="Q195" t="s">
        <v>752</v>
      </c>
      <c r="W195" t="s">
        <v>752</v>
      </c>
      <c r="AC195" t="s">
        <v>752</v>
      </c>
      <c r="AH195" t="s">
        <v>752</v>
      </c>
      <c r="AN195" t="s">
        <v>752</v>
      </c>
      <c r="AT195" t="s">
        <v>752</v>
      </c>
      <c r="AZ195" t="s">
        <v>752</v>
      </c>
    </row>
    <row r="196" spans="1:52" customFormat="1" ht="14.4" x14ac:dyDescent="0.3">
      <c r="B196" t="s">
        <v>753</v>
      </c>
      <c r="E196" t="s">
        <v>753</v>
      </c>
      <c r="K196" t="s">
        <v>753</v>
      </c>
      <c r="N196">
        <v>0.95</v>
      </c>
      <c r="O196">
        <v>0.1</v>
      </c>
      <c r="Q196" t="s">
        <v>753</v>
      </c>
      <c r="W196" t="s">
        <v>753</v>
      </c>
      <c r="AC196" t="s">
        <v>753</v>
      </c>
      <c r="AH196" t="s">
        <v>753</v>
      </c>
      <c r="AN196" t="s">
        <v>753</v>
      </c>
      <c r="AT196" t="s">
        <v>753</v>
      </c>
      <c r="AZ196" t="s">
        <v>753</v>
      </c>
    </row>
    <row r="197" spans="1:52" customFormat="1" ht="14.4" x14ac:dyDescent="0.3">
      <c r="B197" t="s">
        <v>754</v>
      </c>
      <c r="E197" t="s">
        <v>754</v>
      </c>
      <c r="K197" t="s">
        <v>754</v>
      </c>
      <c r="N197">
        <v>0.95</v>
      </c>
      <c r="O197">
        <v>0.1</v>
      </c>
      <c r="Q197" t="s">
        <v>754</v>
      </c>
      <c r="W197" t="s">
        <v>754</v>
      </c>
      <c r="AC197" t="s">
        <v>754</v>
      </c>
      <c r="AH197" t="s">
        <v>754</v>
      </c>
      <c r="AN197" t="s">
        <v>754</v>
      </c>
      <c r="AT197" t="s">
        <v>754</v>
      </c>
      <c r="AZ197" t="s">
        <v>754</v>
      </c>
    </row>
    <row r="198" spans="1:52" customFormat="1" ht="14.4" x14ac:dyDescent="0.3">
      <c r="B198" t="s">
        <v>755</v>
      </c>
      <c r="E198" t="s">
        <v>755</v>
      </c>
      <c r="K198" t="s">
        <v>755</v>
      </c>
      <c r="N198">
        <v>0.3</v>
      </c>
      <c r="O198">
        <v>0.5</v>
      </c>
      <c r="Q198" t="s">
        <v>755</v>
      </c>
      <c r="W198" t="s">
        <v>755</v>
      </c>
      <c r="AC198" t="s">
        <v>755</v>
      </c>
      <c r="AH198" t="s">
        <v>755</v>
      </c>
      <c r="AN198" t="s">
        <v>755</v>
      </c>
      <c r="AT198" t="s">
        <v>755</v>
      </c>
      <c r="AZ198" t="s">
        <v>755</v>
      </c>
    </row>
    <row r="199" spans="1:52" customFormat="1" ht="14.4" x14ac:dyDescent="0.3">
      <c r="B199" t="s">
        <v>756</v>
      </c>
      <c r="E199" t="s">
        <v>756</v>
      </c>
      <c r="K199" t="s">
        <v>756</v>
      </c>
      <c r="N199">
        <v>0.1</v>
      </c>
      <c r="O199">
        <v>0.5</v>
      </c>
      <c r="Q199" t="s">
        <v>756</v>
      </c>
      <c r="W199" t="s">
        <v>756</v>
      </c>
      <c r="AC199" t="s">
        <v>756</v>
      </c>
      <c r="AH199" t="s">
        <v>756</v>
      </c>
      <c r="AN199" t="s">
        <v>756</v>
      </c>
      <c r="AT199" t="s">
        <v>756</v>
      </c>
      <c r="AZ199" t="s">
        <v>756</v>
      </c>
    </row>
    <row r="200" spans="1:52" customFormat="1" ht="14.4" x14ac:dyDescent="0.3">
      <c r="B200" t="s">
        <v>757</v>
      </c>
      <c r="E200" t="s">
        <v>757</v>
      </c>
      <c r="K200" t="s">
        <v>757</v>
      </c>
      <c r="N200">
        <v>0.1</v>
      </c>
      <c r="O200">
        <v>0</v>
      </c>
      <c r="Q200" t="s">
        <v>757</v>
      </c>
      <c r="W200" t="s">
        <v>757</v>
      </c>
      <c r="AC200" t="s">
        <v>757</v>
      </c>
      <c r="AH200" t="s">
        <v>757</v>
      </c>
      <c r="AN200" t="s">
        <v>757</v>
      </c>
      <c r="AT200" t="s">
        <v>757</v>
      </c>
      <c r="AZ200" t="s">
        <v>757</v>
      </c>
    </row>
    <row r="201" spans="1:52" customFormat="1" ht="14.4" x14ac:dyDescent="0.3">
      <c r="B201" t="s">
        <v>758</v>
      </c>
      <c r="E201" t="s">
        <v>758</v>
      </c>
      <c r="K201" t="s">
        <v>758</v>
      </c>
      <c r="N201">
        <v>0.1</v>
      </c>
      <c r="O201">
        <v>0</v>
      </c>
      <c r="Q201" t="s">
        <v>758</v>
      </c>
      <c r="W201" t="s">
        <v>758</v>
      </c>
      <c r="AC201" t="s">
        <v>758</v>
      </c>
      <c r="AH201" t="s">
        <v>758</v>
      </c>
      <c r="AN201" t="s">
        <v>758</v>
      </c>
      <c r="AT201" t="s">
        <v>758</v>
      </c>
      <c r="AZ201" t="s">
        <v>758</v>
      </c>
    </row>
    <row r="202" spans="1:52" customFormat="1" ht="14.4" x14ac:dyDescent="0.3">
      <c r="B202" t="s">
        <v>759</v>
      </c>
      <c r="E202" t="s">
        <v>759</v>
      </c>
      <c r="K202" t="s">
        <v>759</v>
      </c>
      <c r="N202">
        <v>0.1</v>
      </c>
      <c r="O202">
        <v>0</v>
      </c>
      <c r="Q202" t="s">
        <v>759</v>
      </c>
      <c r="W202" t="s">
        <v>759</v>
      </c>
      <c r="AC202" t="s">
        <v>759</v>
      </c>
      <c r="AH202" t="s">
        <v>759</v>
      </c>
      <c r="AN202" t="s">
        <v>759</v>
      </c>
      <c r="AT202" t="s">
        <v>759</v>
      </c>
      <c r="AZ202" t="s">
        <v>759</v>
      </c>
    </row>
    <row r="203" spans="1:52" customFormat="1" ht="14.4" x14ac:dyDescent="0.3">
      <c r="B203" t="s">
        <v>760</v>
      </c>
      <c r="E203" t="s">
        <v>760</v>
      </c>
      <c r="K203" t="s">
        <v>760</v>
      </c>
      <c r="N203">
        <v>0.05</v>
      </c>
      <c r="O203">
        <v>0</v>
      </c>
      <c r="Q203" t="s">
        <v>760</v>
      </c>
      <c r="W203" t="s">
        <v>760</v>
      </c>
      <c r="AC203" t="s">
        <v>760</v>
      </c>
      <c r="AH203" t="s">
        <v>760</v>
      </c>
      <c r="AN203" t="s">
        <v>760</v>
      </c>
      <c r="AT203" t="s">
        <v>760</v>
      </c>
      <c r="AZ203" t="s">
        <v>760</v>
      </c>
    </row>
    <row r="204" spans="1:52" customFormat="1" ht="14.4" x14ac:dyDescent="0.3">
      <c r="B204" t="s">
        <v>761</v>
      </c>
      <c r="E204" t="s">
        <v>761</v>
      </c>
      <c r="K204" t="s">
        <v>761</v>
      </c>
      <c r="N204">
        <v>0.05</v>
      </c>
      <c r="O204">
        <v>0</v>
      </c>
      <c r="Q204" t="s">
        <v>761</v>
      </c>
      <c r="W204" t="s">
        <v>761</v>
      </c>
      <c r="AC204" t="s">
        <v>761</v>
      </c>
      <c r="AH204" t="s">
        <v>761</v>
      </c>
      <c r="AN204" t="s">
        <v>761</v>
      </c>
      <c r="AT204" t="s">
        <v>761</v>
      </c>
      <c r="AZ204" t="s">
        <v>761</v>
      </c>
    </row>
    <row r="205" spans="1:52" customFormat="1" ht="14.4" x14ac:dyDescent="0.3"/>
    <row r="206" spans="1:52" customFormat="1" ht="14.4" x14ac:dyDescent="0.3"/>
    <row r="207" spans="1:52" s="12" customFormat="1" ht="23.4" x14ac:dyDescent="0.45">
      <c r="A207" s="11" t="s">
        <v>762</v>
      </c>
    </row>
    <row r="208" spans="1:52" s="16" customFormat="1" ht="23.4" x14ac:dyDescent="0.45">
      <c r="A208" s="15"/>
    </row>
    <row r="209" spans="2:7" customFormat="1" ht="14.4" x14ac:dyDescent="0.3">
      <c r="B209" s="6" t="s">
        <v>763</v>
      </c>
      <c r="E209" t="s">
        <v>724</v>
      </c>
      <c r="G209" t="s">
        <v>764</v>
      </c>
    </row>
    <row r="210" spans="2:7" customFormat="1" ht="14.4" x14ac:dyDescent="0.3">
      <c r="B210" t="s">
        <v>724</v>
      </c>
      <c r="E210" t="s">
        <v>765</v>
      </c>
    </row>
    <row r="211" spans="2:7" customFormat="1" ht="14.4" x14ac:dyDescent="0.3">
      <c r="B211" t="s">
        <v>766</v>
      </c>
      <c r="E211" t="s">
        <v>767</v>
      </c>
    </row>
    <row r="212" spans="2:7" customFormat="1" ht="14.4" x14ac:dyDescent="0.3">
      <c r="B212" t="s">
        <v>767</v>
      </c>
      <c r="E212" t="s">
        <v>736</v>
      </c>
    </row>
    <row r="213" spans="2:7" customFormat="1" ht="14.4" x14ac:dyDescent="0.3">
      <c r="B213" t="s">
        <v>736</v>
      </c>
      <c r="E213" t="s">
        <v>768</v>
      </c>
    </row>
    <row r="214" spans="2:7" customFormat="1" ht="14.4" x14ac:dyDescent="0.3">
      <c r="B214" t="s">
        <v>768</v>
      </c>
      <c r="E214" t="s">
        <v>769</v>
      </c>
    </row>
    <row r="215" spans="2:7" customFormat="1" ht="14.4" x14ac:dyDescent="0.3">
      <c r="B215" t="s">
        <v>769</v>
      </c>
      <c r="E215" t="s">
        <v>770</v>
      </c>
    </row>
    <row r="216" spans="2:7" customFormat="1" ht="14.4" x14ac:dyDescent="0.3">
      <c r="B216" t="s">
        <v>770</v>
      </c>
      <c r="E216" t="s">
        <v>771</v>
      </c>
    </row>
    <row r="217" spans="2:7" customFormat="1" ht="14.4" x14ac:dyDescent="0.3">
      <c r="B217" t="s">
        <v>771</v>
      </c>
      <c r="E217" t="s">
        <v>772</v>
      </c>
    </row>
    <row r="218" spans="2:7" customFormat="1" ht="14.4" x14ac:dyDescent="0.3">
      <c r="B218" t="s">
        <v>772</v>
      </c>
      <c r="E218" t="s">
        <v>773</v>
      </c>
    </row>
    <row r="219" spans="2:7" customFormat="1" ht="14.4" x14ac:dyDescent="0.3">
      <c r="B219" t="s">
        <v>773</v>
      </c>
      <c r="E219" t="s">
        <v>774</v>
      </c>
    </row>
    <row r="220" spans="2:7" customFormat="1" ht="14.4" x14ac:dyDescent="0.3">
      <c r="B220" t="s">
        <v>774</v>
      </c>
      <c r="E220" t="s">
        <v>775</v>
      </c>
    </row>
    <row r="221" spans="2:7" customFormat="1" ht="14.4" x14ac:dyDescent="0.3">
      <c r="B221" t="s">
        <v>775</v>
      </c>
      <c r="E221" t="s">
        <v>776</v>
      </c>
    </row>
    <row r="222" spans="2:7" customFormat="1" ht="14.4" x14ac:dyDescent="0.3">
      <c r="B222" t="s">
        <v>776</v>
      </c>
      <c r="E222" t="s">
        <v>777</v>
      </c>
    </row>
    <row r="223" spans="2:7" customFormat="1" ht="14.4" x14ac:dyDescent="0.3">
      <c r="B223" t="s">
        <v>777</v>
      </c>
      <c r="E223" t="s">
        <v>778</v>
      </c>
    </row>
    <row r="224" spans="2:7" customFormat="1" ht="14.4" x14ac:dyDescent="0.3">
      <c r="B224" t="s">
        <v>778</v>
      </c>
      <c r="E224" t="s">
        <v>779</v>
      </c>
    </row>
    <row r="225" spans="2:5" customFormat="1" ht="14.4" x14ac:dyDescent="0.3">
      <c r="B225" t="s">
        <v>780</v>
      </c>
      <c r="E225" t="s">
        <v>781</v>
      </c>
    </row>
    <row r="226" spans="2:5" customFormat="1" ht="14.4" x14ac:dyDescent="0.3">
      <c r="B226" t="s">
        <v>781</v>
      </c>
      <c r="E226" t="s">
        <v>782</v>
      </c>
    </row>
    <row r="227" spans="2:5" customFormat="1" ht="14.4" x14ac:dyDescent="0.3">
      <c r="B227" t="s">
        <v>783</v>
      </c>
      <c r="E227" t="s">
        <v>784</v>
      </c>
    </row>
    <row r="228" spans="2:5" customFormat="1" ht="14.4" x14ac:dyDescent="0.3">
      <c r="B228" t="s">
        <v>784</v>
      </c>
      <c r="E228" t="s">
        <v>785</v>
      </c>
    </row>
    <row r="229" spans="2:5" customFormat="1" ht="14.4" x14ac:dyDescent="0.3">
      <c r="B229" t="s">
        <v>786</v>
      </c>
      <c r="E229" t="s">
        <v>787</v>
      </c>
    </row>
    <row r="230" spans="2:5" customFormat="1" ht="14.4" x14ac:dyDescent="0.3">
      <c r="B230" t="s">
        <v>787</v>
      </c>
      <c r="E230" t="s">
        <v>788</v>
      </c>
    </row>
    <row r="231" spans="2:5" customFormat="1" ht="14.4" x14ac:dyDescent="0.3">
      <c r="B231" t="s">
        <v>788</v>
      </c>
      <c r="E231" t="s">
        <v>789</v>
      </c>
    </row>
    <row r="232" spans="2:5" customFormat="1" ht="14.4" x14ac:dyDescent="0.3">
      <c r="B232" t="s">
        <v>789</v>
      </c>
      <c r="E232" t="s">
        <v>790</v>
      </c>
    </row>
    <row r="233" spans="2:5" customFormat="1" ht="14.4" x14ac:dyDescent="0.3">
      <c r="B233" t="s">
        <v>790</v>
      </c>
      <c r="E233" t="s">
        <v>791</v>
      </c>
    </row>
    <row r="234" spans="2:5" customFormat="1" ht="14.4" x14ac:dyDescent="0.3">
      <c r="B234" t="s">
        <v>791</v>
      </c>
      <c r="E234" t="s">
        <v>792</v>
      </c>
    </row>
    <row r="235" spans="2:5" customFormat="1" ht="14.4" x14ac:dyDescent="0.3">
      <c r="B235" t="s">
        <v>792</v>
      </c>
      <c r="E235" t="s">
        <v>793</v>
      </c>
    </row>
    <row r="236" spans="2:5" customFormat="1" ht="14.4" x14ac:dyDescent="0.3">
      <c r="B236" t="s">
        <v>793</v>
      </c>
      <c r="E236" t="s">
        <v>794</v>
      </c>
    </row>
    <row r="237" spans="2:5" customFormat="1" ht="14.4" x14ac:dyDescent="0.3">
      <c r="B237" t="s">
        <v>794</v>
      </c>
      <c r="E237" t="s">
        <v>795</v>
      </c>
    </row>
    <row r="238" spans="2:5" customFormat="1" ht="14.4" x14ac:dyDescent="0.3">
      <c r="B238" t="s">
        <v>795</v>
      </c>
      <c r="E238" t="s">
        <v>796</v>
      </c>
    </row>
    <row r="239" spans="2:5" customFormat="1" ht="14.4" x14ac:dyDescent="0.3">
      <c r="B239" t="s">
        <v>796</v>
      </c>
      <c r="E239" t="s">
        <v>797</v>
      </c>
    </row>
    <row r="240" spans="2:5" customFormat="1" ht="14.4" x14ac:dyDescent="0.3">
      <c r="B240" t="s">
        <v>797</v>
      </c>
      <c r="E240" t="s">
        <v>798</v>
      </c>
    </row>
    <row r="241" spans="2:5" customFormat="1" ht="14.4" x14ac:dyDescent="0.3">
      <c r="B241" t="s">
        <v>798</v>
      </c>
      <c r="E241" t="s">
        <v>799</v>
      </c>
    </row>
    <row r="242" spans="2:5" customFormat="1" ht="14.4" x14ac:dyDescent="0.3">
      <c r="B242" t="s">
        <v>799</v>
      </c>
      <c r="E242" t="s">
        <v>800</v>
      </c>
    </row>
    <row r="243" spans="2:5" customFormat="1" ht="14.4" x14ac:dyDescent="0.3">
      <c r="B243" t="s">
        <v>800</v>
      </c>
      <c r="E243" t="s">
        <v>801</v>
      </c>
    </row>
    <row r="244" spans="2:5" customFormat="1" ht="14.4" x14ac:dyDescent="0.3">
      <c r="B244" t="s">
        <v>801</v>
      </c>
      <c r="E244" t="s">
        <v>802</v>
      </c>
    </row>
    <row r="245" spans="2:5" customFormat="1" ht="14.4" x14ac:dyDescent="0.3">
      <c r="B245" t="s">
        <v>802</v>
      </c>
      <c r="E245" t="s">
        <v>803</v>
      </c>
    </row>
    <row r="246" spans="2:5" customFormat="1" ht="14.4" x14ac:dyDescent="0.3">
      <c r="B246" t="s">
        <v>803</v>
      </c>
      <c r="E246" t="s">
        <v>804</v>
      </c>
    </row>
    <row r="247" spans="2:5" customFormat="1" ht="14.4" x14ac:dyDescent="0.3">
      <c r="B247" t="s">
        <v>804</v>
      </c>
      <c r="E247" t="s">
        <v>805</v>
      </c>
    </row>
    <row r="248" spans="2:5" customFormat="1" ht="14.4" x14ac:dyDescent="0.3">
      <c r="B248" t="s">
        <v>805</v>
      </c>
      <c r="E248" t="s">
        <v>806</v>
      </c>
    </row>
    <row r="249" spans="2:5" customFormat="1" ht="14.4" x14ac:dyDescent="0.3">
      <c r="B249" t="s">
        <v>806</v>
      </c>
      <c r="E249" t="s">
        <v>807</v>
      </c>
    </row>
    <row r="250" spans="2:5" customFormat="1" ht="14.4" x14ac:dyDescent="0.3">
      <c r="B250" t="s">
        <v>807</v>
      </c>
      <c r="E250" t="s">
        <v>808</v>
      </c>
    </row>
    <row r="251" spans="2:5" customFormat="1" ht="14.4" x14ac:dyDescent="0.3">
      <c r="B251" t="s">
        <v>808</v>
      </c>
      <c r="E251" t="s">
        <v>809</v>
      </c>
    </row>
    <row r="252" spans="2:5" customFormat="1" ht="14.4" x14ac:dyDescent="0.3">
      <c r="B252" t="s">
        <v>809</v>
      </c>
      <c r="E252" t="s">
        <v>810</v>
      </c>
    </row>
    <row r="253" spans="2:5" customFormat="1" ht="14.4" x14ac:dyDescent="0.3">
      <c r="B253" t="s">
        <v>810</v>
      </c>
      <c r="E253" t="s">
        <v>811</v>
      </c>
    </row>
    <row r="254" spans="2:5" customFormat="1" ht="14.4" x14ac:dyDescent="0.3">
      <c r="B254" t="s">
        <v>811</v>
      </c>
      <c r="E254" t="s">
        <v>812</v>
      </c>
    </row>
    <row r="255" spans="2:5" customFormat="1" ht="14.4" x14ac:dyDescent="0.3">
      <c r="B255" t="s">
        <v>812</v>
      </c>
      <c r="E255" t="s">
        <v>813</v>
      </c>
    </row>
    <row r="256" spans="2:5" customFormat="1" ht="14.4" x14ac:dyDescent="0.3">
      <c r="B256" t="s">
        <v>813</v>
      </c>
      <c r="E256" t="s">
        <v>814</v>
      </c>
    </row>
    <row r="257" spans="2:22" customFormat="1" ht="14.4" x14ac:dyDescent="0.3">
      <c r="B257" t="s">
        <v>814</v>
      </c>
      <c r="E257" t="s">
        <v>815</v>
      </c>
    </row>
    <row r="258" spans="2:22" customFormat="1" ht="14.4" x14ac:dyDescent="0.3">
      <c r="B258" t="s">
        <v>815</v>
      </c>
      <c r="E258" t="s">
        <v>816</v>
      </c>
    </row>
    <row r="259" spans="2:22" customFormat="1" ht="14.4" x14ac:dyDescent="0.3">
      <c r="B259" t="s">
        <v>816</v>
      </c>
      <c r="E259" t="s">
        <v>817</v>
      </c>
    </row>
    <row r="260" spans="2:22" customFormat="1" ht="14.4" x14ac:dyDescent="0.3">
      <c r="B260" t="s">
        <v>817</v>
      </c>
      <c r="E260" t="s">
        <v>818</v>
      </c>
      <c r="L260" t="s">
        <v>619</v>
      </c>
      <c r="M260" t="s">
        <v>620</v>
      </c>
      <c r="N260" t="s">
        <v>621</v>
      </c>
    </row>
    <row r="261" spans="2:22" customFormat="1" ht="14.4" x14ac:dyDescent="0.3">
      <c r="B261" t="s">
        <v>818</v>
      </c>
      <c r="E261" t="s">
        <v>819</v>
      </c>
      <c r="K261" t="s">
        <v>820</v>
      </c>
      <c r="L261" t="s">
        <v>821</v>
      </c>
      <c r="M261">
        <f>R167</f>
        <v>2.0000000000000004</v>
      </c>
      <c r="N261">
        <f>S167</f>
        <v>0.6</v>
      </c>
    </row>
    <row r="262" spans="2:22" customFormat="1" ht="14.4" x14ac:dyDescent="0.3">
      <c r="B262" t="s">
        <v>819</v>
      </c>
      <c r="E262" t="s">
        <v>822</v>
      </c>
    </row>
    <row r="263" spans="2:22" customFormat="1" ht="14.4" x14ac:dyDescent="0.3">
      <c r="B263" t="s">
        <v>822</v>
      </c>
      <c r="E263" t="s">
        <v>823</v>
      </c>
    </row>
    <row r="264" spans="2:22" customFormat="1" ht="14.4" x14ac:dyDescent="0.3">
      <c r="B264" t="s">
        <v>823</v>
      </c>
      <c r="E264" t="s">
        <v>824</v>
      </c>
    </row>
    <row r="265" spans="2:22" customFormat="1" ht="14.4" x14ac:dyDescent="0.3">
      <c r="B265" t="s">
        <v>824</v>
      </c>
      <c r="E265" t="s">
        <v>825</v>
      </c>
      <c r="N265" s="1055" t="s">
        <v>826</v>
      </c>
      <c r="O265" s="1055"/>
      <c r="P265" s="1055"/>
      <c r="Q265" s="1055"/>
      <c r="R265" s="1055"/>
      <c r="S265" s="1055"/>
      <c r="V265" t="s">
        <v>827</v>
      </c>
    </row>
    <row r="266" spans="2:22" customFormat="1" ht="14.4" x14ac:dyDescent="0.3">
      <c r="B266" t="s">
        <v>825</v>
      </c>
      <c r="E266" t="s">
        <v>828</v>
      </c>
      <c r="N266" s="1052" t="s">
        <v>665</v>
      </c>
      <c r="O266" s="1052"/>
      <c r="P266" s="1052"/>
      <c r="Q266" s="1052"/>
      <c r="R266" s="9" t="s">
        <v>666</v>
      </c>
      <c r="S266" s="17">
        <v>3286.2707288543102</v>
      </c>
      <c r="U266" t="s">
        <v>707</v>
      </c>
      <c r="V266">
        <v>10</v>
      </c>
    </row>
    <row r="267" spans="2:22" customFormat="1" ht="14.4" x14ac:dyDescent="0.3">
      <c r="B267" t="s">
        <v>828</v>
      </c>
      <c r="E267" t="s">
        <v>829</v>
      </c>
      <c r="N267" s="1052" t="s">
        <v>668</v>
      </c>
      <c r="O267" s="1052"/>
      <c r="P267" s="1052"/>
      <c r="Q267" s="1052"/>
      <c r="R267" s="9" t="s">
        <v>666</v>
      </c>
      <c r="S267" s="18">
        <v>9.0034814489159292</v>
      </c>
      <c r="U267" t="s">
        <v>708</v>
      </c>
      <c r="V267">
        <v>9</v>
      </c>
    </row>
    <row r="268" spans="2:22" customFormat="1" ht="14.4" x14ac:dyDescent="0.3">
      <c r="B268" t="s">
        <v>829</v>
      </c>
      <c r="E268" t="s">
        <v>830</v>
      </c>
      <c r="N268" s="1052" t="s">
        <v>831</v>
      </c>
      <c r="O268" s="1052"/>
      <c r="P268" s="1052"/>
      <c r="Q268" s="1052"/>
      <c r="R268" s="9" t="s">
        <v>666</v>
      </c>
      <c r="S268" s="24">
        <f>S266/249</f>
        <v>13.197874413069519</v>
      </c>
      <c r="U268" t="s">
        <v>706</v>
      </c>
      <c r="V268">
        <v>9</v>
      </c>
    </row>
    <row r="269" spans="2:22" customFormat="1" ht="14.4" x14ac:dyDescent="0.3">
      <c r="B269" t="s">
        <v>830</v>
      </c>
      <c r="E269" t="s">
        <v>832</v>
      </c>
    </row>
    <row r="270" spans="2:22" customFormat="1" ht="14.4" x14ac:dyDescent="0.3">
      <c r="B270" t="s">
        <v>832</v>
      </c>
      <c r="E270" t="s">
        <v>833</v>
      </c>
    </row>
    <row r="271" spans="2:22" customFormat="1" ht="14.4" x14ac:dyDescent="0.3">
      <c r="B271" t="s">
        <v>833</v>
      </c>
      <c r="E271" t="s">
        <v>834</v>
      </c>
    </row>
    <row r="272" spans="2:22" customFormat="1" ht="14.4" x14ac:dyDescent="0.3">
      <c r="B272" t="s">
        <v>834</v>
      </c>
      <c r="E272" t="s">
        <v>835</v>
      </c>
    </row>
    <row r="273" spans="1:11" customFormat="1" ht="14.4" x14ac:dyDescent="0.3">
      <c r="B273" t="s">
        <v>835</v>
      </c>
    </row>
    <row r="274" spans="1:11" customFormat="1" ht="14.4" x14ac:dyDescent="0.3"/>
    <row r="275" spans="1:11" customFormat="1" ht="14.4" x14ac:dyDescent="0.3"/>
    <row r="276" spans="1:11" s="12" customFormat="1" ht="23.4" x14ac:dyDescent="0.45">
      <c r="A276" s="11" t="s">
        <v>836</v>
      </c>
    </row>
    <row r="277" spans="1:11" customFormat="1" ht="14.4" x14ac:dyDescent="0.3"/>
    <row r="278" spans="1:11" customFormat="1" ht="14.4" x14ac:dyDescent="0.3">
      <c r="B278" t="s">
        <v>837</v>
      </c>
    </row>
    <row r="279" spans="1:11" customFormat="1" ht="14.4" x14ac:dyDescent="0.3">
      <c r="B279" t="s">
        <v>838</v>
      </c>
      <c r="D279" t="s">
        <v>839</v>
      </c>
      <c r="F279" t="s">
        <v>840</v>
      </c>
    </row>
    <row r="280" spans="1:11" customFormat="1" ht="14.4" x14ac:dyDescent="0.3">
      <c r="B280" t="s">
        <v>841</v>
      </c>
      <c r="D280" t="s">
        <v>842</v>
      </c>
      <c r="F280" t="s">
        <v>843</v>
      </c>
    </row>
    <row r="281" spans="1:11" customFormat="1" ht="14.4" x14ac:dyDescent="0.3">
      <c r="B281" t="s">
        <v>767</v>
      </c>
      <c r="D281" t="s">
        <v>767</v>
      </c>
      <c r="F281" t="s">
        <v>767</v>
      </c>
      <c r="K281" t="s">
        <v>708</v>
      </c>
    </row>
    <row r="282" spans="1:11" customFormat="1" ht="14.4" x14ac:dyDescent="0.3">
      <c r="B282" t="s">
        <v>844</v>
      </c>
      <c r="D282" t="s">
        <v>844</v>
      </c>
      <c r="F282" t="s">
        <v>844</v>
      </c>
    </row>
    <row r="283" spans="1:11" customFormat="1" ht="14.4" x14ac:dyDescent="0.3">
      <c r="B283" t="s">
        <v>845</v>
      </c>
      <c r="D283" t="s">
        <v>845</v>
      </c>
      <c r="F283" t="s">
        <v>845</v>
      </c>
      <c r="J283" s="3">
        <v>1</v>
      </c>
    </row>
    <row r="284" spans="1:11" customFormat="1" ht="14.4" x14ac:dyDescent="0.3">
      <c r="B284" t="s">
        <v>846</v>
      </c>
      <c r="D284" t="s">
        <v>846</v>
      </c>
      <c r="F284" t="s">
        <v>846</v>
      </c>
      <c r="J284" s="3">
        <f t="shared" ref="J284:J306" si="7">J283+1</f>
        <v>2</v>
      </c>
    </row>
    <row r="285" spans="1:11" customFormat="1" ht="14.4" x14ac:dyDescent="0.3">
      <c r="B285" t="s">
        <v>847</v>
      </c>
      <c r="D285" t="s">
        <v>847</v>
      </c>
      <c r="F285" t="s">
        <v>847</v>
      </c>
      <c r="J285" s="3">
        <f t="shared" si="7"/>
        <v>3</v>
      </c>
    </row>
    <row r="286" spans="1:11" customFormat="1" ht="14.4" x14ac:dyDescent="0.3">
      <c r="B286" t="s">
        <v>848</v>
      </c>
      <c r="D286" t="s">
        <v>848</v>
      </c>
      <c r="F286" t="s">
        <v>848</v>
      </c>
      <c r="J286" s="3">
        <f t="shared" si="7"/>
        <v>4</v>
      </c>
    </row>
    <row r="287" spans="1:11" customFormat="1" ht="14.4" x14ac:dyDescent="0.3">
      <c r="B287" t="s">
        <v>849</v>
      </c>
      <c r="D287" t="s">
        <v>849</v>
      </c>
      <c r="F287" t="s">
        <v>849</v>
      </c>
      <c r="J287" s="3">
        <f t="shared" si="7"/>
        <v>5</v>
      </c>
    </row>
    <row r="288" spans="1:11" customFormat="1" ht="14.4" x14ac:dyDescent="0.3">
      <c r="B288" t="s">
        <v>850</v>
      </c>
      <c r="D288" t="s">
        <v>850</v>
      </c>
      <c r="F288" t="s">
        <v>850</v>
      </c>
      <c r="J288" s="3">
        <f t="shared" si="7"/>
        <v>6</v>
      </c>
    </row>
    <row r="289" spans="2:10" customFormat="1" ht="14.4" x14ac:dyDescent="0.3">
      <c r="B289" t="s">
        <v>851</v>
      </c>
      <c r="D289" t="s">
        <v>851</v>
      </c>
      <c r="F289" t="s">
        <v>851</v>
      </c>
      <c r="J289" s="3">
        <f t="shared" si="7"/>
        <v>7</v>
      </c>
    </row>
    <row r="290" spans="2:10" customFormat="1" ht="14.4" x14ac:dyDescent="0.3">
      <c r="B290" t="s">
        <v>852</v>
      </c>
      <c r="D290" t="s">
        <v>852</v>
      </c>
      <c r="F290" t="s">
        <v>852</v>
      </c>
      <c r="J290" s="3">
        <f t="shared" si="7"/>
        <v>8</v>
      </c>
    </row>
    <row r="291" spans="2:10" customFormat="1" ht="14.4" x14ac:dyDescent="0.3">
      <c r="B291" t="s">
        <v>853</v>
      </c>
      <c r="D291" t="s">
        <v>853</v>
      </c>
      <c r="F291" t="s">
        <v>853</v>
      </c>
      <c r="J291" s="3">
        <f t="shared" si="7"/>
        <v>9</v>
      </c>
    </row>
    <row r="292" spans="2:10" customFormat="1" ht="14.4" x14ac:dyDescent="0.3">
      <c r="B292" t="s">
        <v>854</v>
      </c>
      <c r="D292" t="s">
        <v>854</v>
      </c>
      <c r="F292" t="s">
        <v>854</v>
      </c>
      <c r="J292" s="3">
        <f t="shared" si="7"/>
        <v>10</v>
      </c>
    </row>
    <row r="293" spans="2:10" customFormat="1" ht="14.4" x14ac:dyDescent="0.3">
      <c r="B293" t="s">
        <v>855</v>
      </c>
      <c r="D293" t="s">
        <v>855</v>
      </c>
      <c r="F293" t="s">
        <v>855</v>
      </c>
      <c r="J293" s="3">
        <f t="shared" si="7"/>
        <v>11</v>
      </c>
    </row>
    <row r="294" spans="2:10" customFormat="1" ht="14.4" x14ac:dyDescent="0.3">
      <c r="B294" t="s">
        <v>856</v>
      </c>
      <c r="D294" t="s">
        <v>856</v>
      </c>
      <c r="F294" t="s">
        <v>856</v>
      </c>
      <c r="J294" s="3">
        <f t="shared" si="7"/>
        <v>12</v>
      </c>
    </row>
    <row r="295" spans="2:10" customFormat="1" ht="14.4" x14ac:dyDescent="0.3">
      <c r="B295" t="s">
        <v>857</v>
      </c>
      <c r="D295" t="s">
        <v>857</v>
      </c>
      <c r="F295" t="s">
        <v>857</v>
      </c>
      <c r="J295" s="3">
        <f t="shared" si="7"/>
        <v>13</v>
      </c>
    </row>
    <row r="296" spans="2:10" customFormat="1" ht="14.4" x14ac:dyDescent="0.3">
      <c r="B296" t="s">
        <v>858</v>
      </c>
      <c r="D296" t="s">
        <v>858</v>
      </c>
      <c r="F296" t="s">
        <v>859</v>
      </c>
      <c r="J296" s="3">
        <f t="shared" si="7"/>
        <v>14</v>
      </c>
    </row>
    <row r="297" spans="2:10" customFormat="1" ht="14.4" x14ac:dyDescent="0.3">
      <c r="B297" t="s">
        <v>860</v>
      </c>
      <c r="D297" t="s">
        <v>860</v>
      </c>
      <c r="F297" t="s">
        <v>860</v>
      </c>
      <c r="J297" s="3">
        <f t="shared" si="7"/>
        <v>15</v>
      </c>
    </row>
    <row r="298" spans="2:10" customFormat="1" ht="14.4" x14ac:dyDescent="0.3">
      <c r="B298" t="s">
        <v>861</v>
      </c>
      <c r="D298" t="s">
        <v>862</v>
      </c>
      <c r="F298" t="s">
        <v>863</v>
      </c>
      <c r="J298" s="3">
        <f t="shared" si="7"/>
        <v>16</v>
      </c>
    </row>
    <row r="299" spans="2:10" customFormat="1" ht="14.4" x14ac:dyDescent="0.3">
      <c r="B299" t="s">
        <v>864</v>
      </c>
      <c r="D299" t="s">
        <v>864</v>
      </c>
      <c r="F299" t="s">
        <v>864</v>
      </c>
      <c r="J299" s="3">
        <f t="shared" si="7"/>
        <v>17</v>
      </c>
    </row>
    <row r="300" spans="2:10" customFormat="1" ht="14.4" x14ac:dyDescent="0.3">
      <c r="B300" t="s">
        <v>865</v>
      </c>
      <c r="D300" t="s">
        <v>866</v>
      </c>
      <c r="F300" t="s">
        <v>867</v>
      </c>
      <c r="J300" s="3">
        <f t="shared" si="7"/>
        <v>18</v>
      </c>
    </row>
    <row r="301" spans="2:10" customFormat="1" ht="14.4" x14ac:dyDescent="0.3">
      <c r="B301" t="s">
        <v>868</v>
      </c>
      <c r="D301" t="s">
        <v>868</v>
      </c>
      <c r="F301" t="s">
        <v>868</v>
      </c>
      <c r="J301" s="3">
        <f t="shared" si="7"/>
        <v>19</v>
      </c>
    </row>
    <row r="302" spans="2:10" customFormat="1" ht="14.4" x14ac:dyDescent="0.3">
      <c r="B302" t="s">
        <v>869</v>
      </c>
      <c r="D302" t="s">
        <v>870</v>
      </c>
      <c r="F302" t="s">
        <v>871</v>
      </c>
      <c r="J302" s="3">
        <f t="shared" si="7"/>
        <v>20</v>
      </c>
    </row>
    <row r="303" spans="2:10" customFormat="1" ht="14.4" x14ac:dyDescent="0.3">
      <c r="B303" t="s">
        <v>872</v>
      </c>
      <c r="D303" t="s">
        <v>872</v>
      </c>
      <c r="F303" t="s">
        <v>872</v>
      </c>
      <c r="J303" s="3">
        <f t="shared" si="7"/>
        <v>21</v>
      </c>
    </row>
    <row r="304" spans="2:10" customFormat="1" ht="14.4" x14ac:dyDescent="0.3">
      <c r="B304" t="s">
        <v>873</v>
      </c>
      <c r="D304" t="s">
        <v>874</v>
      </c>
      <c r="F304" t="s">
        <v>875</v>
      </c>
      <c r="J304" s="3">
        <f t="shared" si="7"/>
        <v>22</v>
      </c>
    </row>
    <row r="305" spans="2:10" customFormat="1" ht="14.4" x14ac:dyDescent="0.3">
      <c r="B305" t="s">
        <v>876</v>
      </c>
      <c r="D305" t="s">
        <v>876</v>
      </c>
      <c r="F305" t="s">
        <v>876</v>
      </c>
      <c r="J305" s="3">
        <f t="shared" si="7"/>
        <v>23</v>
      </c>
    </row>
    <row r="306" spans="2:10" customFormat="1" ht="14.4" x14ac:dyDescent="0.3">
      <c r="B306" t="s">
        <v>877</v>
      </c>
      <c r="D306" t="s">
        <v>878</v>
      </c>
      <c r="F306" t="s">
        <v>879</v>
      </c>
      <c r="J306" s="3">
        <f t="shared" si="7"/>
        <v>24</v>
      </c>
    </row>
    <row r="307" spans="2:10" customFormat="1" ht="14.4" x14ac:dyDescent="0.3">
      <c r="B307" t="s">
        <v>880</v>
      </c>
      <c r="D307" t="s">
        <v>880</v>
      </c>
      <c r="F307" t="s">
        <v>880</v>
      </c>
    </row>
    <row r="308" spans="2:10" customFormat="1" ht="14.4" x14ac:dyDescent="0.3">
      <c r="B308" t="s">
        <v>881</v>
      </c>
      <c r="D308" t="s">
        <v>882</v>
      </c>
      <c r="F308" t="s">
        <v>883</v>
      </c>
    </row>
    <row r="309" spans="2:10" customFormat="1" ht="14.4" x14ac:dyDescent="0.3">
      <c r="B309" t="s">
        <v>884</v>
      </c>
      <c r="D309" t="s">
        <v>884</v>
      </c>
      <c r="F309" t="s">
        <v>884</v>
      </c>
    </row>
    <row r="310" spans="2:10" customFormat="1" ht="14.4" x14ac:dyDescent="0.3">
      <c r="B310" t="s">
        <v>885</v>
      </c>
      <c r="D310" t="s">
        <v>886</v>
      </c>
      <c r="F310" t="s">
        <v>887</v>
      </c>
    </row>
    <row r="311" spans="2:10" customFormat="1" ht="14.4" x14ac:dyDescent="0.3">
      <c r="B311" t="s">
        <v>888</v>
      </c>
      <c r="D311" t="s">
        <v>888</v>
      </c>
      <c r="F311" t="s">
        <v>888</v>
      </c>
    </row>
    <row r="312" spans="2:10" customFormat="1" ht="14.4" x14ac:dyDescent="0.3">
      <c r="B312" t="s">
        <v>889</v>
      </c>
      <c r="D312" t="s">
        <v>890</v>
      </c>
      <c r="F312" t="s">
        <v>891</v>
      </c>
    </row>
    <row r="313" spans="2:10" customFormat="1" ht="14.4" x14ac:dyDescent="0.3">
      <c r="B313" t="s">
        <v>892</v>
      </c>
      <c r="D313" t="s">
        <v>892</v>
      </c>
      <c r="F313" t="s">
        <v>892</v>
      </c>
    </row>
    <row r="314" spans="2:10" customFormat="1" ht="14.4" x14ac:dyDescent="0.3">
      <c r="B314" t="s">
        <v>893</v>
      </c>
      <c r="D314" t="s">
        <v>894</v>
      </c>
      <c r="F314" t="s">
        <v>895</v>
      </c>
    </row>
    <row r="315" spans="2:10" customFormat="1" ht="14.4" x14ac:dyDescent="0.3">
      <c r="B315" t="s">
        <v>896</v>
      </c>
      <c r="D315" t="s">
        <v>896</v>
      </c>
      <c r="F315" t="s">
        <v>896</v>
      </c>
    </row>
    <row r="316" spans="2:10" customFormat="1" ht="14.4" x14ac:dyDescent="0.3">
      <c r="B316" t="s">
        <v>897</v>
      </c>
      <c r="D316" t="s">
        <v>898</v>
      </c>
      <c r="F316" t="s">
        <v>899</v>
      </c>
    </row>
    <row r="317" spans="2:10" customFormat="1" ht="14.4" x14ac:dyDescent="0.3">
      <c r="B317" t="s">
        <v>900</v>
      </c>
      <c r="D317" t="s">
        <v>900</v>
      </c>
      <c r="F317" t="s">
        <v>900</v>
      </c>
    </row>
    <row r="318" spans="2:10" customFormat="1" ht="14.4" x14ac:dyDescent="0.3">
      <c r="B318" t="s">
        <v>901</v>
      </c>
      <c r="D318" t="s">
        <v>902</v>
      </c>
      <c r="F318" t="s">
        <v>902</v>
      </c>
    </row>
    <row r="319" spans="2:10" customFormat="1" ht="14.4" x14ac:dyDescent="0.3">
      <c r="B319" t="s">
        <v>903</v>
      </c>
      <c r="D319" t="s">
        <v>903</v>
      </c>
      <c r="F319" t="s">
        <v>903</v>
      </c>
    </row>
    <row r="320" spans="2:10" customFormat="1" ht="14.4" x14ac:dyDescent="0.3">
      <c r="B320" t="s">
        <v>904</v>
      </c>
      <c r="D320" t="s">
        <v>905</v>
      </c>
      <c r="F320" t="s">
        <v>906</v>
      </c>
    </row>
    <row r="321" spans="2:29" customFormat="1" ht="14.4" x14ac:dyDescent="0.3">
      <c r="B321" t="s">
        <v>907</v>
      </c>
      <c r="D321" t="s">
        <v>907</v>
      </c>
      <c r="F321" t="s">
        <v>907</v>
      </c>
    </row>
    <row r="322" spans="2:29" customFormat="1" ht="14.4" x14ac:dyDescent="0.3">
      <c r="B322" t="s">
        <v>908</v>
      </c>
      <c r="D322" t="s">
        <v>909</v>
      </c>
      <c r="F322" t="s">
        <v>909</v>
      </c>
    </row>
    <row r="323" spans="2:29" customFormat="1" ht="14.4" x14ac:dyDescent="0.3">
      <c r="B323" t="s">
        <v>910</v>
      </c>
      <c r="D323" t="s">
        <v>910</v>
      </c>
      <c r="F323" t="s">
        <v>910</v>
      </c>
    </row>
    <row r="324" spans="2:29" customFormat="1" ht="14.4" x14ac:dyDescent="0.3">
      <c r="B324" t="s">
        <v>911</v>
      </c>
      <c r="D324" t="s">
        <v>912</v>
      </c>
      <c r="F324" t="s">
        <v>912</v>
      </c>
    </row>
    <row r="325" spans="2:29" customFormat="1" ht="14.4" x14ac:dyDescent="0.3">
      <c r="B325" t="s">
        <v>913</v>
      </c>
      <c r="D325" t="s">
        <v>913</v>
      </c>
      <c r="F325" t="s">
        <v>913</v>
      </c>
    </row>
    <row r="326" spans="2:29" customFormat="1" ht="14.4" x14ac:dyDescent="0.3">
      <c r="B326" t="s">
        <v>914</v>
      </c>
      <c r="D326" t="s">
        <v>915</v>
      </c>
      <c r="F326" t="s">
        <v>915</v>
      </c>
    </row>
    <row r="327" spans="2:29" customFormat="1" ht="14.4" x14ac:dyDescent="0.3">
      <c r="B327" t="s">
        <v>916</v>
      </c>
      <c r="D327" t="s">
        <v>916</v>
      </c>
      <c r="F327" t="s">
        <v>916</v>
      </c>
    </row>
    <row r="328" spans="2:29" customFormat="1" ht="14.4" x14ac:dyDescent="0.3">
      <c r="B328" t="s">
        <v>917</v>
      </c>
      <c r="D328" t="s">
        <v>918</v>
      </c>
      <c r="F328" t="s">
        <v>918</v>
      </c>
    </row>
    <row r="329" spans="2:29" customFormat="1" ht="14.4" x14ac:dyDescent="0.3">
      <c r="B329" t="s">
        <v>919</v>
      </c>
      <c r="D329" t="s">
        <v>919</v>
      </c>
      <c r="F329" t="s">
        <v>919</v>
      </c>
    </row>
    <row r="330" spans="2:29" customFormat="1" ht="14.4" x14ac:dyDescent="0.3">
      <c r="B330" t="s">
        <v>920</v>
      </c>
      <c r="D330" t="s">
        <v>921</v>
      </c>
      <c r="F330" t="s">
        <v>921</v>
      </c>
    </row>
    <row r="331" spans="2:29" customFormat="1" ht="14.4" x14ac:dyDescent="0.3"/>
    <row r="332" spans="2:29" ht="12" hidden="1" customHeight="1" thickBot="1" x14ac:dyDescent="0.35">
      <c r="B332" s="767"/>
      <c r="C332" s="766"/>
      <c r="D332" s="768"/>
      <c r="E332" s="162" t="s">
        <v>621</v>
      </c>
      <c r="F332" s="163">
        <v>0.9</v>
      </c>
      <c r="G332" s="163">
        <v>0.9</v>
      </c>
      <c r="H332" s="163">
        <v>0.9</v>
      </c>
      <c r="I332" s="163">
        <v>0.9</v>
      </c>
      <c r="J332" s="163">
        <v>0.9</v>
      </c>
      <c r="K332" s="163">
        <v>0.9</v>
      </c>
      <c r="L332" s="163">
        <v>0.9</v>
      </c>
      <c r="M332" s="163">
        <v>0.9</v>
      </c>
      <c r="N332" s="163">
        <v>0.9</v>
      </c>
      <c r="O332" s="163">
        <v>0.9</v>
      </c>
      <c r="P332" s="163">
        <v>0.9</v>
      </c>
      <c r="Q332" s="163">
        <v>0.9</v>
      </c>
      <c r="R332" s="163">
        <v>0.9</v>
      </c>
      <c r="S332" s="163">
        <v>0.9</v>
      </c>
      <c r="T332" s="163">
        <v>0.9</v>
      </c>
      <c r="U332" s="163">
        <v>0.9</v>
      </c>
      <c r="V332" s="163">
        <v>0.9</v>
      </c>
      <c r="W332" s="163">
        <v>0.9</v>
      </c>
      <c r="X332" s="163">
        <v>0.9</v>
      </c>
      <c r="Y332" s="163">
        <v>0.9</v>
      </c>
      <c r="Z332" s="163">
        <v>0.9</v>
      </c>
      <c r="AA332" s="163">
        <v>0.9</v>
      </c>
      <c r="AB332" s="163">
        <v>0.9</v>
      </c>
      <c r="AC332" s="164">
        <v>0.9</v>
      </c>
    </row>
    <row r="333" spans="2:29" hidden="1" x14ac:dyDescent="0.3">
      <c r="B333" s="1015" t="s">
        <v>922</v>
      </c>
      <c r="C333" s="1029" t="s">
        <v>399</v>
      </c>
      <c r="D333" s="1030" t="s">
        <v>108</v>
      </c>
      <c r="E333" s="165" t="s">
        <v>619</v>
      </c>
      <c r="F333" s="166">
        <v>0.5</v>
      </c>
      <c r="G333" s="166">
        <v>0</v>
      </c>
      <c r="H333" s="166">
        <v>0</v>
      </c>
      <c r="I333" s="166">
        <v>0</v>
      </c>
      <c r="J333" s="166">
        <v>0</v>
      </c>
      <c r="K333" s="166">
        <v>0</v>
      </c>
      <c r="L333" s="166">
        <v>0</v>
      </c>
      <c r="M333" s="166">
        <v>0.5</v>
      </c>
      <c r="N333" s="166">
        <v>0.5</v>
      </c>
      <c r="O333" s="166">
        <v>0.5</v>
      </c>
      <c r="P333" s="166">
        <v>0.9</v>
      </c>
      <c r="Q333" s="166">
        <v>0.9</v>
      </c>
      <c r="R333" s="166">
        <v>0.9</v>
      </c>
      <c r="S333" s="166">
        <v>0.9</v>
      </c>
      <c r="T333" s="166">
        <v>0.75</v>
      </c>
      <c r="U333" s="166">
        <v>0.75</v>
      </c>
      <c r="V333" s="166">
        <v>0.75</v>
      </c>
      <c r="W333" s="166">
        <v>0.9</v>
      </c>
      <c r="X333" s="166">
        <v>0.9</v>
      </c>
      <c r="Y333" s="166">
        <v>0.9</v>
      </c>
      <c r="Z333" s="166">
        <v>0.9</v>
      </c>
      <c r="AA333" s="166">
        <v>0.75</v>
      </c>
      <c r="AB333" s="166">
        <v>0.5</v>
      </c>
      <c r="AC333" s="167">
        <v>0.5</v>
      </c>
    </row>
    <row r="334" spans="2:29" hidden="1" x14ac:dyDescent="0.3">
      <c r="B334" s="922"/>
      <c r="C334" s="1003"/>
      <c r="D334" s="1031"/>
      <c r="E334" s="156" t="s">
        <v>620</v>
      </c>
      <c r="F334" s="157">
        <v>0.5</v>
      </c>
      <c r="G334" s="157">
        <v>0</v>
      </c>
      <c r="H334" s="157">
        <v>0</v>
      </c>
      <c r="I334" s="157">
        <v>0</v>
      </c>
      <c r="J334" s="157">
        <v>0</v>
      </c>
      <c r="K334" s="157">
        <v>0</v>
      </c>
      <c r="L334" s="157">
        <v>0</v>
      </c>
      <c r="M334" s="157">
        <v>0</v>
      </c>
      <c r="N334" s="157">
        <v>0.5</v>
      </c>
      <c r="O334" s="157">
        <v>0.5</v>
      </c>
      <c r="P334" s="157">
        <v>0.9</v>
      </c>
      <c r="Q334" s="157">
        <v>0.9</v>
      </c>
      <c r="R334" s="157">
        <v>0.9</v>
      </c>
      <c r="S334" s="157">
        <v>0.9</v>
      </c>
      <c r="T334" s="157">
        <v>0.75</v>
      </c>
      <c r="U334" s="157">
        <v>0.75</v>
      </c>
      <c r="V334" s="157">
        <v>0.75</v>
      </c>
      <c r="W334" s="157">
        <v>0.9</v>
      </c>
      <c r="X334" s="157">
        <v>0.9</v>
      </c>
      <c r="Y334" s="157">
        <v>0.9</v>
      </c>
      <c r="Z334" s="157">
        <v>0.9</v>
      </c>
      <c r="AA334" s="157">
        <v>0.75</v>
      </c>
      <c r="AB334" s="157">
        <v>0.75</v>
      </c>
      <c r="AC334" s="158">
        <v>0.5</v>
      </c>
    </row>
    <row r="335" spans="2:29" ht="12" hidden="1" thickBot="1" x14ac:dyDescent="0.35">
      <c r="B335" s="1028"/>
      <c r="C335" s="1004"/>
      <c r="D335" s="1032"/>
      <c r="E335" s="162" t="s">
        <v>621</v>
      </c>
      <c r="F335" s="163">
        <v>0.5</v>
      </c>
      <c r="G335" s="163">
        <v>0</v>
      </c>
      <c r="H335" s="163">
        <v>0</v>
      </c>
      <c r="I335" s="163">
        <v>0</v>
      </c>
      <c r="J335" s="163">
        <v>0</v>
      </c>
      <c r="K335" s="163">
        <v>0</v>
      </c>
      <c r="L335" s="163">
        <v>0</v>
      </c>
      <c r="M335" s="163">
        <v>0</v>
      </c>
      <c r="N335" s="163">
        <v>0</v>
      </c>
      <c r="O335" s="163">
        <v>0.5</v>
      </c>
      <c r="P335" s="163">
        <v>0.9</v>
      </c>
      <c r="Q335" s="163">
        <v>0.9</v>
      </c>
      <c r="R335" s="163">
        <v>0.9</v>
      </c>
      <c r="S335" s="163">
        <v>0.9</v>
      </c>
      <c r="T335" s="163">
        <v>0.75</v>
      </c>
      <c r="U335" s="163">
        <v>0.75</v>
      </c>
      <c r="V335" s="163">
        <v>0.75</v>
      </c>
      <c r="W335" s="163">
        <v>0.9</v>
      </c>
      <c r="X335" s="163">
        <v>0.9</v>
      </c>
      <c r="Y335" s="163">
        <v>0.9</v>
      </c>
      <c r="Z335" s="163">
        <v>0.9</v>
      </c>
      <c r="AA335" s="163">
        <v>0.75</v>
      </c>
      <c r="AB335" s="163">
        <v>0.5</v>
      </c>
      <c r="AC335" s="164">
        <v>0.5</v>
      </c>
    </row>
    <row r="336" spans="2:29" hidden="1" x14ac:dyDescent="0.3"/>
    <row r="10319" spans="6:6" x14ac:dyDescent="0.3">
      <c r="F10319" s="88" t="s">
        <v>923</v>
      </c>
    </row>
  </sheetData>
  <dataConsolidate/>
  <mergeCells count="127">
    <mergeCell ref="N266:Q266"/>
    <mergeCell ref="A107:M107"/>
    <mergeCell ref="A109:C109"/>
    <mergeCell ref="A110:C110"/>
    <mergeCell ref="A111:C111"/>
    <mergeCell ref="N267:Q267"/>
    <mergeCell ref="N268:Q268"/>
    <mergeCell ref="N265:S265"/>
    <mergeCell ref="Q140:S140"/>
    <mergeCell ref="A124:M124"/>
    <mergeCell ref="B140:C140"/>
    <mergeCell ref="E140:G140"/>
    <mergeCell ref="Q141:R141"/>
    <mergeCell ref="A2:A3"/>
    <mergeCell ref="A1:AC1"/>
    <mergeCell ref="C13:C15"/>
    <mergeCell ref="D13:D15"/>
    <mergeCell ref="B10:B12"/>
    <mergeCell ref="C10:C12"/>
    <mergeCell ref="D10:D12"/>
    <mergeCell ref="B2:B3"/>
    <mergeCell ref="C2:C3"/>
    <mergeCell ref="D2:D3"/>
    <mergeCell ref="E2:E3"/>
    <mergeCell ref="F2:AC2"/>
    <mergeCell ref="B4:B6"/>
    <mergeCell ref="C4:C6"/>
    <mergeCell ref="D4:D6"/>
    <mergeCell ref="B7:B9"/>
    <mergeCell ref="C7:C9"/>
    <mergeCell ref="D7:D9"/>
    <mergeCell ref="B13:B15"/>
    <mergeCell ref="A4:A6"/>
    <mergeCell ref="A7:A9"/>
    <mergeCell ref="A10:A12"/>
    <mergeCell ref="A13:A15"/>
    <mergeCell ref="B333:B335"/>
    <mergeCell ref="C333:C335"/>
    <mergeCell ref="D333:D335"/>
    <mergeCell ref="C28:C30"/>
    <mergeCell ref="D28:D30"/>
    <mergeCell ref="B35:B37"/>
    <mergeCell ref="C35:C37"/>
    <mergeCell ref="D35:D37"/>
    <mergeCell ref="B38:B40"/>
    <mergeCell ref="B59:B61"/>
    <mergeCell ref="C59:C61"/>
    <mergeCell ref="D59:D61"/>
    <mergeCell ref="A93:F93"/>
    <mergeCell ref="C94:D94"/>
    <mergeCell ref="A50:A52"/>
    <mergeCell ref="B50:B52"/>
    <mergeCell ref="C50:C52"/>
    <mergeCell ref="D50:D52"/>
    <mergeCell ref="A38:A40"/>
    <mergeCell ref="A41:A43"/>
    <mergeCell ref="C38:C40"/>
    <mergeCell ref="D38:D40"/>
    <mergeCell ref="B47:B49"/>
    <mergeCell ref="C47:C49"/>
    <mergeCell ref="A16:A18"/>
    <mergeCell ref="B32:B34"/>
    <mergeCell ref="C32:C34"/>
    <mergeCell ref="D32:D34"/>
    <mergeCell ref="B16:B18"/>
    <mergeCell ref="C16:C18"/>
    <mergeCell ref="D16:D18"/>
    <mergeCell ref="B19:B21"/>
    <mergeCell ref="C19:C21"/>
    <mergeCell ref="D19:D21"/>
    <mergeCell ref="C25:C27"/>
    <mergeCell ref="D25:D27"/>
    <mergeCell ref="A32:A34"/>
    <mergeCell ref="A19:A21"/>
    <mergeCell ref="A22:A24"/>
    <mergeCell ref="B22:B24"/>
    <mergeCell ref="C22:C24"/>
    <mergeCell ref="D22:D24"/>
    <mergeCell ref="A25:A27"/>
    <mergeCell ref="B25:B27"/>
    <mergeCell ref="A28:A30"/>
    <mergeCell ref="B28:B30"/>
    <mergeCell ref="A31:AC31"/>
    <mergeCell ref="D47:D49"/>
    <mergeCell ref="B41:B43"/>
    <mergeCell ref="C41:C43"/>
    <mergeCell ref="D41:D43"/>
    <mergeCell ref="B44:B46"/>
    <mergeCell ref="C44:C46"/>
    <mergeCell ref="D44:D46"/>
    <mergeCell ref="A35:A37"/>
    <mergeCell ref="A62:A64"/>
    <mergeCell ref="B62:B64"/>
    <mergeCell ref="C62:C64"/>
    <mergeCell ref="D62:D64"/>
    <mergeCell ref="A53:A55"/>
    <mergeCell ref="B53:B55"/>
    <mergeCell ref="C53:C55"/>
    <mergeCell ref="D53:D55"/>
    <mergeCell ref="A56:A58"/>
    <mergeCell ref="B56:B58"/>
    <mergeCell ref="C56:C58"/>
    <mergeCell ref="D56:D58"/>
    <mergeCell ref="A75:A77"/>
    <mergeCell ref="B75:B77"/>
    <mergeCell ref="C75:C77"/>
    <mergeCell ref="D75:D77"/>
    <mergeCell ref="A78:A80"/>
    <mergeCell ref="B78:B80"/>
    <mergeCell ref="C78:C80"/>
    <mergeCell ref="D78:D80"/>
    <mergeCell ref="A44:A46"/>
    <mergeCell ref="A47:A49"/>
    <mergeCell ref="A69:A71"/>
    <mergeCell ref="B69:B71"/>
    <mergeCell ref="C69:C71"/>
    <mergeCell ref="D69:D71"/>
    <mergeCell ref="A72:A74"/>
    <mergeCell ref="B72:B74"/>
    <mergeCell ref="C72:C74"/>
    <mergeCell ref="D72:D74"/>
    <mergeCell ref="A68:AC68"/>
    <mergeCell ref="A65:A67"/>
    <mergeCell ref="B65:B67"/>
    <mergeCell ref="C65:C67"/>
    <mergeCell ref="D65:D67"/>
    <mergeCell ref="A59:A61"/>
  </mergeCells>
  <phoneticPr fontId="6" type="noConversion"/>
  <dataValidations disablePrompts="1" count="3">
    <dataValidation type="list" allowBlank="1" showInputMessage="1" showErrorMessage="1" sqref="B208" xr:uid="{0B8ED8D6-A7ED-449C-AAEB-3B6573DA70F8}">
      <formula1>$B$248:$B$256</formula1>
    </dataValidation>
    <dataValidation type="list" allowBlank="1" showInputMessage="1" showErrorMessage="1" sqref="E208" xr:uid="{9E0A7D03-DAED-4AD9-BF59-DB3DFC492693}">
      <formula1>$E$269:$E$271</formula1>
    </dataValidation>
    <dataValidation type="list" allowBlank="1" showInputMessage="1" showErrorMessage="1" sqref="D208" xr:uid="{240BC8F2-1B0C-45C9-9C22-9171F0A56C9B}">
      <formula1>$D$266:$D$271</formula1>
    </dataValidation>
  </dataValidation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2528-244E-42F6-AB8E-307C68E3EB6B}">
  <sheetPr codeName="Sheet21"/>
  <dimension ref="A1:AB54"/>
  <sheetViews>
    <sheetView zoomScaleNormal="100" workbookViewId="0">
      <selection sqref="A1:G1"/>
    </sheetView>
  </sheetViews>
  <sheetFormatPr defaultColWidth="8.6640625" defaultRowHeight="13.2" x14ac:dyDescent="0.25"/>
  <cols>
    <col min="1" max="1" width="18.109375" style="57" customWidth="1"/>
    <col min="2" max="2" width="12" style="57" customWidth="1"/>
    <col min="3" max="6" width="13.6640625" style="57" customWidth="1"/>
    <col min="7" max="7" width="13.33203125" style="57" customWidth="1"/>
    <col min="8" max="8" width="12.6640625" style="57" bestFit="1" customWidth="1"/>
    <col min="9" max="9" width="8.6640625" style="57"/>
    <col min="10" max="10" width="19" style="57" customWidth="1"/>
    <col min="11" max="11" width="14.109375" style="57" customWidth="1"/>
    <col min="12" max="12" width="10.33203125" style="57" customWidth="1"/>
    <col min="13" max="27" width="5.6640625" style="57" customWidth="1"/>
    <col min="28" max="16384" width="8.6640625" style="57"/>
  </cols>
  <sheetData>
    <row r="1" spans="1:28" ht="28.95" customHeight="1" x14ac:dyDescent="0.25">
      <c r="A1" s="810" t="str">
        <f>"% of Floor Area per CZ and Vintage Bin - Restaurant"</f>
        <v>% of Floor Area per CZ and Vintage Bin - Restaurant</v>
      </c>
      <c r="B1" s="810"/>
      <c r="C1" s="810"/>
      <c r="D1" s="810"/>
      <c r="E1" s="810"/>
      <c r="F1" s="810"/>
      <c r="G1" s="810"/>
      <c r="J1" s="810" t="str">
        <f>"% of Floor Area per CZ and Vintage Bin - Restaurant"</f>
        <v>% of Floor Area per CZ and Vintage Bin - Restaurant</v>
      </c>
      <c r="K1" s="810"/>
      <c r="L1" s="810"/>
      <c r="M1" s="810"/>
      <c r="N1" s="810"/>
      <c r="O1" s="810"/>
      <c r="P1" s="810"/>
      <c r="Q1" s="810"/>
      <c r="R1" s="810"/>
      <c r="S1" s="810"/>
      <c r="T1" s="810"/>
      <c r="U1" s="810"/>
      <c r="V1" s="810"/>
      <c r="W1" s="810"/>
      <c r="X1" s="810"/>
      <c r="Y1" s="810"/>
      <c r="Z1" s="810"/>
      <c r="AA1" s="810"/>
    </row>
    <row r="2" spans="1:28" ht="21" customHeight="1" x14ac:dyDescent="0.25">
      <c r="A2" s="1060" t="s">
        <v>7</v>
      </c>
      <c r="B2" s="1060" t="s">
        <v>590</v>
      </c>
      <c r="C2" s="1060" t="s">
        <v>924</v>
      </c>
      <c r="D2" s="1060"/>
      <c r="E2" s="1060"/>
      <c r="F2" s="1060"/>
      <c r="G2" s="1060"/>
      <c r="J2" s="1060" t="s">
        <v>7</v>
      </c>
      <c r="K2" s="1060" t="s">
        <v>924</v>
      </c>
      <c r="L2" s="1060" t="s">
        <v>590</v>
      </c>
      <c r="M2" s="1060"/>
      <c r="N2" s="1060"/>
      <c r="O2" s="1060"/>
      <c r="P2" s="1060"/>
      <c r="Q2" s="1060"/>
      <c r="R2" s="1060"/>
      <c r="S2" s="1060"/>
      <c r="T2" s="1060"/>
      <c r="U2" s="1060"/>
      <c r="V2" s="1060"/>
      <c r="W2" s="1060"/>
      <c r="X2" s="1060"/>
      <c r="Y2" s="1060"/>
      <c r="Z2" s="1060"/>
      <c r="AA2" s="1060"/>
    </row>
    <row r="3" spans="1:28" ht="21" customHeight="1" x14ac:dyDescent="0.25">
      <c r="A3" s="1060"/>
      <c r="B3" s="1060"/>
      <c r="C3" s="772" t="s">
        <v>925</v>
      </c>
      <c r="D3" s="772" t="s">
        <v>258</v>
      </c>
      <c r="E3" s="772" t="s">
        <v>260</v>
      </c>
      <c r="F3" s="772" t="s">
        <v>262</v>
      </c>
      <c r="G3" s="772" t="s">
        <v>926</v>
      </c>
      <c r="J3" s="1060"/>
      <c r="K3" s="1060"/>
      <c r="L3" s="772">
        <v>1</v>
      </c>
      <c r="M3" s="772">
        <v>2</v>
      </c>
      <c r="N3" s="772">
        <v>3</v>
      </c>
      <c r="O3" s="772">
        <v>4</v>
      </c>
      <c r="P3" s="772">
        <v>5</v>
      </c>
      <c r="Q3" s="772">
        <v>6</v>
      </c>
      <c r="R3" s="772">
        <v>7</v>
      </c>
      <c r="S3" s="772">
        <v>8</v>
      </c>
      <c r="T3" s="772">
        <v>9</v>
      </c>
      <c r="U3" s="772">
        <v>10</v>
      </c>
      <c r="V3" s="772">
        <v>11</v>
      </c>
      <c r="W3" s="772">
        <v>12</v>
      </c>
      <c r="X3" s="772">
        <v>13</v>
      </c>
      <c r="Y3" s="772">
        <v>14</v>
      </c>
      <c r="Z3" s="772">
        <v>15</v>
      </c>
      <c r="AA3" s="772">
        <v>16</v>
      </c>
    </row>
    <row r="4" spans="1:28" ht="16.95" customHeight="1" x14ac:dyDescent="0.25">
      <c r="A4" s="812" t="s">
        <v>217</v>
      </c>
      <c r="B4" s="234">
        <v>1</v>
      </c>
      <c r="C4" s="264">
        <v>0.37753360000000002</v>
      </c>
      <c r="D4" s="264">
        <v>0.35271279999999999</v>
      </c>
      <c r="E4" s="264">
        <v>0.15225559999999999</v>
      </c>
      <c r="F4" s="264">
        <v>0.11749800000000001</v>
      </c>
      <c r="G4" s="265"/>
      <c r="H4" s="111">
        <f>SUM(C4:F4)</f>
        <v>0.99999999999999989</v>
      </c>
      <c r="J4" s="1059" t="s">
        <v>217</v>
      </c>
      <c r="K4" s="771" t="s">
        <v>925</v>
      </c>
      <c r="L4" s="771">
        <v>8.9029999999999995E-3</v>
      </c>
      <c r="M4" s="771">
        <v>2.3602000000000001E-2</v>
      </c>
      <c r="N4" s="771">
        <v>0.103035</v>
      </c>
      <c r="O4" s="771">
        <v>5.425E-2</v>
      </c>
      <c r="P4" s="771">
        <v>8.6070000000000001E-3</v>
      </c>
      <c r="Q4" s="771">
        <v>8.5982000000000003E-2</v>
      </c>
      <c r="R4" s="771">
        <v>4.0126000000000002E-2</v>
      </c>
      <c r="S4" s="771">
        <v>0.14440900000000001</v>
      </c>
      <c r="T4" s="771">
        <v>0.21362500000000001</v>
      </c>
      <c r="U4" s="771">
        <v>5.0506000000000002E-2</v>
      </c>
      <c r="V4" s="771">
        <v>2.8199999999999999E-2</v>
      </c>
      <c r="W4" s="771">
        <v>0.11300300000000001</v>
      </c>
      <c r="X4" s="771">
        <v>3.3251999999999997E-2</v>
      </c>
      <c r="Y4" s="771">
        <v>1.9747000000000001E-2</v>
      </c>
      <c r="Z4" s="771">
        <v>2.0094000000000001E-2</v>
      </c>
      <c r="AA4" s="771">
        <v>5.2659999999999998E-2</v>
      </c>
      <c r="AB4" s="111">
        <v>1.0000009999999999</v>
      </c>
    </row>
    <row r="5" spans="1:28" ht="16.95" customHeight="1" x14ac:dyDescent="0.25">
      <c r="A5" s="812"/>
      <c r="B5" s="234">
        <v>2</v>
      </c>
      <c r="C5" s="264">
        <v>0.53636680000000003</v>
      </c>
      <c r="D5" s="264">
        <v>0.31957249999999998</v>
      </c>
      <c r="E5" s="264">
        <v>8.5685899999999995E-2</v>
      </c>
      <c r="F5" s="264">
        <v>5.83749E-2</v>
      </c>
      <c r="G5" s="265"/>
      <c r="H5" s="111">
        <f t="shared" ref="H5:H20" si="0">SUM(C5:F5)</f>
        <v>1.0000000999999998</v>
      </c>
      <c r="J5" s="1059"/>
      <c r="K5" s="771" t="s">
        <v>258</v>
      </c>
      <c r="L5" s="771">
        <v>9.0709999999999992E-3</v>
      </c>
      <c r="M5" s="771">
        <v>1.5337E-2</v>
      </c>
      <c r="N5" s="771">
        <v>6.8728999999999998E-2</v>
      </c>
      <c r="O5" s="771">
        <v>3.5491000000000002E-2</v>
      </c>
      <c r="P5" s="771">
        <v>6.8300000000000001E-3</v>
      </c>
      <c r="Q5" s="771">
        <v>7.0438000000000001E-2</v>
      </c>
      <c r="R5" s="771">
        <v>4.9234E-2</v>
      </c>
      <c r="S5" s="771">
        <v>8.6548E-2</v>
      </c>
      <c r="T5" s="771">
        <v>0.155668</v>
      </c>
      <c r="U5" s="771">
        <v>0.115924</v>
      </c>
      <c r="V5" s="771">
        <v>2.6335000000000001E-2</v>
      </c>
      <c r="W5" s="771">
        <v>0.12640399999999999</v>
      </c>
      <c r="X5" s="771">
        <v>4.2784999999999997E-2</v>
      </c>
      <c r="Y5" s="771">
        <v>2.4534E-2</v>
      </c>
      <c r="Z5" s="771">
        <v>6.6007999999999997E-2</v>
      </c>
      <c r="AA5" s="771">
        <v>0.100664</v>
      </c>
      <c r="AB5" s="111">
        <v>0.99999999999999978</v>
      </c>
    </row>
    <row r="6" spans="1:28" ht="16.95" customHeight="1" x14ac:dyDescent="0.25">
      <c r="A6" s="812"/>
      <c r="B6" s="234">
        <v>3</v>
      </c>
      <c r="C6" s="264">
        <v>0.50609800000000005</v>
      </c>
      <c r="D6" s="264">
        <v>0.30953900000000001</v>
      </c>
      <c r="E6" s="264">
        <v>0.12964619999999999</v>
      </c>
      <c r="F6" s="264">
        <v>5.4716899999999999E-2</v>
      </c>
      <c r="G6" s="265"/>
      <c r="H6" s="111">
        <f t="shared" si="0"/>
        <v>1.0000001000000001</v>
      </c>
      <c r="J6" s="1059"/>
      <c r="K6" s="771" t="s">
        <v>260</v>
      </c>
      <c r="L6" s="771">
        <v>1.0980999999999999E-2</v>
      </c>
      <c r="M6" s="771">
        <v>1.1531E-2</v>
      </c>
      <c r="N6" s="771">
        <v>8.0721000000000001E-2</v>
      </c>
      <c r="O6" s="771">
        <v>3.9545999999999998E-2</v>
      </c>
      <c r="P6" s="771">
        <v>1.1198E-2</v>
      </c>
      <c r="Q6" s="771">
        <v>3.9255999999999999E-2</v>
      </c>
      <c r="R6" s="771">
        <v>3.0136E-2</v>
      </c>
      <c r="S6" s="771">
        <v>6.6118999999999997E-2</v>
      </c>
      <c r="T6" s="771">
        <v>8.2392999999999994E-2</v>
      </c>
      <c r="U6" s="771">
        <v>0.110919</v>
      </c>
      <c r="V6" s="771">
        <v>4.5296000000000003E-2</v>
      </c>
      <c r="W6" s="771">
        <v>0.202293</v>
      </c>
      <c r="X6" s="771">
        <v>5.7915000000000001E-2</v>
      </c>
      <c r="Y6" s="771">
        <v>2.6738999999999999E-2</v>
      </c>
      <c r="Z6" s="771">
        <v>5.7223999999999997E-2</v>
      </c>
      <c r="AA6" s="771">
        <v>0.12773200000000001</v>
      </c>
      <c r="AB6" s="111">
        <v>0.99999899999999986</v>
      </c>
    </row>
    <row r="7" spans="1:28" ht="16.95" customHeight="1" x14ac:dyDescent="0.25">
      <c r="A7" s="812"/>
      <c r="B7" s="234">
        <v>4</v>
      </c>
      <c r="C7" s="264">
        <v>0.51500570000000001</v>
      </c>
      <c r="D7" s="264">
        <v>0.30893310000000002</v>
      </c>
      <c r="E7" s="264">
        <v>0.12275519999999999</v>
      </c>
      <c r="F7" s="264">
        <v>5.3305999999999999E-2</v>
      </c>
      <c r="G7" s="265"/>
      <c r="H7" s="111">
        <f t="shared" si="0"/>
        <v>1</v>
      </c>
      <c r="J7" s="1059"/>
      <c r="K7" s="771" t="s">
        <v>262</v>
      </c>
      <c r="L7" s="771">
        <v>1.5402000000000001E-2</v>
      </c>
      <c r="M7" s="771">
        <v>1.4278000000000001E-2</v>
      </c>
      <c r="N7" s="771">
        <v>6.1920000000000003E-2</v>
      </c>
      <c r="O7" s="771">
        <v>3.1212E-2</v>
      </c>
      <c r="P7" s="771">
        <v>6.5680000000000001E-3</v>
      </c>
      <c r="Q7" s="771">
        <v>3.866E-2</v>
      </c>
      <c r="R7" s="771">
        <v>3.4412999999999999E-2</v>
      </c>
      <c r="S7" s="771">
        <v>6.9058999999999995E-2</v>
      </c>
      <c r="T7" s="771">
        <v>7.3751999999999998E-2</v>
      </c>
      <c r="U7" s="771">
        <v>0.104492</v>
      </c>
      <c r="V7" s="771">
        <v>4.4385000000000001E-2</v>
      </c>
      <c r="W7" s="771">
        <v>0.206736</v>
      </c>
      <c r="X7" s="771">
        <v>8.5815000000000002E-2</v>
      </c>
      <c r="Y7" s="771">
        <v>2.3557999999999999E-2</v>
      </c>
      <c r="Z7" s="771">
        <v>6.4837000000000006E-2</v>
      </c>
      <c r="AA7" s="771">
        <v>0.124913</v>
      </c>
      <c r="AB7" s="111">
        <v>1</v>
      </c>
    </row>
    <row r="8" spans="1:28" ht="16.95" customHeight="1" x14ac:dyDescent="0.25">
      <c r="A8" s="812"/>
      <c r="B8" s="234">
        <v>5</v>
      </c>
      <c r="C8" s="264">
        <v>0.4366293</v>
      </c>
      <c r="D8" s="264">
        <v>0.31768249999999998</v>
      </c>
      <c r="E8" s="264">
        <v>0.18575120000000001</v>
      </c>
      <c r="F8" s="264">
        <v>5.99371E-2</v>
      </c>
      <c r="G8" s="265"/>
      <c r="H8" s="111">
        <f t="shared" si="0"/>
        <v>1.0000001000000001</v>
      </c>
      <c r="J8" s="1059"/>
      <c r="K8" s="771"/>
      <c r="L8" s="771"/>
      <c r="M8" s="771"/>
      <c r="N8" s="771"/>
      <c r="O8" s="771"/>
      <c r="P8" s="771"/>
      <c r="Q8" s="771"/>
      <c r="R8" s="771"/>
      <c r="S8" s="771"/>
      <c r="T8" s="771"/>
      <c r="U8" s="771"/>
      <c r="V8" s="771"/>
      <c r="W8" s="771"/>
      <c r="X8" s="771"/>
      <c r="Y8" s="771"/>
      <c r="Z8" s="771"/>
      <c r="AA8" s="771"/>
      <c r="AB8" s="111"/>
    </row>
    <row r="9" spans="1:28" ht="16.95" customHeight="1" x14ac:dyDescent="0.25">
      <c r="A9" s="812"/>
      <c r="B9" s="234">
        <v>6</v>
      </c>
      <c r="C9" s="264">
        <v>0.50471220000000006</v>
      </c>
      <c r="D9" s="264">
        <v>0.3791136</v>
      </c>
      <c r="E9" s="264">
        <v>7.5347999999999998E-2</v>
      </c>
      <c r="F9" s="264">
        <v>4.0826300000000003E-2</v>
      </c>
      <c r="G9" s="265"/>
      <c r="H9" s="111">
        <f t="shared" si="0"/>
        <v>1.0000001000000001</v>
      </c>
      <c r="J9" s="1059"/>
      <c r="K9" s="771" t="s">
        <v>98</v>
      </c>
      <c r="L9" s="771">
        <v>9.7289999999999998E-3</v>
      </c>
      <c r="M9" s="771">
        <v>1.8155000000000001E-2</v>
      </c>
      <c r="N9" s="771">
        <v>8.3995E-2</v>
      </c>
      <c r="O9" s="771">
        <v>4.3459999999999999E-2</v>
      </c>
      <c r="P9" s="771">
        <v>8.1329999999999996E-3</v>
      </c>
      <c r="Q9" s="771">
        <v>7.0286000000000001E-2</v>
      </c>
      <c r="R9" s="771">
        <v>4.1799999999999997E-2</v>
      </c>
      <c r="S9" s="771">
        <v>0.106366</v>
      </c>
      <c r="T9" s="771">
        <v>0.16361400000000001</v>
      </c>
      <c r="U9" s="771">
        <v>8.7410000000000002E-2</v>
      </c>
      <c r="V9" s="771">
        <v>3.1001999999999998E-2</v>
      </c>
      <c r="W9" s="771">
        <v>0.137076</v>
      </c>
      <c r="X9" s="771">
        <v>4.4087000000000001E-2</v>
      </c>
      <c r="Y9" s="771">
        <v>2.2783999999999999E-2</v>
      </c>
      <c r="Z9" s="771">
        <v>4.5793E-2</v>
      </c>
      <c r="AA9" s="771">
        <v>8.6309999999999998E-2</v>
      </c>
      <c r="AB9" s="111">
        <v>1</v>
      </c>
    </row>
    <row r="10" spans="1:28" ht="16.95" customHeight="1" x14ac:dyDescent="0.25">
      <c r="A10" s="812"/>
      <c r="B10" s="234">
        <v>7</v>
      </c>
      <c r="C10" s="264">
        <v>0.39605800000000002</v>
      </c>
      <c r="D10" s="264">
        <v>0.44557380000000002</v>
      </c>
      <c r="E10" s="264">
        <v>9.7261100000000003E-2</v>
      </c>
      <c r="F10" s="264">
        <v>6.1107099999999998E-2</v>
      </c>
      <c r="G10" s="265"/>
      <c r="H10" s="111">
        <f t="shared" si="0"/>
        <v>1</v>
      </c>
      <c r="J10" s="60"/>
      <c r="K10" s="109"/>
      <c r="L10" s="77"/>
      <c r="M10" s="77"/>
      <c r="N10" s="77"/>
      <c r="O10" s="77"/>
      <c r="P10" s="110"/>
    </row>
    <row r="11" spans="1:28" ht="16.95" customHeight="1" x14ac:dyDescent="0.25">
      <c r="A11" s="812"/>
      <c r="B11" s="234">
        <v>8</v>
      </c>
      <c r="C11" s="264">
        <v>0.5601389</v>
      </c>
      <c r="D11" s="264">
        <v>0.30781059999999999</v>
      </c>
      <c r="E11" s="264">
        <v>8.3860000000000004E-2</v>
      </c>
      <c r="F11" s="264">
        <v>4.8190400000000001E-2</v>
      </c>
      <c r="G11" s="265"/>
      <c r="H11" s="111">
        <f t="shared" si="0"/>
        <v>0.99999989999999994</v>
      </c>
      <c r="J11" s="60"/>
      <c r="K11" s="109"/>
      <c r="L11" s="77"/>
      <c r="M11" s="77"/>
      <c r="N11" s="77"/>
      <c r="O11" s="77"/>
      <c r="P11" s="110"/>
    </row>
    <row r="12" spans="1:28" ht="16.95" customHeight="1" x14ac:dyDescent="0.25">
      <c r="A12" s="812"/>
      <c r="B12" s="234">
        <v>9</v>
      </c>
      <c r="C12" s="264">
        <v>0.53868439999999995</v>
      </c>
      <c r="D12" s="264">
        <v>0.35992180000000001</v>
      </c>
      <c r="E12" s="264">
        <v>6.7936099999999999E-2</v>
      </c>
      <c r="F12" s="264">
        <v>3.34577E-2</v>
      </c>
      <c r="G12" s="265"/>
      <c r="H12" s="111">
        <f t="shared" si="0"/>
        <v>1</v>
      </c>
      <c r="J12" s="60"/>
      <c r="K12" s="109"/>
      <c r="L12" s="77"/>
      <c r="M12" s="77"/>
      <c r="N12" s="77"/>
      <c r="O12" s="77"/>
      <c r="P12" s="110"/>
    </row>
    <row r="13" spans="1:28" ht="16.95" customHeight="1" x14ac:dyDescent="0.25">
      <c r="A13" s="812"/>
      <c r="B13" s="234">
        <v>10</v>
      </c>
      <c r="C13" s="264">
        <v>0.2383874</v>
      </c>
      <c r="D13" s="264">
        <v>0.50169560000000002</v>
      </c>
      <c r="E13" s="264">
        <v>0.17118829999999999</v>
      </c>
      <c r="F13" s="264">
        <v>8.8728699999999994E-2</v>
      </c>
      <c r="G13" s="265"/>
      <c r="H13" s="111">
        <f t="shared" si="0"/>
        <v>1</v>
      </c>
      <c r="J13" s="60"/>
      <c r="K13" s="109"/>
      <c r="L13" s="77"/>
      <c r="M13" s="77"/>
      <c r="N13" s="77"/>
      <c r="O13" s="77"/>
      <c r="P13" s="110"/>
    </row>
    <row r="14" spans="1:28" ht="16.95" customHeight="1" x14ac:dyDescent="0.25">
      <c r="A14" s="812"/>
      <c r="B14" s="234">
        <v>11</v>
      </c>
      <c r="C14" s="264">
        <v>0.37528800000000001</v>
      </c>
      <c r="D14" s="264">
        <v>0.32134430000000003</v>
      </c>
      <c r="E14" s="264">
        <v>0.1971031</v>
      </c>
      <c r="F14" s="264">
        <v>0.1062646</v>
      </c>
      <c r="G14" s="265"/>
      <c r="H14" s="111">
        <f t="shared" si="0"/>
        <v>1</v>
      </c>
      <c r="J14" s="60"/>
      <c r="K14" s="109"/>
      <c r="L14" s="77"/>
      <c r="M14" s="77"/>
      <c r="N14" s="77"/>
      <c r="O14" s="77"/>
      <c r="P14" s="110"/>
    </row>
    <row r="15" spans="1:28" ht="16.95" customHeight="1" x14ac:dyDescent="0.25">
      <c r="A15" s="812"/>
      <c r="B15" s="234">
        <v>12</v>
      </c>
      <c r="C15" s="264">
        <v>0.3401209</v>
      </c>
      <c r="D15" s="264">
        <v>0.34884419999999999</v>
      </c>
      <c r="E15" s="264">
        <v>0.19909089999999999</v>
      </c>
      <c r="F15" s="264">
        <v>0.111944</v>
      </c>
      <c r="G15" s="265"/>
      <c r="H15" s="111">
        <f t="shared" si="0"/>
        <v>1</v>
      </c>
      <c r="J15" s="60"/>
      <c r="K15" s="109"/>
      <c r="L15" s="77"/>
      <c r="M15" s="77"/>
      <c r="N15" s="77"/>
      <c r="O15" s="77"/>
      <c r="P15" s="110"/>
    </row>
    <row r="16" spans="1:28" ht="16.95" customHeight="1" x14ac:dyDescent="0.25">
      <c r="A16" s="812"/>
      <c r="B16" s="234">
        <v>13</v>
      </c>
      <c r="C16" s="264">
        <v>0.31118010000000002</v>
      </c>
      <c r="D16" s="264">
        <v>0.36712339999999999</v>
      </c>
      <c r="E16" s="264">
        <v>0.17721890000000001</v>
      </c>
      <c r="F16" s="264">
        <v>0.14447760000000001</v>
      </c>
      <c r="G16" s="265"/>
      <c r="H16" s="111">
        <f t="shared" si="0"/>
        <v>0.99999999999999989</v>
      </c>
      <c r="J16" s="60"/>
      <c r="K16" s="109"/>
      <c r="L16" s="77"/>
      <c r="M16" s="77"/>
      <c r="N16" s="77"/>
      <c r="O16" s="77"/>
      <c r="P16" s="110"/>
    </row>
    <row r="17" spans="1:16" ht="16.95" customHeight="1" x14ac:dyDescent="0.25">
      <c r="A17" s="812"/>
      <c r="B17" s="234">
        <v>14</v>
      </c>
      <c r="C17" s="264">
        <v>0.35758079999999998</v>
      </c>
      <c r="D17" s="264">
        <v>0.40735060000000001</v>
      </c>
      <c r="E17" s="264">
        <v>0.15832280000000001</v>
      </c>
      <c r="F17" s="264">
        <v>7.6745900000000006E-2</v>
      </c>
      <c r="G17" s="265"/>
      <c r="H17" s="111">
        <f t="shared" si="0"/>
        <v>1.0000001000000001</v>
      </c>
      <c r="J17" s="60"/>
      <c r="K17" s="109"/>
      <c r="L17" s="77"/>
      <c r="M17" s="77"/>
      <c r="N17" s="77"/>
      <c r="O17" s="77"/>
      <c r="P17" s="110"/>
    </row>
    <row r="18" spans="1:16" ht="16.95" customHeight="1" x14ac:dyDescent="0.25">
      <c r="A18" s="812"/>
      <c r="B18" s="234">
        <v>15</v>
      </c>
      <c r="C18" s="264">
        <v>0.1810389</v>
      </c>
      <c r="D18" s="264">
        <v>0.54528860000000001</v>
      </c>
      <c r="E18" s="264">
        <v>0.16858119999999999</v>
      </c>
      <c r="F18" s="264">
        <v>0.1050913</v>
      </c>
      <c r="G18" s="265"/>
      <c r="H18" s="111">
        <f t="shared" si="0"/>
        <v>1</v>
      </c>
      <c r="J18" s="60"/>
      <c r="K18" s="109"/>
      <c r="L18" s="77"/>
      <c r="M18" s="77"/>
      <c r="N18" s="77"/>
      <c r="O18" s="77"/>
      <c r="P18" s="110"/>
    </row>
    <row r="19" spans="1:16" ht="16.95" customHeight="1" x14ac:dyDescent="0.25">
      <c r="A19" s="812"/>
      <c r="B19" s="234">
        <v>16</v>
      </c>
      <c r="C19" s="265">
        <v>0.25172159999999999</v>
      </c>
      <c r="D19" s="265">
        <v>0.44120700000000002</v>
      </c>
      <c r="E19" s="265">
        <v>0.19965040000000001</v>
      </c>
      <c r="F19" s="265">
        <v>0.107421</v>
      </c>
      <c r="G19" s="265"/>
      <c r="H19" s="111">
        <f t="shared" si="0"/>
        <v>1</v>
      </c>
      <c r="J19" s="60"/>
      <c r="K19" s="109"/>
      <c r="L19" s="77"/>
      <c r="M19" s="77"/>
      <c r="N19" s="77"/>
      <c r="O19" s="77"/>
      <c r="P19" s="110"/>
    </row>
    <row r="20" spans="1:16" x14ac:dyDescent="0.25">
      <c r="A20" s="812"/>
      <c r="B20" s="233" t="s">
        <v>683</v>
      </c>
      <c r="C20" s="265">
        <v>0.4125762</v>
      </c>
      <c r="D20" s="265">
        <v>0.37829439999999998</v>
      </c>
      <c r="E20" s="265">
        <v>0.13490550000000001</v>
      </c>
      <c r="F20" s="265">
        <v>7.4223899999999995E-2</v>
      </c>
      <c r="G20" s="265"/>
      <c r="H20" s="111">
        <f t="shared" si="0"/>
        <v>1</v>
      </c>
    </row>
    <row r="22" spans="1:16" x14ac:dyDescent="0.25">
      <c r="A22" s="57" t="s">
        <v>927</v>
      </c>
    </row>
    <row r="23" spans="1:16" x14ac:dyDescent="0.25">
      <c r="A23" s="57" t="s">
        <v>608</v>
      </c>
    </row>
    <row r="29" spans="1:16" s="71" customFormat="1" hidden="1" x14ac:dyDescent="0.25">
      <c r="A29" s="71" t="s">
        <v>88</v>
      </c>
      <c r="E29" s="72"/>
      <c r="F29" s="73"/>
      <c r="G29" s="74"/>
    </row>
    <row r="31" spans="1:16" ht="13.2" customHeight="1" x14ac:dyDescent="0.25"/>
    <row r="32" spans="1:16" ht="13.2" customHeight="1" x14ac:dyDescent="0.25">
      <c r="B32" s="734"/>
      <c r="C32" s="734"/>
      <c r="D32" s="734"/>
      <c r="E32" s="734"/>
      <c r="F32" s="734"/>
      <c r="G32" s="734"/>
    </row>
    <row r="33" spans="2:13" ht="13.2" customHeight="1" x14ac:dyDescent="0.25">
      <c r="B33" s="734"/>
      <c r="C33" s="734"/>
      <c r="D33" s="734"/>
      <c r="E33" s="734"/>
      <c r="F33" s="734"/>
      <c r="G33" s="734"/>
    </row>
    <row r="34" spans="2:13" ht="13.2" customHeight="1" x14ac:dyDescent="0.25">
      <c r="B34" s="735"/>
      <c r="C34" s="736"/>
      <c r="D34" s="736"/>
      <c r="E34" s="736"/>
      <c r="F34" s="736"/>
      <c r="G34" s="737"/>
      <c r="H34" s="676"/>
      <c r="J34" s="676"/>
      <c r="K34" s="676"/>
      <c r="L34" s="676"/>
      <c r="M34" s="676"/>
    </row>
    <row r="35" spans="2:13" ht="13.2" customHeight="1" x14ac:dyDescent="0.25">
      <c r="B35" s="735"/>
      <c r="C35" s="736"/>
      <c r="D35" s="736"/>
      <c r="E35" s="736"/>
      <c r="F35" s="736"/>
      <c r="G35" s="737"/>
      <c r="H35" s="676"/>
      <c r="J35" s="676"/>
      <c r="K35" s="676"/>
      <c r="L35" s="676"/>
      <c r="M35" s="676"/>
    </row>
    <row r="36" spans="2:13" ht="13.2" customHeight="1" x14ac:dyDescent="0.25">
      <c r="B36" s="735"/>
      <c r="C36" s="736"/>
      <c r="D36" s="736"/>
      <c r="E36" s="736"/>
      <c r="F36" s="736"/>
      <c r="G36" s="737"/>
      <c r="H36" s="676"/>
      <c r="J36" s="676"/>
      <c r="K36" s="676"/>
      <c r="L36" s="676"/>
      <c r="M36" s="676"/>
    </row>
    <row r="37" spans="2:13" ht="13.2" customHeight="1" x14ac:dyDescent="0.25">
      <c r="B37" s="735"/>
      <c r="C37" s="736"/>
      <c r="D37" s="736"/>
      <c r="E37" s="736"/>
      <c r="F37" s="736"/>
      <c r="G37" s="737"/>
      <c r="H37" s="676"/>
      <c r="J37" s="676"/>
      <c r="K37" s="676"/>
      <c r="L37" s="676"/>
      <c r="M37" s="676"/>
    </row>
    <row r="38" spans="2:13" ht="13.2" customHeight="1" x14ac:dyDescent="0.25">
      <c r="B38" s="735"/>
      <c r="C38" s="736"/>
      <c r="D38" s="736"/>
      <c r="E38" s="736"/>
      <c r="F38" s="736"/>
      <c r="G38" s="737"/>
      <c r="H38" s="676"/>
      <c r="J38" s="676"/>
      <c r="K38" s="676"/>
      <c r="L38" s="676"/>
      <c r="M38" s="676"/>
    </row>
    <row r="39" spans="2:13" ht="13.2" customHeight="1" x14ac:dyDescent="0.25">
      <c r="B39" s="735"/>
      <c r="C39" s="736"/>
      <c r="D39" s="736"/>
      <c r="E39" s="736"/>
      <c r="F39" s="736"/>
      <c r="G39" s="737"/>
      <c r="H39" s="676"/>
      <c r="J39" s="676"/>
      <c r="K39" s="676"/>
      <c r="L39" s="676"/>
      <c r="M39" s="676"/>
    </row>
    <row r="40" spans="2:13" ht="13.2" customHeight="1" x14ac:dyDescent="0.25">
      <c r="B40" s="735"/>
      <c r="C40" s="736"/>
      <c r="D40" s="736"/>
      <c r="E40" s="736"/>
      <c r="F40" s="736"/>
      <c r="G40" s="737"/>
      <c r="H40" s="676"/>
      <c r="J40" s="676"/>
      <c r="K40" s="676"/>
      <c r="L40" s="676"/>
      <c r="M40" s="676"/>
    </row>
    <row r="41" spans="2:13" ht="13.2" customHeight="1" x14ac:dyDescent="0.25">
      <c r="B41" s="735"/>
      <c r="C41" s="736"/>
      <c r="D41" s="736"/>
      <c r="E41" s="736"/>
      <c r="F41" s="736"/>
      <c r="G41" s="737"/>
      <c r="H41" s="676"/>
      <c r="J41" s="676"/>
      <c r="K41" s="676"/>
      <c r="L41" s="676"/>
      <c r="M41" s="676"/>
    </row>
    <row r="42" spans="2:13" ht="13.2" customHeight="1" x14ac:dyDescent="0.25">
      <c r="B42" s="735"/>
      <c r="C42" s="736"/>
      <c r="D42" s="736"/>
      <c r="E42" s="736"/>
      <c r="F42" s="736"/>
      <c r="G42" s="737"/>
      <c r="H42" s="676"/>
      <c r="J42" s="676"/>
      <c r="K42" s="676"/>
      <c r="L42" s="676"/>
      <c r="M42" s="676"/>
    </row>
    <row r="43" spans="2:13" ht="13.2" customHeight="1" x14ac:dyDescent="0.25">
      <c r="B43" s="735"/>
      <c r="C43" s="736"/>
      <c r="D43" s="736"/>
      <c r="E43" s="736"/>
      <c r="F43" s="736"/>
      <c r="G43" s="737"/>
      <c r="H43" s="676"/>
      <c r="J43" s="676"/>
      <c r="K43" s="676"/>
      <c r="L43" s="676"/>
      <c r="M43" s="676"/>
    </row>
    <row r="44" spans="2:13" ht="13.2" customHeight="1" x14ac:dyDescent="0.25">
      <c r="B44" s="735"/>
      <c r="C44" s="736"/>
      <c r="D44" s="736"/>
      <c r="E44" s="736"/>
      <c r="F44" s="736"/>
      <c r="G44" s="737"/>
      <c r="H44" s="676"/>
      <c r="J44" s="676"/>
      <c r="K44" s="676"/>
      <c r="L44" s="676"/>
      <c r="M44" s="676"/>
    </row>
    <row r="45" spans="2:13" ht="13.2" customHeight="1" x14ac:dyDescent="0.25">
      <c r="B45" s="735"/>
      <c r="C45" s="736"/>
      <c r="D45" s="736"/>
      <c r="E45" s="736"/>
      <c r="F45" s="736"/>
      <c r="G45" s="737"/>
      <c r="H45" s="676"/>
      <c r="J45" s="676"/>
      <c r="K45" s="676"/>
      <c r="L45" s="676"/>
      <c r="M45" s="676"/>
    </row>
    <row r="46" spans="2:13" ht="13.2" customHeight="1" x14ac:dyDescent="0.25">
      <c r="B46" s="735"/>
      <c r="C46" s="736"/>
      <c r="D46" s="736"/>
      <c r="E46" s="736"/>
      <c r="F46" s="736"/>
      <c r="G46" s="737"/>
      <c r="H46" s="676"/>
      <c r="J46" s="676"/>
      <c r="K46" s="676"/>
      <c r="L46" s="676"/>
      <c r="M46" s="676"/>
    </row>
    <row r="47" spans="2:13" ht="13.2" customHeight="1" x14ac:dyDescent="0.25">
      <c r="B47" s="735"/>
      <c r="C47" s="736"/>
      <c r="D47" s="736"/>
      <c r="E47" s="736"/>
      <c r="F47" s="736"/>
      <c r="G47" s="737"/>
      <c r="H47" s="676"/>
      <c r="J47" s="676"/>
      <c r="K47" s="676"/>
      <c r="L47" s="676"/>
      <c r="M47" s="676"/>
    </row>
    <row r="48" spans="2:13" ht="13.2" customHeight="1" x14ac:dyDescent="0.25">
      <c r="B48" s="735"/>
      <c r="C48" s="736"/>
      <c r="D48" s="736"/>
      <c r="E48" s="736"/>
      <c r="F48" s="736"/>
      <c r="G48" s="737"/>
      <c r="H48" s="676"/>
      <c r="J48" s="676"/>
      <c r="K48" s="676"/>
      <c r="L48" s="676"/>
      <c r="M48" s="676"/>
    </row>
    <row r="49" spans="2:13" ht="13.2" customHeight="1" x14ac:dyDescent="0.25">
      <c r="B49" s="735"/>
      <c r="C49" s="737"/>
      <c r="D49" s="737"/>
      <c r="E49" s="737"/>
      <c r="F49" s="737"/>
      <c r="G49" s="737"/>
      <c r="H49" s="676"/>
      <c r="J49" s="676"/>
      <c r="K49" s="676"/>
      <c r="L49" s="676"/>
      <c r="M49" s="676"/>
    </row>
    <row r="50" spans="2:13" ht="13.2" customHeight="1" x14ac:dyDescent="0.25">
      <c r="B50" s="676"/>
      <c r="C50" s="737"/>
      <c r="D50" s="737"/>
      <c r="E50" s="737"/>
      <c r="F50" s="737"/>
      <c r="G50" s="737"/>
      <c r="H50" s="676"/>
      <c r="J50" s="676"/>
      <c r="K50" s="676"/>
      <c r="L50" s="676"/>
      <c r="M50" s="676"/>
    </row>
    <row r="51" spans="2:13" ht="13.2" customHeight="1" x14ac:dyDescent="0.25"/>
    <row r="52" spans="2:13" ht="13.2" customHeight="1" x14ac:dyDescent="0.25"/>
    <row r="53" spans="2:13" ht="13.2" customHeight="1" x14ac:dyDescent="0.25"/>
    <row r="54" spans="2:13" ht="13.2" customHeight="1" x14ac:dyDescent="0.25"/>
  </sheetData>
  <mergeCells count="10">
    <mergeCell ref="J4:J9"/>
    <mergeCell ref="A4:A20"/>
    <mergeCell ref="J1:AA1"/>
    <mergeCell ref="C2:G2"/>
    <mergeCell ref="L2:AA2"/>
    <mergeCell ref="K2:K3"/>
    <mergeCell ref="J2:J3"/>
    <mergeCell ref="A1:G1"/>
    <mergeCell ref="B2:B3"/>
    <mergeCell ref="A2:A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B9E4-8E7A-41B8-B067-A47E2307C7E6}">
  <sheetPr codeName="Sheet22"/>
  <dimension ref="A1:H3"/>
  <sheetViews>
    <sheetView zoomScaleNormal="70" workbookViewId="0">
      <selection sqref="A1:H1"/>
    </sheetView>
  </sheetViews>
  <sheetFormatPr defaultColWidth="8.6640625" defaultRowHeight="13.2" x14ac:dyDescent="0.25"/>
  <cols>
    <col min="1" max="1" width="21" style="57" customWidth="1"/>
    <col min="2" max="2" width="14.33203125" style="57" customWidth="1"/>
    <col min="3" max="3" width="14.5546875" style="57" customWidth="1"/>
    <col min="4" max="8" width="8.6640625" style="57"/>
    <col min="9" max="9" width="13.6640625" style="57" customWidth="1"/>
    <col min="10" max="10" width="14.44140625" style="57" customWidth="1"/>
    <col min="11" max="16384" width="8.6640625" style="57"/>
  </cols>
  <sheetData>
    <row r="1" spans="1:8" ht="21.6" customHeight="1" x14ac:dyDescent="0.25">
      <c r="A1" s="810" t="str">
        <f>"EV Charger - "&amp;Prototype!A2</f>
        <v>EV Charger - RestaurantFastFood</v>
      </c>
      <c r="B1" s="810"/>
      <c r="C1" s="810"/>
      <c r="D1" s="810"/>
      <c r="E1" s="810"/>
      <c r="F1" s="810"/>
      <c r="G1" s="810"/>
      <c r="H1" s="810"/>
    </row>
    <row r="2" spans="1:8" x14ac:dyDescent="0.25">
      <c r="A2" s="57" t="s">
        <v>928</v>
      </c>
      <c r="B2" s="94"/>
      <c r="C2" s="95"/>
      <c r="D2" s="96"/>
      <c r="E2" s="96"/>
    </row>
    <row r="3" spans="1:8" x14ac:dyDescent="0.25">
      <c r="A3" s="85"/>
      <c r="B3" s="93"/>
      <c r="C3" s="185"/>
      <c r="D3" s="97"/>
      <c r="E3" s="97"/>
    </row>
  </sheetData>
  <mergeCells count="1">
    <mergeCell ref="A1:H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38C3-9269-4523-B14B-D8D22DE74C86}">
  <sheetPr codeName="Sheet14"/>
  <dimension ref="A1:J2"/>
  <sheetViews>
    <sheetView workbookViewId="0"/>
  </sheetViews>
  <sheetFormatPr defaultRowHeight="14.4" x14ac:dyDescent="0.3"/>
  <sheetData>
    <row r="1" spans="1:10" ht="22.95" customHeight="1" x14ac:dyDescent="0.3">
      <c r="A1" s="810" t="str">
        <f>"PV - "&amp;Prototype!A2</f>
        <v>PV - RestaurantFastFood</v>
      </c>
      <c r="B1" s="810"/>
      <c r="C1" s="810"/>
      <c r="D1" s="810"/>
      <c r="E1" s="810"/>
      <c r="F1" s="810"/>
      <c r="G1" s="810"/>
      <c r="H1" s="810"/>
      <c r="I1" s="810"/>
      <c r="J1" s="810"/>
    </row>
    <row r="2" spans="1:10" x14ac:dyDescent="0.3">
      <c r="A2" s="57" t="s">
        <v>928</v>
      </c>
      <c r="B2" s="55"/>
      <c r="C2" s="55"/>
      <c r="D2" s="55"/>
      <c r="E2" s="55"/>
      <c r="F2" s="55"/>
      <c r="G2" s="55"/>
      <c r="H2" s="55"/>
      <c r="I2" s="55"/>
      <c r="J2" s="55"/>
    </row>
  </sheetData>
  <mergeCells count="1">
    <mergeCell ref="A1:J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FE0EC-DCEA-4510-B314-E0190C0C87DF}">
  <sheetPr codeName="Sheet16"/>
  <dimension ref="A1:G83"/>
  <sheetViews>
    <sheetView topLeftCell="A67" workbookViewId="0">
      <selection activeCell="A81" sqref="A81:A83"/>
    </sheetView>
  </sheetViews>
  <sheetFormatPr defaultRowHeight="14.4" x14ac:dyDescent="0.3"/>
  <cols>
    <col min="1" max="1" width="58.6640625" customWidth="1"/>
    <col min="2" max="2" width="30.88671875" customWidth="1"/>
    <col min="3" max="3" width="30.33203125" customWidth="1"/>
  </cols>
  <sheetData>
    <row r="1" spans="1:7" x14ac:dyDescent="0.3">
      <c r="A1" t="s">
        <v>929</v>
      </c>
      <c r="B1" t="s">
        <v>930</v>
      </c>
      <c r="C1" t="s">
        <v>930</v>
      </c>
      <c r="D1" s="1061" t="s">
        <v>931</v>
      </c>
      <c r="E1" s="1061"/>
      <c r="F1" s="1061"/>
      <c r="G1" s="1061"/>
    </row>
    <row r="2" spans="1:7" x14ac:dyDescent="0.3">
      <c r="A2" s="745" t="s">
        <v>932</v>
      </c>
      <c r="D2">
        <v>2013</v>
      </c>
      <c r="E2">
        <v>2016</v>
      </c>
      <c r="F2">
        <v>2019</v>
      </c>
      <c r="G2">
        <v>2025</v>
      </c>
    </row>
    <row r="3" spans="1:7" x14ac:dyDescent="0.3">
      <c r="A3" s="745" t="s">
        <v>933</v>
      </c>
    </row>
    <row r="4" spans="1:7" x14ac:dyDescent="0.3">
      <c r="A4" t="s">
        <v>934</v>
      </c>
    </row>
    <row r="5" spans="1:7" x14ac:dyDescent="0.3">
      <c r="A5" t="s">
        <v>935</v>
      </c>
    </row>
    <row r="6" spans="1:7" x14ac:dyDescent="0.3">
      <c r="A6" t="s">
        <v>936</v>
      </c>
    </row>
    <row r="7" spans="1:7" x14ac:dyDescent="0.3">
      <c r="A7" t="s">
        <v>937</v>
      </c>
    </row>
    <row r="8" spans="1:7" x14ac:dyDescent="0.3">
      <c r="A8" t="s">
        <v>938</v>
      </c>
    </row>
    <row r="9" spans="1:7" x14ac:dyDescent="0.3">
      <c r="A9" t="s">
        <v>939</v>
      </c>
    </row>
    <row r="10" spans="1:7" x14ac:dyDescent="0.3">
      <c r="A10" t="s">
        <v>940</v>
      </c>
    </row>
    <row r="11" spans="1:7" x14ac:dyDescent="0.3">
      <c r="A11" t="s">
        <v>941</v>
      </c>
    </row>
    <row r="12" spans="1:7" x14ac:dyDescent="0.3">
      <c r="A12" t="s">
        <v>942</v>
      </c>
    </row>
    <row r="13" spans="1:7" x14ac:dyDescent="0.3">
      <c r="A13" t="s">
        <v>943</v>
      </c>
    </row>
    <row r="14" spans="1:7" x14ac:dyDescent="0.3">
      <c r="A14" t="s">
        <v>944</v>
      </c>
    </row>
    <row r="15" spans="1:7" x14ac:dyDescent="0.3">
      <c r="A15" t="s">
        <v>945</v>
      </c>
    </row>
    <row r="16" spans="1:7" x14ac:dyDescent="0.3">
      <c r="A16" t="s">
        <v>946</v>
      </c>
    </row>
    <row r="17" spans="1:1" x14ac:dyDescent="0.3">
      <c r="A17" t="s">
        <v>947</v>
      </c>
    </row>
    <row r="18" spans="1:1" x14ac:dyDescent="0.3">
      <c r="A18" t="s">
        <v>948</v>
      </c>
    </row>
    <row r="19" spans="1:1" x14ac:dyDescent="0.3">
      <c r="A19" t="s">
        <v>949</v>
      </c>
    </row>
    <row r="20" spans="1:1" x14ac:dyDescent="0.3">
      <c r="A20" t="s">
        <v>950</v>
      </c>
    </row>
    <row r="21" spans="1:1" x14ac:dyDescent="0.3">
      <c r="A21" t="s">
        <v>215</v>
      </c>
    </row>
    <row r="22" spans="1:1" x14ac:dyDescent="0.3">
      <c r="A22" t="s">
        <v>951</v>
      </c>
    </row>
    <row r="23" spans="1:1" x14ac:dyDescent="0.3">
      <c r="A23" t="s">
        <v>952</v>
      </c>
    </row>
    <row r="24" spans="1:1" x14ac:dyDescent="0.3">
      <c r="A24" t="s">
        <v>953</v>
      </c>
    </row>
    <row r="25" spans="1:1" x14ac:dyDescent="0.3">
      <c r="A25" t="s">
        <v>954</v>
      </c>
    </row>
    <row r="26" spans="1:1" x14ac:dyDescent="0.3">
      <c r="A26" t="s">
        <v>955</v>
      </c>
    </row>
    <row r="27" spans="1:1" x14ac:dyDescent="0.3">
      <c r="A27" t="s">
        <v>956</v>
      </c>
    </row>
    <row r="28" spans="1:1" x14ac:dyDescent="0.3">
      <c r="A28" t="s">
        <v>957</v>
      </c>
    </row>
    <row r="29" spans="1:1" x14ac:dyDescent="0.3">
      <c r="A29" t="s">
        <v>958</v>
      </c>
    </row>
    <row r="30" spans="1:1" x14ac:dyDescent="0.3">
      <c r="A30" t="s">
        <v>959</v>
      </c>
    </row>
    <row r="31" spans="1:1" x14ac:dyDescent="0.3">
      <c r="A31" t="s">
        <v>960</v>
      </c>
    </row>
    <row r="32" spans="1:1" x14ac:dyDescent="0.3">
      <c r="A32" t="s">
        <v>961</v>
      </c>
    </row>
    <row r="33" spans="1:1" x14ac:dyDescent="0.3">
      <c r="A33" t="s">
        <v>962</v>
      </c>
    </row>
    <row r="34" spans="1:1" x14ac:dyDescent="0.3">
      <c r="A34" t="s">
        <v>963</v>
      </c>
    </row>
    <row r="35" spans="1:1" x14ac:dyDescent="0.3">
      <c r="A35" t="s">
        <v>964</v>
      </c>
    </row>
    <row r="36" spans="1:1" x14ac:dyDescent="0.3">
      <c r="A36" t="s">
        <v>219</v>
      </c>
    </row>
    <row r="37" spans="1:1" x14ac:dyDescent="0.3">
      <c r="A37" t="s">
        <v>965</v>
      </c>
    </row>
    <row r="38" spans="1:1" x14ac:dyDescent="0.3">
      <c r="A38" t="s">
        <v>966</v>
      </c>
    </row>
    <row r="39" spans="1:1" x14ac:dyDescent="0.3">
      <c r="A39" t="s">
        <v>967</v>
      </c>
    </row>
    <row r="40" spans="1:1" x14ac:dyDescent="0.3">
      <c r="A40" t="s">
        <v>968</v>
      </c>
    </row>
    <row r="41" spans="1:1" x14ac:dyDescent="0.3">
      <c r="A41" t="s">
        <v>969</v>
      </c>
    </row>
    <row r="42" spans="1:1" x14ac:dyDescent="0.3">
      <c r="A42" t="s">
        <v>970</v>
      </c>
    </row>
    <row r="43" spans="1:1" x14ac:dyDescent="0.3">
      <c r="A43" t="s">
        <v>971</v>
      </c>
    </row>
    <row r="44" spans="1:1" x14ac:dyDescent="0.3">
      <c r="A44" t="s">
        <v>972</v>
      </c>
    </row>
    <row r="45" spans="1:1" x14ac:dyDescent="0.3">
      <c r="A45" t="s">
        <v>973</v>
      </c>
    </row>
    <row r="46" spans="1:1" x14ac:dyDescent="0.3">
      <c r="A46" t="s">
        <v>974</v>
      </c>
    </row>
    <row r="47" spans="1:1" x14ac:dyDescent="0.3">
      <c r="A47" t="s">
        <v>975</v>
      </c>
    </row>
    <row r="48" spans="1:1" x14ac:dyDescent="0.3">
      <c r="A48" t="s">
        <v>976</v>
      </c>
    </row>
    <row r="49" spans="1:1" x14ac:dyDescent="0.3">
      <c r="A49" t="s">
        <v>977</v>
      </c>
    </row>
    <row r="50" spans="1:1" x14ac:dyDescent="0.3">
      <c r="A50" t="s">
        <v>978</v>
      </c>
    </row>
    <row r="51" spans="1:1" x14ac:dyDescent="0.3">
      <c r="A51" t="s">
        <v>979</v>
      </c>
    </row>
    <row r="52" spans="1:1" x14ac:dyDescent="0.3">
      <c r="A52" t="s">
        <v>980</v>
      </c>
    </row>
    <row r="53" spans="1:1" x14ac:dyDescent="0.3">
      <c r="A53" t="s">
        <v>981</v>
      </c>
    </row>
    <row r="54" spans="1:1" x14ac:dyDescent="0.3">
      <c r="A54" t="s">
        <v>982</v>
      </c>
    </row>
    <row r="55" spans="1:1" x14ac:dyDescent="0.3">
      <c r="A55" t="s">
        <v>983</v>
      </c>
    </row>
    <row r="56" spans="1:1" x14ac:dyDescent="0.3">
      <c r="A56" t="s">
        <v>984</v>
      </c>
    </row>
    <row r="57" spans="1:1" x14ac:dyDescent="0.3">
      <c r="A57" t="s">
        <v>985</v>
      </c>
    </row>
    <row r="58" spans="1:1" x14ac:dyDescent="0.3">
      <c r="A58" t="s">
        <v>986</v>
      </c>
    </row>
    <row r="59" spans="1:1" x14ac:dyDescent="0.3">
      <c r="A59" t="s">
        <v>987</v>
      </c>
    </row>
    <row r="60" spans="1:1" x14ac:dyDescent="0.3">
      <c r="A60" t="s">
        <v>988</v>
      </c>
    </row>
    <row r="61" spans="1:1" x14ac:dyDescent="0.3">
      <c r="A61" t="s">
        <v>989</v>
      </c>
    </row>
    <row r="62" spans="1:1" x14ac:dyDescent="0.3">
      <c r="A62" t="s">
        <v>990</v>
      </c>
    </row>
    <row r="63" spans="1:1" x14ac:dyDescent="0.3">
      <c r="A63" t="s">
        <v>991</v>
      </c>
    </row>
    <row r="64" spans="1:1" x14ac:dyDescent="0.3">
      <c r="A64" t="s">
        <v>992</v>
      </c>
    </row>
    <row r="65" spans="1:1" x14ac:dyDescent="0.3">
      <c r="A65" t="s">
        <v>993</v>
      </c>
    </row>
    <row r="66" spans="1:1" x14ac:dyDescent="0.3">
      <c r="A66" t="s">
        <v>994</v>
      </c>
    </row>
    <row r="67" spans="1:1" x14ac:dyDescent="0.3">
      <c r="A67" t="s">
        <v>995</v>
      </c>
    </row>
    <row r="68" spans="1:1" x14ac:dyDescent="0.3">
      <c r="A68" t="s">
        <v>996</v>
      </c>
    </row>
    <row r="69" spans="1:1" x14ac:dyDescent="0.3">
      <c r="A69" t="s">
        <v>997</v>
      </c>
    </row>
    <row r="70" spans="1:1" x14ac:dyDescent="0.3">
      <c r="A70" t="s">
        <v>998</v>
      </c>
    </row>
    <row r="71" spans="1:1" x14ac:dyDescent="0.3">
      <c r="A71" t="s">
        <v>999</v>
      </c>
    </row>
    <row r="72" spans="1:1" x14ac:dyDescent="0.3">
      <c r="A72" t="s">
        <v>1000</v>
      </c>
    </row>
    <row r="73" spans="1:1" x14ac:dyDescent="0.3">
      <c r="A73" t="s">
        <v>1001</v>
      </c>
    </row>
    <row r="74" spans="1:1" x14ac:dyDescent="0.3">
      <c r="A74" t="s">
        <v>1002</v>
      </c>
    </row>
    <row r="75" spans="1:1" x14ac:dyDescent="0.3">
      <c r="A75" t="s">
        <v>1003</v>
      </c>
    </row>
    <row r="76" spans="1:1" x14ac:dyDescent="0.3">
      <c r="A76" t="s">
        <v>1004</v>
      </c>
    </row>
    <row r="77" spans="1:1" x14ac:dyDescent="0.3">
      <c r="A77" t="s">
        <v>221</v>
      </c>
    </row>
    <row r="78" spans="1:1" x14ac:dyDescent="0.3">
      <c r="A78" t="s">
        <v>1005</v>
      </c>
    </row>
    <row r="79" spans="1:1" x14ac:dyDescent="0.3">
      <c r="A79" t="s">
        <v>1006</v>
      </c>
    </row>
    <row r="80" spans="1:1" x14ac:dyDescent="0.3">
      <c r="A80" t="s">
        <v>1007</v>
      </c>
    </row>
    <row r="81" spans="1:1" x14ac:dyDescent="0.3">
      <c r="A81" t="s">
        <v>1008</v>
      </c>
    </row>
    <row r="82" spans="1:1" x14ac:dyDescent="0.3">
      <c r="A82" t="s">
        <v>1009</v>
      </c>
    </row>
    <row r="83" spans="1:1" x14ac:dyDescent="0.3">
      <c r="A83" t="s">
        <v>1010</v>
      </c>
    </row>
  </sheetData>
  <mergeCells count="1">
    <mergeCell ref="D1:G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D1D6A7EB2452B4A86A9506D4E13D4C9" ma:contentTypeVersion="3" ma:contentTypeDescription="Create a new document." ma:contentTypeScope="" ma:versionID="7cd6ed0cd056f112062446d0d1c544ce">
  <xsd:schema xmlns:xsd="http://www.w3.org/2001/XMLSchema" xmlns:xs="http://www.w3.org/2001/XMLSchema" xmlns:p="http://schemas.microsoft.com/office/2006/metadata/properties" xmlns:ns2="41613948-0554-4f13-babe-277410c056ca" targetNamespace="http://schemas.microsoft.com/office/2006/metadata/properties" ma:root="true" ma:fieldsID="60ca449bf2be89171a15d05d28af00ea" ns2:_="">
    <xsd:import namespace="41613948-0554-4f13-babe-277410c056c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613948-0554-4f13-babe-277410c056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0816333-575B-4274-8A3E-18699B071E90}">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7921AF10-0BF8-441A-BDBA-64AF3E09D45F}">
  <ds:schemaRefs>
    <ds:schemaRef ds:uri="http://schemas.microsoft.com/sharepoint/v3/contenttype/forms"/>
  </ds:schemaRefs>
</ds:datastoreItem>
</file>

<file path=customXml/itemProps3.xml><?xml version="1.0" encoding="utf-8"?>
<ds:datastoreItem xmlns:ds="http://schemas.openxmlformats.org/officeDocument/2006/customXml" ds:itemID="{EE27F334-6782-42F2-89FC-D52D6BF6579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613948-0554-4f13-babe-277410c056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Notes</vt:lpstr>
      <vt:lpstr>Prototype</vt:lpstr>
      <vt:lpstr>Zones</vt:lpstr>
      <vt:lpstr>Envelope</vt:lpstr>
      <vt:lpstr>HVAC System</vt:lpstr>
      <vt:lpstr>Thermostat</vt:lpstr>
      <vt:lpstr>Ventilation</vt:lpstr>
      <vt:lpstr>Water Heater</vt:lpstr>
      <vt:lpstr>Interior Lights</vt:lpstr>
      <vt:lpstr>Ext Lighting</vt:lpstr>
      <vt:lpstr>Equipment</vt:lpstr>
      <vt:lpstr>Energy Usage</vt:lpstr>
      <vt:lpstr>Schedules</vt:lpstr>
      <vt:lpstr>Weights</vt:lpstr>
      <vt:lpstr>EV Charger</vt:lpstr>
      <vt:lpstr>PV</vt:lpstr>
      <vt:lpstr>Data</vt:lpstr>
      <vt:lpstr>Space_Function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Yousefi, Fatemeh</dc:creator>
  <cp:keywords/>
  <dc:description/>
  <cp:lastModifiedBy>Yousefi, Fatemeh (Noresco EE)</cp:lastModifiedBy>
  <cp:revision/>
  <dcterms:created xsi:type="dcterms:W3CDTF">2024-06-21T17:19:36Z</dcterms:created>
  <dcterms:modified xsi:type="dcterms:W3CDTF">2026-10-27T20:34:13Z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2024-06-21T17:19:48Z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0e6e9a60-d2ab-4ce7-9a0a-ef72169e4f66</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2024-11-12T07:01:00Z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9aa52be7-e90f-4db3-9dfa-3134fb3d14a1</vt:lpwstr>
  </property>
  <property fmtid="{D5CDD505-2E9C-101B-9397-08002B2CF9AE}" pid="15" name="MSIP_Label_aa7be39c-9e9f-446a-a199-286f73f56a3f_ContentBits">
    <vt:lpwstr>0</vt:lpwstr>
  </property>
  <property fmtid="{D5CDD505-2E9C-101B-9397-08002B2CF9AE}" pid="16" name="ContentTypeId">
    <vt:lpwstr>0x0101003D1D6A7EB2452B4A86A9506D4E13D4C9</vt:lpwstr>
  </property>
  <property fmtid="{D5CDD505-2E9C-101B-9397-08002B2CF9AE}" pid="17" name="MediaServiceImageTags">
    <vt:lpwstr/>
  </property>
  <property fmtid="{D5CDD505-2E9C-101B-9397-08002B2CF9AE}" pid="18" name="xd_ProgID">
    <vt:lpwstr/>
  </property>
  <property fmtid="{D5CDD505-2E9C-101B-9397-08002B2CF9AE}" pid="19" name="ComplianceAssetId">
    <vt:lpwstr/>
  </property>
  <property fmtid="{D5CDD505-2E9C-101B-9397-08002B2CF9AE}" pid="20" name="TemplateUrl">
    <vt:lpwstr/>
  </property>
  <property fmtid="{D5CDD505-2E9C-101B-9397-08002B2CF9AE}" pid="21" name="_ExtendedDescription">
    <vt:lpwstr/>
  </property>
  <property fmtid="{D5CDD505-2E9C-101B-9397-08002B2CF9AE}" pid="22" name="TriggerFlowInfo">
    <vt:lpwstr/>
  </property>
  <property fmtid="{D5CDD505-2E9C-101B-9397-08002B2CF9AE}" pid="23" name="xd_Signature">
    <vt:bool>false</vt:bool>
  </property>
</Properties>
</file>