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8.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Scorecards cleanup- dictation and Spelling\V2.0-10272026\"/>
    </mc:Choice>
  </mc:AlternateContent>
  <xr:revisionPtr revIDLastSave="0" documentId="13_ncr:1_{792495CD-DA7C-4464-9C13-F535B5BC075F}" xr6:coauthVersionLast="47" xr6:coauthVersionMax="47" xr10:uidLastSave="{00000000-0000-0000-0000-000000000000}"/>
  <bookViews>
    <workbookView xWindow="-108" yWindow="-108" windowWidth="23256" windowHeight="13896" tabRatio="873" firstSheet="4" activeTab="7" xr2:uid="{EAC23EE3-0CA0-4FF8-990D-9B21A59FA3E0}"/>
  </bookViews>
  <sheets>
    <sheet name="Notes" sheetId="23" r:id="rId1"/>
    <sheet name="Prototype" sheetId="2" r:id="rId2"/>
    <sheet name="Zones" sheetId="13" r:id="rId3"/>
    <sheet name="Envelope" sheetId="1" r:id="rId4"/>
    <sheet name="HVAC System" sheetId="14" r:id="rId5"/>
    <sheet name="Thermostat" sheetId="30" r:id="rId6"/>
    <sheet name="Ventilation" sheetId="18" r:id="rId7"/>
    <sheet name="Interior Lights" sheetId="25" r:id="rId8"/>
    <sheet name="Water Heater" sheetId="32" r:id="rId9"/>
    <sheet name="Equipment" sheetId="29" r:id="rId10"/>
    <sheet name="Ext Lighting" sheetId="9" r:id="rId11"/>
    <sheet name="Schedules" sheetId="28" r:id="rId12"/>
    <sheet name="Energy Usage" sheetId="20" r:id="rId13"/>
    <sheet name="Weights" sheetId="21" r:id="rId14"/>
    <sheet name="PV" sheetId="27" state="hidden" r:id="rId15"/>
    <sheet name="EV Charger" sheetId="22" state="hidden" r:id="rId16"/>
    <sheet name="Data" sheetId="31" state="hidden" r:id="rId17"/>
  </sheets>
  <definedNames>
    <definedName name="_xlnm._FilterDatabase" localSheetId="16" hidden="1">Data!$D$1:$G$1</definedName>
    <definedName name="nonparticipating_forecastzone_scale_factor" localSheetId="16">#REF!</definedName>
    <definedName name="nonparticipating_forecastzone_scale_factor" localSheetId="8">#REF!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K3" i="1"/>
  <c r="L3" i="1"/>
  <c r="M3" i="1"/>
  <c r="N3" i="1"/>
  <c r="O3" i="1"/>
  <c r="P3" i="1"/>
  <c r="Q3" i="1"/>
  <c r="R3" i="1"/>
  <c r="S3" i="1"/>
  <c r="T3" i="1"/>
  <c r="U3" i="1"/>
  <c r="V3" i="1"/>
  <c r="W3" i="1"/>
  <c r="X3" i="1"/>
  <c r="I3" i="1"/>
  <c r="H5" i="21"/>
  <c r="H6" i="21"/>
  <c r="H7" i="21"/>
  <c r="H8" i="21"/>
  <c r="H9" i="21"/>
  <c r="H10" i="21"/>
  <c r="H11" i="21"/>
  <c r="H12" i="21"/>
  <c r="H13" i="21"/>
  <c r="H14" i="21"/>
  <c r="H15" i="21"/>
  <c r="H16" i="21"/>
  <c r="H17" i="21"/>
  <c r="H18" i="21"/>
  <c r="H19" i="21"/>
  <c r="H20" i="21"/>
  <c r="H4" i="21"/>
  <c r="G4" i="32"/>
  <c r="F4" i="32"/>
  <c r="E4" i="32"/>
  <c r="C27" i="23"/>
  <c r="C26" i="23"/>
  <c r="C25" i="23"/>
  <c r="C24" i="23"/>
  <c r="C23" i="23"/>
  <c r="C22" i="23"/>
  <c r="C10" i="32"/>
  <c r="A10" i="32"/>
  <c r="C9" i="32"/>
  <c r="A9" i="32"/>
  <c r="A1" i="32"/>
  <c r="I42" i="32"/>
  <c r="G10" i="32"/>
  <c r="E9" i="32"/>
  <c r="I15" i="1" l="1"/>
  <c r="K21" i="1"/>
  <c r="J21" i="1"/>
  <c r="L21" i="1"/>
  <c r="M21" i="1"/>
  <c r="N21" i="1"/>
  <c r="O21" i="1"/>
  <c r="P21" i="1"/>
  <c r="Q21" i="1"/>
  <c r="R21" i="1"/>
  <c r="S21" i="1"/>
  <c r="T21" i="1"/>
  <c r="U21" i="1"/>
  <c r="V21" i="1"/>
  <c r="W21" i="1"/>
  <c r="X21" i="1"/>
  <c r="I21" i="1"/>
  <c r="J15" i="1"/>
  <c r="K15" i="1"/>
  <c r="L15" i="1"/>
  <c r="M15" i="1"/>
  <c r="N15" i="1"/>
  <c r="O15" i="1"/>
  <c r="P15" i="1"/>
  <c r="Q15" i="1"/>
  <c r="R15" i="1"/>
  <c r="S15" i="1"/>
  <c r="T15" i="1"/>
  <c r="U15" i="1"/>
  <c r="V15" i="1"/>
  <c r="W15" i="1"/>
  <c r="X15" i="1"/>
  <c r="I16" i="1"/>
  <c r="A4" i="25"/>
  <c r="AF59" i="28"/>
  <c r="J1" i="21"/>
  <c r="A1" i="21"/>
  <c r="G28" i="28"/>
  <c r="H28" i="28"/>
  <c r="I28" i="28"/>
  <c r="J28" i="28"/>
  <c r="K28" i="28"/>
  <c r="L28" i="28"/>
  <c r="M28" i="28"/>
  <c r="N28" i="28"/>
  <c r="O28" i="28"/>
  <c r="P28" i="28"/>
  <c r="Q28" i="28"/>
  <c r="R28" i="28"/>
  <c r="S28" i="28"/>
  <c r="T28" i="28"/>
  <c r="U28" i="28"/>
  <c r="V28" i="28"/>
  <c r="W28" i="28"/>
  <c r="X28" i="28"/>
  <c r="Y28" i="28"/>
  <c r="Z28" i="28"/>
  <c r="AA28" i="28"/>
  <c r="AB28" i="28"/>
  <c r="AC28" i="28"/>
  <c r="G29" i="28"/>
  <c r="H29" i="28"/>
  <c r="I29" i="28"/>
  <c r="J29" i="28"/>
  <c r="K29" i="28"/>
  <c r="L29" i="28"/>
  <c r="M29" i="28"/>
  <c r="N29" i="28"/>
  <c r="O29" i="28"/>
  <c r="P29" i="28"/>
  <c r="Q29" i="28"/>
  <c r="R29" i="28"/>
  <c r="S29" i="28"/>
  <c r="T29" i="28"/>
  <c r="U29" i="28"/>
  <c r="V29" i="28"/>
  <c r="W29" i="28"/>
  <c r="X29" i="28"/>
  <c r="Y29" i="28"/>
  <c r="Z29" i="28"/>
  <c r="AA29" i="28"/>
  <c r="AB29" i="28"/>
  <c r="AC29" i="28"/>
  <c r="G30" i="28"/>
  <c r="H30" i="28"/>
  <c r="I30" i="28"/>
  <c r="J30" i="28"/>
  <c r="K30" i="28"/>
  <c r="L30" i="28"/>
  <c r="M30" i="28"/>
  <c r="N30" i="28"/>
  <c r="O30" i="28"/>
  <c r="P30" i="28"/>
  <c r="Q30" i="28"/>
  <c r="R30" i="28"/>
  <c r="S30" i="28"/>
  <c r="T30" i="28"/>
  <c r="U30" i="28"/>
  <c r="V30" i="28"/>
  <c r="W30" i="28"/>
  <c r="X30" i="28"/>
  <c r="Y30" i="28"/>
  <c r="Z30" i="28"/>
  <c r="AA30" i="28"/>
  <c r="AB30" i="28"/>
  <c r="AC30" i="28"/>
  <c r="F29" i="28"/>
  <c r="F30" i="28"/>
  <c r="F28" i="28"/>
  <c r="G25" i="28"/>
  <c r="H25" i="28"/>
  <c r="I25" i="28"/>
  <c r="J25" i="28"/>
  <c r="K25" i="28"/>
  <c r="L25" i="28"/>
  <c r="M25" i="28"/>
  <c r="N25" i="28"/>
  <c r="O25" i="28"/>
  <c r="P25" i="28"/>
  <c r="Q25" i="28"/>
  <c r="R25" i="28"/>
  <c r="S25" i="28"/>
  <c r="T25" i="28"/>
  <c r="U25" i="28"/>
  <c r="V25" i="28"/>
  <c r="W25" i="28"/>
  <c r="X25" i="28"/>
  <c r="Y25" i="28"/>
  <c r="Z25" i="28"/>
  <c r="AA25" i="28"/>
  <c r="AB25" i="28"/>
  <c r="AC25" i="28"/>
  <c r="G26" i="28"/>
  <c r="H26" i="28"/>
  <c r="I26" i="28"/>
  <c r="J26" i="28"/>
  <c r="K26" i="28"/>
  <c r="L26" i="28"/>
  <c r="M26" i="28"/>
  <c r="N26" i="28"/>
  <c r="O26" i="28"/>
  <c r="P26" i="28"/>
  <c r="Q26" i="28"/>
  <c r="R26" i="28"/>
  <c r="S26" i="28"/>
  <c r="T26" i="28"/>
  <c r="U26" i="28"/>
  <c r="V26" i="28"/>
  <c r="W26" i="28"/>
  <c r="X26" i="28"/>
  <c r="Y26" i="28"/>
  <c r="Z26" i="28"/>
  <c r="AA26" i="28"/>
  <c r="AB26" i="28"/>
  <c r="AC26" i="28"/>
  <c r="G27" i="28"/>
  <c r="H27" i="28"/>
  <c r="I27" i="28"/>
  <c r="J27" i="28"/>
  <c r="K27" i="28"/>
  <c r="L27" i="28"/>
  <c r="M27" i="28"/>
  <c r="N27" i="28"/>
  <c r="O27" i="28"/>
  <c r="P27" i="28"/>
  <c r="Q27" i="28"/>
  <c r="R27" i="28"/>
  <c r="S27" i="28"/>
  <c r="T27" i="28"/>
  <c r="U27" i="28"/>
  <c r="V27" i="28"/>
  <c r="W27" i="28"/>
  <c r="X27" i="28"/>
  <c r="Y27" i="28"/>
  <c r="Z27" i="28"/>
  <c r="AA27" i="28"/>
  <c r="AB27" i="28"/>
  <c r="AC27" i="28"/>
  <c r="F26" i="28"/>
  <c r="F27" i="28"/>
  <c r="F25" i="28"/>
  <c r="G65" i="28"/>
  <c r="H65" i="28"/>
  <c r="I65" i="28"/>
  <c r="J65" i="28"/>
  <c r="K65" i="28"/>
  <c r="L65" i="28"/>
  <c r="M65" i="28"/>
  <c r="N65" i="28"/>
  <c r="O65" i="28"/>
  <c r="P65" i="28"/>
  <c r="Q65" i="28"/>
  <c r="R65" i="28"/>
  <c r="S65" i="28"/>
  <c r="T65" i="28"/>
  <c r="U65" i="28"/>
  <c r="V65" i="28"/>
  <c r="W65" i="28"/>
  <c r="X65" i="28"/>
  <c r="Y65" i="28"/>
  <c r="Z65" i="28"/>
  <c r="AA65" i="28"/>
  <c r="AB65" i="28"/>
  <c r="AC65" i="28"/>
  <c r="G66" i="28"/>
  <c r="H66" i="28"/>
  <c r="I66" i="28"/>
  <c r="J66" i="28"/>
  <c r="K66" i="28"/>
  <c r="L66" i="28"/>
  <c r="M66" i="28"/>
  <c r="N66" i="28"/>
  <c r="O66" i="28"/>
  <c r="P66" i="28"/>
  <c r="Q66" i="28"/>
  <c r="R66" i="28"/>
  <c r="S66" i="28"/>
  <c r="T66" i="28"/>
  <c r="U66" i="28"/>
  <c r="V66" i="28"/>
  <c r="W66" i="28"/>
  <c r="X66" i="28"/>
  <c r="Y66" i="28"/>
  <c r="Z66" i="28"/>
  <c r="AA66" i="28"/>
  <c r="AB66" i="28"/>
  <c r="AC66" i="28"/>
  <c r="G67" i="28"/>
  <c r="H67" i="28"/>
  <c r="I67" i="28"/>
  <c r="J67" i="28"/>
  <c r="K67" i="28"/>
  <c r="L67" i="28"/>
  <c r="M67" i="28"/>
  <c r="N67" i="28"/>
  <c r="O67" i="28"/>
  <c r="P67" i="28"/>
  <c r="Q67" i="28"/>
  <c r="R67" i="28"/>
  <c r="S67" i="28"/>
  <c r="T67" i="28"/>
  <c r="U67" i="28"/>
  <c r="V67" i="28"/>
  <c r="W67" i="28"/>
  <c r="X67" i="28"/>
  <c r="Y67" i="28"/>
  <c r="Z67" i="28"/>
  <c r="AA67" i="28"/>
  <c r="AB67" i="28"/>
  <c r="AC67" i="28"/>
  <c r="F66" i="28"/>
  <c r="F67" i="28"/>
  <c r="F65" i="28"/>
  <c r="G62" i="28"/>
  <c r="H62" i="28"/>
  <c r="I62" i="28"/>
  <c r="J62" i="28"/>
  <c r="K62" i="28"/>
  <c r="L62" i="28"/>
  <c r="M62" i="28"/>
  <c r="N62" i="28"/>
  <c r="O62" i="28"/>
  <c r="P62" i="28"/>
  <c r="Q62" i="28"/>
  <c r="R62" i="28"/>
  <c r="S62" i="28"/>
  <c r="T62" i="28"/>
  <c r="U62" i="28"/>
  <c r="V62" i="28"/>
  <c r="W62" i="28"/>
  <c r="X62" i="28"/>
  <c r="Y62" i="28"/>
  <c r="Z62" i="28"/>
  <c r="AA62" i="28"/>
  <c r="AB62" i="28"/>
  <c r="AC62" i="28"/>
  <c r="G63" i="28"/>
  <c r="H63" i="28"/>
  <c r="I63" i="28"/>
  <c r="J63" i="28"/>
  <c r="K63" i="28"/>
  <c r="L63" i="28"/>
  <c r="M63" i="28"/>
  <c r="N63" i="28"/>
  <c r="O63" i="28"/>
  <c r="P63" i="28"/>
  <c r="Q63" i="28"/>
  <c r="R63" i="28"/>
  <c r="S63" i="28"/>
  <c r="T63" i="28"/>
  <c r="U63" i="28"/>
  <c r="V63" i="28"/>
  <c r="W63" i="28"/>
  <c r="X63" i="28"/>
  <c r="Y63" i="28"/>
  <c r="Z63" i="28"/>
  <c r="AA63" i="28"/>
  <c r="AB63" i="28"/>
  <c r="AC63" i="28"/>
  <c r="G64" i="28"/>
  <c r="H64" i="28"/>
  <c r="I64" i="28"/>
  <c r="J64" i="28"/>
  <c r="K64" i="28"/>
  <c r="L64" i="28"/>
  <c r="M64" i="28"/>
  <c r="N64" i="28"/>
  <c r="O64" i="28"/>
  <c r="P64" i="28"/>
  <c r="Q64" i="28"/>
  <c r="R64" i="28"/>
  <c r="S64" i="28"/>
  <c r="T64" i="28"/>
  <c r="U64" i="28"/>
  <c r="V64" i="28"/>
  <c r="W64" i="28"/>
  <c r="X64" i="28"/>
  <c r="Y64" i="28"/>
  <c r="Z64" i="28"/>
  <c r="AA64" i="28"/>
  <c r="AB64" i="28"/>
  <c r="AC64" i="28"/>
  <c r="F63" i="28"/>
  <c r="F64" i="28"/>
  <c r="F62" i="28"/>
  <c r="E4" i="29"/>
  <c r="AM38" i="28"/>
  <c r="AG59" i="28" l="1"/>
  <c r="G9" i="29" s="1"/>
  <c r="AG60" i="28" l="1"/>
  <c r="A1" i="20" l="1"/>
  <c r="U6" i="20"/>
  <c r="S18" i="20"/>
  <c r="U18" i="20" s="1"/>
  <c r="S17" i="20"/>
  <c r="T17" i="20" s="1"/>
  <c r="S16" i="20"/>
  <c r="T16" i="20" s="1"/>
  <c r="S15" i="20"/>
  <c r="U15" i="20" s="1"/>
  <c r="S14" i="20"/>
  <c r="T14" i="20" s="1"/>
  <c r="S13" i="20"/>
  <c r="T13" i="20" s="1"/>
  <c r="S12" i="20"/>
  <c r="U12" i="20" s="1"/>
  <c r="S11" i="20"/>
  <c r="U11" i="20" s="1"/>
  <c r="S10" i="20"/>
  <c r="U10" i="20" s="1"/>
  <c r="S9" i="20"/>
  <c r="U9" i="20" s="1"/>
  <c r="S8" i="20"/>
  <c r="U8" i="20" s="1"/>
  <c r="S7" i="20"/>
  <c r="U7" i="20" s="1"/>
  <c r="S6" i="20"/>
  <c r="T6" i="20" s="1"/>
  <c r="S5" i="20"/>
  <c r="U5" i="20" s="1"/>
  <c r="S4" i="20"/>
  <c r="U4" i="20" s="1"/>
  <c r="S3" i="20"/>
  <c r="U3" i="20" s="1"/>
  <c r="U13" i="20" l="1"/>
  <c r="V13" i="20" s="1"/>
  <c r="T8" i="20"/>
  <c r="V8" i="20" s="1"/>
  <c r="T3" i="20"/>
  <c r="V3" i="20" s="1"/>
  <c r="U14" i="20"/>
  <c r="V14" i="20" s="1"/>
  <c r="T4" i="20"/>
  <c r="V4" i="20" s="1"/>
  <c r="T9" i="20"/>
  <c r="V9" i="20" s="1"/>
  <c r="T15" i="20"/>
  <c r="V15" i="20" s="1"/>
  <c r="U16" i="20"/>
  <c r="V16" i="20" s="1"/>
  <c r="V6" i="20"/>
  <c r="U17" i="20"/>
  <c r="V17" i="20" s="1"/>
  <c r="T12" i="20"/>
  <c r="V12" i="20" s="1"/>
  <c r="T7" i="20"/>
  <c r="V7" i="20" s="1"/>
  <c r="T18" i="20"/>
  <c r="V18" i="20" s="1"/>
  <c r="T5" i="20"/>
  <c r="V5" i="20" s="1"/>
  <c r="T10" i="20"/>
  <c r="V10" i="20" s="1"/>
  <c r="T11" i="20"/>
  <c r="V11" i="20" s="1"/>
  <c r="K18" i="20" l="1"/>
  <c r="J18" i="20"/>
  <c r="K17" i="20"/>
  <c r="J17" i="20"/>
  <c r="K16" i="20"/>
  <c r="J16" i="20"/>
  <c r="K15" i="20"/>
  <c r="J15" i="20"/>
  <c r="K14" i="20"/>
  <c r="J14" i="20"/>
  <c r="K13" i="20"/>
  <c r="J13" i="20"/>
  <c r="L13" i="20" s="1"/>
  <c r="K12" i="20"/>
  <c r="J12" i="20"/>
  <c r="L12" i="20" s="1"/>
  <c r="K11" i="20"/>
  <c r="J11" i="20"/>
  <c r="K10" i="20"/>
  <c r="J10" i="20"/>
  <c r="K9" i="20"/>
  <c r="J9" i="20"/>
  <c r="L9" i="20" s="1"/>
  <c r="K8" i="20"/>
  <c r="J8" i="20"/>
  <c r="L8" i="20" s="1"/>
  <c r="K7" i="20"/>
  <c r="J7" i="20"/>
  <c r="L7" i="20" s="1"/>
  <c r="K6" i="20"/>
  <c r="J6" i="20"/>
  <c r="L6" i="20" s="1"/>
  <c r="K5" i="20"/>
  <c r="J5" i="20"/>
  <c r="L5" i="20" s="1"/>
  <c r="K4" i="20"/>
  <c r="J4" i="20"/>
  <c r="K3" i="20"/>
  <c r="J3" i="20"/>
  <c r="L3" i="20" s="1"/>
  <c r="B65" i="28"/>
  <c r="A65" i="28"/>
  <c r="B62" i="28"/>
  <c r="A62" i="28"/>
  <c r="AB37" i="28"/>
  <c r="AA37" i="28"/>
  <c r="Z37" i="28"/>
  <c r="Y37" i="28"/>
  <c r="X37" i="28"/>
  <c r="W37" i="28"/>
  <c r="V37" i="28"/>
  <c r="U37" i="28"/>
  <c r="T37" i="28"/>
  <c r="S37" i="28"/>
  <c r="R37" i="28"/>
  <c r="Q37" i="28"/>
  <c r="P37" i="28"/>
  <c r="O37" i="28"/>
  <c r="N37" i="28"/>
  <c r="M37" i="28"/>
  <c r="AB36" i="28"/>
  <c r="AA36" i="28"/>
  <c r="Z36" i="28"/>
  <c r="Y36" i="28"/>
  <c r="X36" i="28"/>
  <c r="W36" i="28"/>
  <c r="V36" i="28"/>
  <c r="U36" i="28"/>
  <c r="T36" i="28"/>
  <c r="S36" i="28"/>
  <c r="R36" i="28"/>
  <c r="Q36" i="28"/>
  <c r="P36" i="28"/>
  <c r="O36" i="28"/>
  <c r="N36" i="28"/>
  <c r="M36" i="28"/>
  <c r="K36" i="28"/>
  <c r="F36" i="28"/>
  <c r="AB35" i="28"/>
  <c r="AA35" i="28"/>
  <c r="Z35" i="28"/>
  <c r="Y35" i="28"/>
  <c r="X35" i="28"/>
  <c r="W35" i="28"/>
  <c r="V35" i="28"/>
  <c r="U35" i="28"/>
  <c r="T35" i="28"/>
  <c r="S35" i="28"/>
  <c r="R35" i="28"/>
  <c r="Q35" i="28"/>
  <c r="P35" i="28"/>
  <c r="O35" i="28"/>
  <c r="N35" i="28"/>
  <c r="M35" i="28"/>
  <c r="B28" i="28"/>
  <c r="A28" i="28"/>
  <c r="B25" i="28"/>
  <c r="A25" i="28"/>
  <c r="A19" i="28"/>
  <c r="A13" i="28"/>
  <c r="A10" i="28"/>
  <c r="AB9" i="28"/>
  <c r="AA9" i="28"/>
  <c r="Z9" i="28"/>
  <c r="Y9" i="28"/>
  <c r="X9" i="28"/>
  <c r="W9" i="28"/>
  <c r="V9" i="28"/>
  <c r="U9" i="28"/>
  <c r="T9" i="28"/>
  <c r="S9" i="28"/>
  <c r="R9" i="28"/>
  <c r="Q9" i="28"/>
  <c r="P9" i="28"/>
  <c r="O9" i="28"/>
  <c r="N9" i="28"/>
  <c r="M9" i="28"/>
  <c r="AB8" i="28"/>
  <c r="AA8" i="28"/>
  <c r="Z8" i="28"/>
  <c r="Y8" i="28"/>
  <c r="X8" i="28"/>
  <c r="W8" i="28"/>
  <c r="V8" i="28"/>
  <c r="U8" i="28"/>
  <c r="T8" i="28"/>
  <c r="S8" i="28"/>
  <c r="R8" i="28"/>
  <c r="Q8" i="28"/>
  <c r="P8" i="28"/>
  <c r="O8" i="28"/>
  <c r="N8" i="28"/>
  <c r="M8" i="28"/>
  <c r="K8" i="28"/>
  <c r="F8" i="28"/>
  <c r="AB7" i="28"/>
  <c r="AA7" i="28"/>
  <c r="Z7" i="28"/>
  <c r="Y7" i="28"/>
  <c r="X7" i="28"/>
  <c r="W7" i="28"/>
  <c r="V7" i="28"/>
  <c r="U7" i="28"/>
  <c r="T7" i="28"/>
  <c r="S7" i="28"/>
  <c r="R7" i="28"/>
  <c r="Q7" i="28"/>
  <c r="P7" i="28"/>
  <c r="O7" i="28"/>
  <c r="N7" i="28"/>
  <c r="M7" i="28"/>
  <c r="A7" i="28"/>
  <c r="A16" i="28" s="1"/>
  <c r="L15" i="20" l="1"/>
  <c r="L4" i="20"/>
  <c r="L14" i="20"/>
  <c r="L17" i="20"/>
  <c r="L18" i="20"/>
  <c r="L11" i="20"/>
  <c r="L10" i="20"/>
  <c r="L16" i="20"/>
  <c r="A5" i="18"/>
  <c r="A5" i="29"/>
  <c r="A6" i="25"/>
  <c r="A4" i="29" l="1"/>
  <c r="A3" i="29"/>
  <c r="A5" i="25"/>
  <c r="D66" i="2"/>
  <c r="C66" i="2"/>
  <c r="I3" i="18"/>
  <c r="H6" i="13" l="1"/>
  <c r="H5" i="13" s="1"/>
  <c r="K4" i="13"/>
  <c r="D10" i="32" s="1"/>
  <c r="K3" i="13"/>
  <c r="D9" i="32" s="1"/>
  <c r="F9" i="32" s="1"/>
  <c r="F11" i="32" s="1" a="1"/>
  <c r="F11" i="32" s="1"/>
  <c r="G9" i="32" l="1"/>
  <c r="F12" i="32"/>
  <c r="G4" i="13"/>
  <c r="F23" i="32" l="1"/>
  <c r="F24" i="32"/>
  <c r="F25" i="32"/>
  <c r="F26" i="32"/>
  <c r="F27" i="32"/>
  <c r="F28" i="32"/>
  <c r="F29" i="32"/>
  <c r="F30" i="32"/>
  <c r="F31" i="32"/>
  <c r="F32" i="32"/>
  <c r="F33" i="32"/>
  <c r="F34" i="32"/>
  <c r="F35" i="32"/>
  <c r="F36" i="32"/>
  <c r="F37" i="32"/>
  <c r="C23" i="32"/>
  <c r="C24" i="32"/>
  <c r="C25" i="32"/>
  <c r="D25" i="32" s="1"/>
  <c r="E25" i="32" s="1"/>
  <c r="G25" i="32" s="1"/>
  <c r="I25" i="32" s="1"/>
  <c r="C26" i="32"/>
  <c r="D26" i="32" s="1"/>
  <c r="E26" i="32" s="1"/>
  <c r="G26" i="32" s="1"/>
  <c r="I26" i="32" s="1"/>
  <c r="C27" i="32"/>
  <c r="D27" i="32" s="1"/>
  <c r="E27" i="32" s="1"/>
  <c r="G27" i="32" s="1"/>
  <c r="I27" i="32" s="1"/>
  <c r="C28" i="32"/>
  <c r="D28" i="32" s="1"/>
  <c r="E28" i="32" s="1"/>
  <c r="G28" i="32" s="1"/>
  <c r="I28" i="32" s="1"/>
  <c r="C29" i="32"/>
  <c r="D29" i="32" s="1"/>
  <c r="E29" i="32" s="1"/>
  <c r="G29" i="32" s="1"/>
  <c r="I29" i="32" s="1"/>
  <c r="C30" i="32"/>
  <c r="D30" i="32" s="1"/>
  <c r="E30" i="32" s="1"/>
  <c r="G30" i="32" s="1"/>
  <c r="I30" i="32" s="1"/>
  <c r="C31" i="32"/>
  <c r="C32" i="32"/>
  <c r="C33" i="32"/>
  <c r="C34" i="32"/>
  <c r="C35" i="32"/>
  <c r="C36" i="32"/>
  <c r="C37" i="32"/>
  <c r="F22" i="32"/>
  <c r="C22" i="32"/>
  <c r="D22" i="32" s="1"/>
  <c r="E22" i="32" s="1"/>
  <c r="G22" i="32" s="1"/>
  <c r="I22" i="32" s="1"/>
  <c r="D36" i="32"/>
  <c r="E36" i="32" s="1"/>
  <c r="D32" i="32"/>
  <c r="E32" i="32" s="1"/>
  <c r="G32" i="32" s="1"/>
  <c r="I32" i="32" s="1"/>
  <c r="D34" i="32"/>
  <c r="E34" i="32" s="1"/>
  <c r="G34" i="32" s="1"/>
  <c r="I34" i="32" s="1"/>
  <c r="D23" i="32"/>
  <c r="E23" i="32" s="1"/>
  <c r="D35" i="32"/>
  <c r="E35" i="32" s="1"/>
  <c r="G35" i="32" s="1"/>
  <c r="I35" i="32" s="1"/>
  <c r="D24" i="32"/>
  <c r="E24" i="32" s="1"/>
  <c r="G24" i="32" s="1"/>
  <c r="I24" i="32" s="1"/>
  <c r="D31" i="32"/>
  <c r="E31" i="32" s="1"/>
  <c r="G31" i="32" s="1"/>
  <c r="I31" i="32" s="1"/>
  <c r="D37" i="32"/>
  <c r="E37" i="32" s="1"/>
  <c r="G37" i="32" s="1"/>
  <c r="I37" i="32" s="1"/>
  <c r="D33" i="32"/>
  <c r="E33" i="32" s="1"/>
  <c r="B25" i="18"/>
  <c r="G23" i="32" l="1"/>
  <c r="I23" i="32" s="1"/>
  <c r="G36" i="32"/>
  <c r="I36" i="32" s="1"/>
  <c r="G33" i="32"/>
  <c r="I33" i="32" s="1"/>
  <c r="I4" i="1"/>
  <c r="F40" i="1" l="1"/>
  <c r="F39" i="1"/>
  <c r="F41" i="1" s="1"/>
  <c r="B60" i="1"/>
  <c r="B61" i="1" s="1"/>
  <c r="I31" i="1" l="1"/>
  <c r="I32" i="1"/>
  <c r="I34" i="1" s="1"/>
  <c r="I33" i="1"/>
  <c r="I35" i="1"/>
  <c r="I30" i="1"/>
  <c r="B3" i="1"/>
  <c r="B15" i="1" s="1"/>
  <c r="B9" i="1" l="1"/>
  <c r="G130" i="28" l="1"/>
  <c r="H130" i="28"/>
  <c r="I130" i="28"/>
  <c r="J130" i="28"/>
  <c r="K130" i="28"/>
  <c r="L130" i="28"/>
  <c r="AC130" i="28"/>
  <c r="G131" i="28"/>
  <c r="H131" i="28"/>
  <c r="I131" i="28"/>
  <c r="J131" i="28"/>
  <c r="K131" i="28"/>
  <c r="L131" i="28"/>
  <c r="AC131" i="28"/>
  <c r="G132" i="28"/>
  <c r="H132" i="28"/>
  <c r="I132" i="28"/>
  <c r="J132" i="28"/>
  <c r="K132" i="28"/>
  <c r="L132" i="28"/>
  <c r="AC132" i="28"/>
  <c r="F132" i="28"/>
  <c r="F130" i="28"/>
  <c r="G127" i="28"/>
  <c r="H127" i="28"/>
  <c r="I127" i="28"/>
  <c r="J127" i="28"/>
  <c r="K127" i="28"/>
  <c r="L127" i="28"/>
  <c r="M127" i="28"/>
  <c r="N127" i="28"/>
  <c r="O127" i="28"/>
  <c r="P127" i="28"/>
  <c r="Q127" i="28"/>
  <c r="R127" i="28"/>
  <c r="S127" i="28"/>
  <c r="T127" i="28"/>
  <c r="U127" i="28"/>
  <c r="V127" i="28"/>
  <c r="W127" i="28"/>
  <c r="X127" i="28"/>
  <c r="Y127" i="28"/>
  <c r="Z127" i="28"/>
  <c r="AA127" i="28"/>
  <c r="AB127" i="28"/>
  <c r="AC127" i="28"/>
  <c r="G128" i="28"/>
  <c r="H128" i="28"/>
  <c r="I128" i="28"/>
  <c r="J128" i="28"/>
  <c r="K128" i="28"/>
  <c r="L128" i="28"/>
  <c r="M128" i="28"/>
  <c r="N128" i="28"/>
  <c r="O128" i="28"/>
  <c r="P128" i="28"/>
  <c r="Q128" i="28"/>
  <c r="R128" i="28"/>
  <c r="S128" i="28"/>
  <c r="T128" i="28"/>
  <c r="U128" i="28"/>
  <c r="V128" i="28"/>
  <c r="W128" i="28"/>
  <c r="X128" i="28"/>
  <c r="Y128" i="28"/>
  <c r="Z128" i="28"/>
  <c r="AA128" i="28"/>
  <c r="AB128" i="28"/>
  <c r="AC128" i="28"/>
  <c r="G129" i="28"/>
  <c r="H129" i="28"/>
  <c r="I129" i="28"/>
  <c r="J129" i="28"/>
  <c r="K129" i="28"/>
  <c r="L129" i="28"/>
  <c r="M129" i="28"/>
  <c r="N129" i="28"/>
  <c r="O129" i="28"/>
  <c r="P129" i="28"/>
  <c r="Q129" i="28"/>
  <c r="R129" i="28"/>
  <c r="S129" i="28"/>
  <c r="T129" i="28"/>
  <c r="U129" i="28"/>
  <c r="V129" i="28"/>
  <c r="W129" i="28"/>
  <c r="X129" i="28"/>
  <c r="Y129" i="28"/>
  <c r="Z129" i="28"/>
  <c r="AA129" i="28"/>
  <c r="AB129" i="28"/>
  <c r="AC129" i="28"/>
  <c r="F128" i="28"/>
  <c r="F129" i="28"/>
  <c r="F127" i="28"/>
  <c r="G124" i="28"/>
  <c r="H124" i="28"/>
  <c r="I124" i="28"/>
  <c r="J124" i="28"/>
  <c r="K124" i="28"/>
  <c r="L124" i="28"/>
  <c r="M124" i="28"/>
  <c r="N124" i="28"/>
  <c r="O124" i="28"/>
  <c r="P124" i="28"/>
  <c r="Q124" i="28"/>
  <c r="R124" i="28"/>
  <c r="S124" i="28"/>
  <c r="T124" i="28"/>
  <c r="U124" i="28"/>
  <c r="V124" i="28"/>
  <c r="W124" i="28"/>
  <c r="X124" i="28"/>
  <c r="Y124" i="28"/>
  <c r="Z124" i="28"/>
  <c r="AA124" i="28"/>
  <c r="AB124" i="28"/>
  <c r="AC124" i="28"/>
  <c r="G125" i="28"/>
  <c r="H125" i="28"/>
  <c r="I125" i="28"/>
  <c r="J125" i="28"/>
  <c r="K125" i="28"/>
  <c r="L125" i="28"/>
  <c r="M125" i="28"/>
  <c r="N125" i="28"/>
  <c r="O125" i="28"/>
  <c r="P125" i="28"/>
  <c r="Q125" i="28"/>
  <c r="R125" i="28"/>
  <c r="S125" i="28"/>
  <c r="T125" i="28"/>
  <c r="U125" i="28"/>
  <c r="V125" i="28"/>
  <c r="W125" i="28"/>
  <c r="X125" i="28"/>
  <c r="Y125" i="28"/>
  <c r="Z125" i="28"/>
  <c r="AA125" i="28"/>
  <c r="AB125" i="28"/>
  <c r="AC125" i="28"/>
  <c r="G126" i="28"/>
  <c r="H126" i="28"/>
  <c r="I126" i="28"/>
  <c r="J126" i="28"/>
  <c r="K126" i="28"/>
  <c r="L126" i="28"/>
  <c r="M126" i="28"/>
  <c r="N126" i="28"/>
  <c r="O126" i="28"/>
  <c r="P126" i="28"/>
  <c r="Q126" i="28"/>
  <c r="R126" i="28"/>
  <c r="S126" i="28"/>
  <c r="T126" i="28"/>
  <c r="U126" i="28"/>
  <c r="V126" i="28"/>
  <c r="W126" i="28"/>
  <c r="X126" i="28"/>
  <c r="Y126" i="28"/>
  <c r="Z126" i="28"/>
  <c r="AA126" i="28"/>
  <c r="AB126" i="28"/>
  <c r="AC126" i="28"/>
  <c r="F125" i="28"/>
  <c r="F126" i="28"/>
  <c r="F124" i="28"/>
  <c r="F94" i="28" a="1"/>
  <c r="F94" i="28" s="1"/>
  <c r="F95" i="28" a="1"/>
  <c r="F95" i="28" s="1"/>
  <c r="F96" i="28" a="1"/>
  <c r="F96" i="28" s="1"/>
  <c r="F97" i="28" a="1"/>
  <c r="F97" i="28" s="1"/>
  <c r="F93" i="28" a="1"/>
  <c r="F93" i="28" s="1"/>
  <c r="F131" i="28"/>
  <c r="AA132" i="28"/>
  <c r="Z132" i="28"/>
  <c r="Y132" i="28"/>
  <c r="X132" i="28"/>
  <c r="W132" i="28"/>
  <c r="V132" i="28"/>
  <c r="U132" i="28"/>
  <c r="T132" i="28"/>
  <c r="S132" i="28"/>
  <c r="R132" i="28"/>
  <c r="Q132" i="28"/>
  <c r="P132" i="28"/>
  <c r="O132" i="28"/>
  <c r="N132" i="28"/>
  <c r="M132" i="28"/>
  <c r="AA131" i="28"/>
  <c r="Z131" i="28"/>
  <c r="Y131" i="28"/>
  <c r="X131" i="28"/>
  <c r="W131" i="28"/>
  <c r="V131" i="28"/>
  <c r="U131" i="28"/>
  <c r="T131" i="28"/>
  <c r="S131" i="28"/>
  <c r="R131" i="28"/>
  <c r="Q131" i="28"/>
  <c r="P131" i="28"/>
  <c r="O131" i="28"/>
  <c r="N131" i="28"/>
  <c r="M131" i="28"/>
  <c r="AA130" i="28"/>
  <c r="Z130" i="28"/>
  <c r="Y130" i="28"/>
  <c r="X130" i="28"/>
  <c r="W130" i="28"/>
  <c r="V130" i="28"/>
  <c r="U130" i="28"/>
  <c r="T130" i="28"/>
  <c r="S130" i="28"/>
  <c r="R130" i="28"/>
  <c r="Q130" i="28"/>
  <c r="P130" i="28"/>
  <c r="O130" i="28"/>
  <c r="N130" i="28"/>
  <c r="M130" i="28"/>
  <c r="AB130" i="28"/>
  <c r="AB131" i="28"/>
  <c r="AB132" i="28"/>
  <c r="F98" i="28" l="1" a="1"/>
  <c r="F98" i="28" s="1"/>
  <c r="B100" i="28"/>
  <c r="B26" i="18" l="1"/>
  <c r="D12" i="18" s="1"/>
  <c r="E12" i="18" s="1"/>
  <c r="Q16" i="1"/>
  <c r="R16" i="1"/>
  <c r="S16" i="1"/>
  <c r="T16" i="1"/>
  <c r="U16" i="1"/>
  <c r="V16" i="1"/>
  <c r="W16" i="1"/>
  <c r="X16" i="1"/>
  <c r="J16" i="1"/>
  <c r="K16" i="1"/>
  <c r="L16" i="1"/>
  <c r="M16" i="1"/>
  <c r="N16" i="1"/>
  <c r="O16" i="1"/>
  <c r="P16" i="1"/>
  <c r="J22" i="1"/>
  <c r="M22" i="1"/>
  <c r="P22" i="1"/>
  <c r="Q22" i="1"/>
  <c r="R22" i="1"/>
  <c r="S22" i="1"/>
  <c r="T22" i="1"/>
  <c r="U22" i="1"/>
  <c r="V22" i="1"/>
  <c r="W22" i="1"/>
  <c r="X22" i="1"/>
  <c r="K22" i="1"/>
  <c r="L22" i="1"/>
  <c r="N22" i="1"/>
  <c r="O22" i="1"/>
  <c r="I22" i="1"/>
  <c r="I25" i="1" s="1" a="1"/>
  <c r="I25" i="1" s="1"/>
  <c r="I19" i="1" l="1" a="1"/>
  <c r="I19" i="1" s="1"/>
  <c r="B62" i="1"/>
  <c r="J4" i="1"/>
  <c r="K4" i="1"/>
  <c r="L4" i="1"/>
  <c r="M4" i="1"/>
  <c r="N4" i="1"/>
  <c r="O4" i="1"/>
  <c r="P4" i="1"/>
  <c r="Q4" i="1"/>
  <c r="R4" i="1"/>
  <c r="S4" i="1"/>
  <c r="T4" i="1"/>
  <c r="U4" i="1"/>
  <c r="V4" i="1"/>
  <c r="W4" i="1"/>
  <c r="X4" i="1"/>
  <c r="I7" i="1" l="1" a="1"/>
  <c r="I7" i="1" s="1"/>
  <c r="E59" i="1"/>
  <c r="E58" i="1"/>
  <c r="G12" i="9"/>
  <c r="B24" i="9"/>
  <c r="C14" i="9" s="1"/>
  <c r="G3" i="13" l="1"/>
  <c r="G6" i="13" s="1"/>
  <c r="K5" i="13"/>
  <c r="I4" i="13"/>
  <c r="I5" i="13"/>
  <c r="I3" i="13"/>
  <c r="I6" i="13" l="1"/>
  <c r="A1" i="14" l="1"/>
  <c r="E61" i="1" l="1"/>
  <c r="A1" i="13" l="1"/>
  <c r="AB9" i="21" l="1"/>
  <c r="J9" i="1" l="1"/>
  <c r="K9" i="1"/>
  <c r="L9" i="1"/>
  <c r="M9" i="1"/>
  <c r="N9" i="1"/>
  <c r="O9" i="1"/>
  <c r="P9" i="1"/>
  <c r="Q9" i="1"/>
  <c r="R9" i="1"/>
  <c r="S9" i="1"/>
  <c r="T9" i="1"/>
  <c r="U9" i="1"/>
  <c r="V9" i="1"/>
  <c r="W9" i="1"/>
  <c r="X9" i="1"/>
  <c r="I9" i="1"/>
  <c r="I13" i="1" s="1" a="1"/>
  <c r="I13" i="1" s="1"/>
  <c r="A1" i="28"/>
  <c r="C4" i="18" l="1"/>
  <c r="B4" i="18"/>
  <c r="G4" i="18" s="1"/>
  <c r="H4" i="18" l="1"/>
  <c r="I4" i="18"/>
  <c r="G10" i="9"/>
  <c r="G14" i="9"/>
  <c r="J4" i="18" l="1"/>
  <c r="B25" i="9"/>
  <c r="C17" i="9" s="1"/>
  <c r="G17" i="9" s="1"/>
  <c r="C26" i="25"/>
  <c r="C25" i="25"/>
  <c r="C24" i="25"/>
  <c r="A1" i="22"/>
  <c r="A1" i="27"/>
  <c r="A1" i="29"/>
  <c r="A1" i="9"/>
  <c r="A1" i="25"/>
  <c r="A1" i="18"/>
  <c r="A1" i="30"/>
  <c r="A1" i="1"/>
  <c r="C11" i="9" l="1"/>
  <c r="G11" i="9" s="1"/>
  <c r="C15" i="9"/>
  <c r="G15" i="9" s="1"/>
  <c r="C16" i="9"/>
  <c r="G16" i="9" s="1"/>
  <c r="C13" i="9"/>
  <c r="G13" i="9" s="1"/>
  <c r="G18" i="9" l="1"/>
  <c r="A3" i="9" s="1"/>
  <c r="G19" i="9"/>
  <c r="B3" i="9" s="1"/>
  <c r="G20" i="9" l="1"/>
  <c r="C3" i="9"/>
  <c r="C3" i="18"/>
  <c r="H3" i="18" s="1"/>
  <c r="A4" i="18" l="1"/>
  <c r="A3" i="18"/>
  <c r="B3" i="18" l="1"/>
  <c r="G3" i="18" s="1"/>
  <c r="J3" i="18" s="1"/>
  <c r="AB4" i="21" l="1"/>
  <c r="AB5" i="21"/>
  <c r="AB6" i="21"/>
  <c r="AB7"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<sst xmlns="http://schemas.openxmlformats.org/spreadsheetml/2006/main" count="1490" uniqueCount="690">
  <si>
    <t>Data Sources</t>
  </si>
  <si>
    <t>Dataset</t>
  </si>
  <si>
    <t>Dodge 2023</t>
  </si>
  <si>
    <t xml:space="preserve"> </t>
  </si>
  <si>
    <t>CEUS 2022</t>
  </si>
  <si>
    <t>CBECS 2018</t>
  </si>
  <si>
    <t>ComStock 2023</t>
  </si>
  <si>
    <t>Prototype</t>
  </si>
  <si>
    <r>
      <t>CEC prototype</t>
    </r>
    <r>
      <rPr>
        <sz val="10"/>
        <rFont val="Arial"/>
        <family val="2"/>
      </rPr>
      <t xml:space="preserve"> (CBECC 2022.3.1)</t>
    </r>
  </si>
  <si>
    <t>https://bees.noresco.com/software2022.html</t>
  </si>
  <si>
    <t>PNNL prototype (90.1-2022)</t>
  </si>
  <si>
    <t>https://www.energycodes.gov/prototype-building-models#Commercial</t>
  </si>
  <si>
    <t>DEER prototype (June 2023)</t>
  </si>
  <si>
    <t>https://github.com/sound-data/DEER-Prototypes-EnergyPlus</t>
  </si>
  <si>
    <t>Codes</t>
  </si>
  <si>
    <t>Title 24, part 6, referred to as T24 (1986, 1992, 2001, 2007, 2013, 2016, 2019, 2022, 2025)</t>
  </si>
  <si>
    <t>ASHRAE 90.1 (2022)</t>
  </si>
  <si>
    <t>Others</t>
  </si>
  <si>
    <t>ACM (2013, 2019, 2022, 2025)</t>
  </si>
  <si>
    <t>Title 24, 2022 - Appendix 5.4A and Appendix 5.4B</t>
  </si>
  <si>
    <t>https://www.energy.ca.gov/publications/2022/2022-nonresidential-and-multifamily-alternative-calculation-method-reference</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</si>
  <si>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</si>
  <si>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</si>
  <si>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</si>
  <si>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</si>
  <si>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PNNL 20405, 2011</t>
  </si>
  <si>
    <t>https://www.pnnl.gov/main/publications/external/technical_reports/PNNL-20405.pdf</t>
  </si>
  <si>
    <t>Air leakage Memo, NORESCO, 2025</t>
  </si>
  <si>
    <t>https://2050partners.sharepoint.com/:w:/r/sites/CalBEMCollaborativeEfforts/_layouts/15/Doc.aspx?sourcedoc=%7B3BEF8F74-7FAC-44F2-A70C-D76617660066%7D&amp;file=Infiltration_rate_report_14May2025-Short-Version.docx&amp;action=default&amp;mobileredirect=true</t>
  </si>
  <si>
    <t>Design Guide: Advanced Water Heating for Foodservice (2022) (by GTI and Frontier funded by SoCalGas and Pacific Gas and Electric Company</t>
  </si>
  <si>
    <t>https://caenergywise.com/design-guides/hot-water/Technical_Design_Guide.pdf</t>
  </si>
  <si>
    <t>Design Guide 1: Improving Commercial Kitchen Ventilation System Performance : Selecting &amp; Sizing Exhaust Hoods referred as CKV (2004) (by SCE)</t>
  </si>
  <si>
    <t>https://www.streivor.com/wp-content/uploads/2020/11/CKV-Design-Guide-1-Selecting-and-Sizing-Exhaust-Hoods.pdf</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</si>
  <si>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</si>
  <si>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</si>
  <si>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Water Heater</t>
  </si>
  <si>
    <t>ENERGY STAR certified commercial water heaters (gas storage input ≥76 kBtu/h; ES tank sizes)</t>
  </si>
  <si>
    <t>ENERGY STAR commercial WH dataset (download)</t>
  </si>
  <si>
    <t>ENERGY STAR commercial WH eligibility (gas storage &gt;75 kBtu/h)</t>
  </si>
  <si>
    <t>Grainger gas tank water heaters (sizes below ES commercial, e.g. 30–75 kBtu/h)</t>
  </si>
  <si>
    <t>Grainger electric tank water heaters (kW ladder, tank gallons)</t>
  </si>
  <si>
    <t>ES commercial electric = heat pumps only; not used for resistance tank list</t>
  </si>
  <si>
    <t>Notes</t>
  </si>
  <si>
    <t>EIS, 2018:</t>
  </si>
  <si>
    <t>U.S. Energy Information Administration - EIA - Independent Statistics and Analysis</t>
  </si>
  <si>
    <t>Dodge Construction data , 2023</t>
  </si>
  <si>
    <t>RestaurantSitDown</t>
  </si>
  <si>
    <t>Characteristic</t>
  </si>
  <si>
    <t>Value</t>
  </si>
  <si>
    <t>Building Type</t>
  </si>
  <si>
    <t>Sit Down Restaurant</t>
  </si>
  <si>
    <t>Building Category</t>
  </si>
  <si>
    <t>Nonresidential</t>
  </si>
  <si>
    <t>Vintages</t>
  </si>
  <si>
    <t>4 Vintages: Pre-1978 , 1978-1997 ,1998-2007 , 2008-2018
New Construction (2019+)</t>
  </si>
  <si>
    <r>
      <rPr>
        <sz val="10"/>
        <color rgb="FF000000"/>
        <rFont val="Arial"/>
        <family val="2"/>
      </rPr>
      <t xml:space="preserve">Based on the vintage bin analysis. 
</t>
    </r>
    <r>
      <rPr>
        <sz val="10"/>
        <color rgb="FF000000"/>
        <rFont val="Arial"/>
        <family val="2"/>
      </rPr>
      <t>A summary of the findings is presented in the following paper, with a link provided in the Notes tab:
Yousefi, F., Athalye, R. (2025). “Determining Vintage Bins for Prototype Development: An Analysis of California Commercial Buildings.” ASHRAE Annual Conference.</t>
    </r>
  </si>
  <si>
    <t>Shape</t>
  </si>
  <si>
    <t>PNNL prototype, 2022</t>
  </si>
  <si>
    <t>Total Floor Area (ft²)</t>
  </si>
  <si>
    <t>5,502.1 (74.18 ft * 74.18 ft)</t>
  </si>
  <si>
    <t>Aspect Ratio</t>
  </si>
  <si>
    <t>Number of Floors</t>
  </si>
  <si>
    <t>Roof type</t>
  </si>
  <si>
    <t>Attic (17°)</t>
  </si>
  <si>
    <t>PNNL prototype, 2022, suppoerted by CBECS 2018</t>
  </si>
  <si>
    <t>WWR</t>
  </si>
  <si>
    <t>Average 17.11%
(South: 28% , East: 20.22% ,North: 0% ,West: 20.22%</t>
  </si>
  <si>
    <t>Shading Geometry</t>
  </si>
  <si>
    <t>No shades</t>
  </si>
  <si>
    <t>PNNL prototype, 2021</t>
  </si>
  <si>
    <t>Floor to floor height (ft)</t>
  </si>
  <si>
    <t>N/A</t>
  </si>
  <si>
    <t>Floor to ceiling height (ft)</t>
  </si>
  <si>
    <t>Glazing sill height (ft)</t>
  </si>
  <si>
    <t>3.5 (top of the window is 6.5 ft high with 3 ft high glass)</t>
  </si>
  <si>
    <t>Geometry</t>
  </si>
  <si>
    <t>Dining Area (Bar/Lounge and Fine Dining)</t>
  </si>
  <si>
    <t>Restaurant</t>
  </si>
  <si>
    <t>Y</t>
  </si>
  <si>
    <t>Kitchen/Food Preparation Area</t>
  </si>
  <si>
    <t>Kitchen</t>
  </si>
  <si>
    <t>Background Data [To be deleted prior to publication]</t>
  </si>
  <si>
    <r>
      <t>Kitchen height:</t>
    </r>
    <r>
      <rPr>
        <sz val="10"/>
        <color theme="1"/>
        <rFont val="Arial"/>
        <family val="2"/>
      </rPr>
      <t xml:space="preserve"> 10 ft</t>
    </r>
  </si>
  <si>
    <t>https://www.naksinc.com/ceiling-height-and-cooking-equipment-specifications-for-hoods-an-in-depth-look/</t>
  </si>
  <si>
    <t>Existing public prototypes</t>
  </si>
  <si>
    <t>PNNL (Sit down)</t>
  </si>
  <si>
    <t>CPUC  (Sit down)</t>
  </si>
  <si>
    <t>CEC (Small Restaurant)</t>
  </si>
  <si>
    <t>Whole building</t>
  </si>
  <si>
    <t>Floor area (ft²)</t>
  </si>
  <si>
    <t>Total</t>
  </si>
  <si>
    <t>Height (ft)</t>
  </si>
  <si>
    <t xml:space="preserve">All </t>
  </si>
  <si>
    <t>Zones</t>
  </si>
  <si>
    <t> </t>
  </si>
  <si>
    <t>Dining 73% (4001.46 ft2), Kitchen 27% (1500.54 ft2), Attic (NOT conditioned)</t>
  </si>
  <si>
    <t xml:space="preserve">Dining 54% , Kitchen 29% , Waiting Area 14% , Restroom 4% (200 sf) </t>
  </si>
  <si>
    <t>Dining 50% , Kitchen 50%, Attic (NOT conditioned)</t>
  </si>
  <si>
    <t>Internal Load</t>
  </si>
  <si>
    <t>People (person/ft²)</t>
  </si>
  <si>
    <t>Dining</t>
  </si>
  <si>
    <t>0.005 (7.5 People)</t>
  </si>
  <si>
    <t>Other zones (if any)</t>
  </si>
  <si>
    <t xml:space="preserve">0.0033 Lobby &amp;  0.005 Restroom </t>
  </si>
  <si>
    <t>-</t>
  </si>
  <si>
    <t>Lights (W/ft²)</t>
  </si>
  <si>
    <t>0.7 Lobby &amp; 0.65 Restroom</t>
  </si>
  <si>
    <t>Ext lights (W)</t>
  </si>
  <si>
    <t>1509      (204 and 1305)</t>
  </si>
  <si>
    <t>Gas Equipment (Btu/h-ft2)</t>
  </si>
  <si>
    <r>
      <rPr>
        <sz val="10"/>
        <color rgb="FF000000"/>
        <rFont val="Arial"/>
        <family val="2"/>
      </rPr>
      <t xml:space="preserve">194.7    </t>
    </r>
    <r>
      <rPr>
        <sz val="10"/>
        <rFont val="Arial"/>
        <family val="2"/>
      </rPr>
      <t xml:space="preserve"> (292,164 Btu/h)</t>
    </r>
  </si>
  <si>
    <t>Electric Equipment (W/ft²)</t>
  </si>
  <si>
    <t xml:space="preserve">5.7        (22833 W) </t>
  </si>
  <si>
    <t>0.75     (0.5 receptacle &amp; 0.25 refrigerator )</t>
  </si>
  <si>
    <t xml:space="preserve">35.91     (53,277 W Receptacle &amp; 313 W ReachIn Refrigerator &amp;  277 W ReachInFreezer) </t>
  </si>
  <si>
    <t>2.62      (1.5 receptacle &amp; 1.12 refrigerator)</t>
  </si>
  <si>
    <t>0.5 Lobby</t>
  </si>
  <si>
    <t>Refrigerator</t>
  </si>
  <si>
    <t xml:space="preserve">In addition to the Reachin freezer and refrigerator load defined as electric load, it has :
2 Case refrigerator : 716 and 763 Btu/hr-ft for 8 and 10 ft cases 
2.5 COP for design compressor rack
1126 Btu/h for fan power of design compressor </t>
  </si>
  <si>
    <t>Refrigerator loads are defined as electric equipment load for  kitchen</t>
  </si>
  <si>
    <t>Two Refrigerator loads are defined as electric equipment load for dining and kitchen</t>
  </si>
  <si>
    <t>Heating Sizing Factor</t>
  </si>
  <si>
    <t>H&amp;C: 1.2</t>
  </si>
  <si>
    <t>H: 2.5 , C: 2.3</t>
  </si>
  <si>
    <t>H&amp;C:1</t>
  </si>
  <si>
    <t>HVAC</t>
  </si>
  <si>
    <t>PSZ AC: CAV no reheat, DX cooling coil: multi speed, Gas heating coil</t>
  </si>
  <si>
    <r>
      <t xml:space="preserve"> Single Zone VAV  Reheat (Sys7)+ 1 DX cooling coil:multi speed + 1 water heating coil (+ 1 water heating coil for Reheat) 
</t>
    </r>
    <r>
      <rPr>
        <sz val="10"/>
        <color rgb="FF000000"/>
        <rFont val="Arial"/>
        <family val="2"/>
      </rPr>
      <t>Boiler</t>
    </r>
    <r>
      <rPr>
        <sz val="10"/>
        <rFont val="Arial"/>
        <family val="2"/>
      </rPr>
      <t xml:space="preserve"> (2 objects)</t>
    </r>
  </si>
  <si>
    <t xml:space="preserve"> (BaseAirSys 13): VAV no Reheat +DX cooling coil:two speed,  Gas Heating coil</t>
  </si>
  <si>
    <t>PSZ AC : CAV no reheat, DX cooling coil: multi speed, Gas heating coil</t>
  </si>
  <si>
    <t xml:space="preserve">Single Zone VAV no  Reheat + 1 DX cooling coil:single speed +  Gas heating coil </t>
  </si>
  <si>
    <t xml:space="preserve"> (sys7or3a): CAV no Reheat+DX cooling coil: single speed+ Gas Heating coil</t>
  </si>
  <si>
    <t xml:space="preserve">Lobby &amp; Restroom: Single Zone VAV no Reheat + 2 DX cooling coil:multi speed + 2 Gas heating coil </t>
  </si>
  <si>
    <t>Exhaust Fan (cfm)</t>
  </si>
  <si>
    <t>2821 cfm with efficiency of 1</t>
  </si>
  <si>
    <t>5400 cfm with efficiency of 0.385</t>
  </si>
  <si>
    <t>2400 cfm with efficiency of 0.43)</t>
  </si>
  <si>
    <t>Thermostat setpoint (F)</t>
  </si>
  <si>
    <t>Dining Heating</t>
  </si>
  <si>
    <t>70 (setback: 60)</t>
  </si>
  <si>
    <t>Dining Cooling</t>
  </si>
  <si>
    <t>75 (setback: 86)</t>
  </si>
  <si>
    <t>75 (setback: 85)</t>
  </si>
  <si>
    <t>Kitchen Heating</t>
  </si>
  <si>
    <r>
      <t>66</t>
    </r>
    <r>
      <rPr>
        <sz val="10"/>
        <color rgb="FF000000"/>
        <rFont val="Arial"/>
        <family val="2"/>
      </rPr>
      <t xml:space="preserve"> (setback: 60)</t>
    </r>
  </si>
  <si>
    <t>Kitchen Cooling</t>
  </si>
  <si>
    <r>
      <t>79</t>
    </r>
    <r>
      <rPr>
        <sz val="10"/>
        <color rgb="FF000000"/>
        <rFont val="Arial"/>
        <family val="2"/>
      </rPr>
      <t xml:space="preserve"> (setback: 86)</t>
    </r>
  </si>
  <si>
    <t>Tank Volume (gal</t>
  </si>
  <si>
    <t>200     (+ 6 gal electric booster water heater)</t>
  </si>
  <si>
    <r>
      <rPr>
        <sz val="10"/>
        <rFont val="Arial"/>
        <family val="2"/>
      </rPr>
      <t>Autosize (Nominal tank volume for autosizing: 39.6)</t>
    </r>
    <r>
      <rPr>
        <sz val="10"/>
        <color rgb="FF000000"/>
        <rFont val="Arial"/>
        <family val="2"/>
      </rPr>
      <t xml:space="preserve">
Output file :69 gal</t>
    </r>
  </si>
  <si>
    <t>Peak Flow Rate (gpm)</t>
  </si>
  <si>
    <t>0.08 Lobby</t>
  </si>
  <si>
    <t>Loop Max and Min Temperature (F)</t>
  </si>
  <si>
    <t>140, 50</t>
  </si>
  <si>
    <t>212 , 50</t>
  </si>
  <si>
    <r>
      <t xml:space="preserve">212, </t>
    </r>
    <r>
      <rPr>
        <sz val="10"/>
        <color rgb="FF000000"/>
        <rFont val="Arial"/>
        <family val="2"/>
      </rPr>
      <t>32</t>
    </r>
  </si>
  <si>
    <t>Tank Max Temperature (F)</t>
  </si>
  <si>
    <t>Yealy Water Usage (gal) from the output files</t>
  </si>
  <si>
    <t>* almost 2.8 time water usage compared to fast food</t>
  </si>
  <si>
    <t>* almost 3.5 time water usage compared to fast food</t>
  </si>
  <si>
    <t>ASHRAE DOE</t>
  </si>
  <si>
    <t>Kitchen loads are included in the EnergyPlus ElectricEquipment and GasEquipment objects</t>
  </si>
  <si>
    <t>Building</t>
  </si>
  <si>
    <t>Space/Thermal Zone</t>
  </si>
  <si>
    <r>
      <t>Space Type</t>
    </r>
    <r>
      <rPr>
        <b/>
        <sz val="10"/>
        <color rgb="FF000000"/>
        <rFont val="Arial"/>
        <family val="2"/>
      </rPr>
      <t xml:space="preserve">
[Primarily from: T24, 2022 Appendix 5.4A] - See Notes column</t>
    </r>
  </si>
  <si>
    <t>HVAC Zone</t>
  </si>
  <si>
    <t>Schedule Category</t>
  </si>
  <si>
    <t>Conditioned (Y/N)</t>
  </si>
  <si>
    <t>Area Fraction</t>
  </si>
  <si>
    <t>Area (ft²)</t>
  </si>
  <si>
    <t>Volume (ft³)</t>
  </si>
  <si>
    <t>Multipliers</t>
  </si>
  <si>
    <t>Number of People</t>
  </si>
  <si>
    <t xml:space="preserve">People 
(Persons/1,000 ft²)
[T24, 2025,Table 120.1-A] </t>
  </si>
  <si>
    <t xml:space="preserve">
Kitchen (North) , Dining (south)</t>
  </si>
  <si>
    <t>AHU_1</t>
  </si>
  <si>
    <t>AHU_2</t>
  </si>
  <si>
    <t>Attic</t>
  </si>
  <si>
    <t>n/a</t>
  </si>
  <si>
    <t>N</t>
  </si>
  <si>
    <t>Total (1 Building)</t>
  </si>
  <si>
    <t>Total (3 Space)</t>
  </si>
  <si>
    <t>Total (3 space type)</t>
  </si>
  <si>
    <t>Total ( 2 HVAC Zones)</t>
  </si>
  <si>
    <t xml:space="preserve"> Total (2 category)</t>
  </si>
  <si>
    <t xml:space="preserve"> Total (2 Conditioned zones)</t>
  </si>
  <si>
    <t>Element</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</si>
  <si>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</si>
  <si>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</si>
  <si>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</si>
  <si>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</si>
  <si>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</si>
  <si>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</si>
  <si>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</si>
  <si>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</si>
  <si>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</si>
  <si>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</si>
  <si>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</si>
  <si>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</si>
  <si>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</si>
  <si>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</si>
  <si>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</si>
  <si>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</si>
  <si>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</si>
  <si>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</si>
  <si>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</si>
  <si>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</si>
  <si>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</si>
  <si>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</si>
  <si>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</si>
  <si>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t>Metal framed wall:
 stucco + insulation + Metal frame + gypsum board</t>
  </si>
  <si>
    <t>U-factor IP</t>
  </si>
  <si>
    <t>Pre 1978</t>
  </si>
  <si>
    <t>Using DOE pre-1980 U-values and a 9.6% cumulative wall renovation rate through 2028, based on the average annual rate from CBECS 2003 and 2012 projected over 48 years.</t>
  </si>
  <si>
    <t>1978-1997</t>
  </si>
  <si>
    <t xml:space="preserve">Copied from low-rise office alternative table: Package A with heat capacity of 0.0-3.99 (Btu/F-ft²) </t>
  </si>
  <si>
    <t>These values have better performance than the next vintage</t>
  </si>
  <si>
    <t>1998-2007</t>
  </si>
  <si>
    <t xml:space="preserve"> Table 1-H</t>
  </si>
  <si>
    <t>2008-2018</t>
  </si>
  <si>
    <t>Table 140.3-B</t>
  </si>
  <si>
    <t>Existing</t>
  </si>
  <si>
    <t>Weighted average of all 4 vintages</t>
  </si>
  <si>
    <t>2019+</t>
  </si>
  <si>
    <t>Ceiling/Roof</t>
  </si>
  <si>
    <t>AtticFloor Reversed</t>
  </si>
  <si>
    <t>Attic roof (no insulation): asphalt shingles + gypsum board
 Ceiling (wood-joist): insulation + gypsum board</t>
  </si>
  <si>
    <t>Considering 30 years for roof/ insulation replacement.</t>
  </si>
  <si>
    <t>Table 1-H</t>
  </si>
  <si>
    <r>
      <t xml:space="preserve">Table 140.3-B </t>
    </r>
    <r>
      <rPr>
        <sz val="10"/>
        <color rgb="FF000000"/>
        <rFont val="Arial"/>
        <family val="2"/>
      </rPr>
      <t>(Wood Framed and Other)</t>
    </r>
  </si>
  <si>
    <r>
      <t>Table 140.3-B</t>
    </r>
    <r>
      <rPr>
        <sz val="10"/>
        <color rgb="FF000000"/>
        <rFont val="Arial"/>
        <family val="2"/>
      </rPr>
      <t xml:space="preserve"> (Wood Framed and Other)</t>
    </r>
  </si>
  <si>
    <t>Windows</t>
  </si>
  <si>
    <t>FixedWindow_NonRes</t>
  </si>
  <si>
    <t xml:space="preserve">Single Pane (CBECS 2018, ~ 30 % of windows of Restaurant built before 2000 are single pane) </t>
  </si>
  <si>
    <t>2021 ASHRAE Handbook of Fundamentals for single pane (Table 4- Ch15, Section 15.9) &amp; T24, 2013 Table 140.3-B for double pane (30%-70%)</t>
  </si>
  <si>
    <t>These vintages have better performance because of partial retrofit</t>
  </si>
  <si>
    <t>Double pane</t>
  </si>
  <si>
    <t xml:space="preserve">Table 1-H </t>
  </si>
  <si>
    <t xml:space="preserve">Table 140.3-B </t>
  </si>
  <si>
    <t>SHGC</t>
  </si>
  <si>
    <t>2021 ASHRAE Handbook of Fundamentals for single pane (Table 10- Ch15, Section 15.22) &amp; T24, 2013 Table 140.3-B for double pane (30%-70%)</t>
  </si>
  <si>
    <t>Table 1-H (Non North, 10-20% total WWR)</t>
  </si>
  <si>
    <t>Infiltration</t>
  </si>
  <si>
    <t xml:space="preserve">I_75 (cfm/ft2)
6-sdied Infiltration rate @ 75 pa </t>
  </si>
  <si>
    <t>Source</t>
  </si>
  <si>
    <t xml:space="preserve"> I-design (cfm/ft²) 
(4-sided Infiltration rate at normal pressure) 
(Design flow rate approach and Flow/Exterior Wall Area calculation method) </t>
  </si>
  <si>
    <t>2022 CASE report (Table 38)</t>
  </si>
  <si>
    <t>2022 CASE report (Table 38) &amp;
T24, 2008-2016 (Table 140.3-B)</t>
  </si>
  <si>
    <t>Same as Pre 2008 because of their higher weights</t>
  </si>
  <si>
    <t>2022 CASE report (Table 38) &amp;  
T24, 2025 (Table 140.3-B)</t>
  </si>
  <si>
    <t>Source:  T24 air barrier requirements (all editions) , the standardized infiltration rate reported in the 2022 CASE report, and Dodge 2023 data</t>
  </si>
  <si>
    <t>Infiltration_rate_report_14May2025-Short-Version.docx</t>
  </si>
  <si>
    <t>6 sided area</t>
  </si>
  <si>
    <t>4 sided area</t>
  </si>
  <si>
    <t>6 sided/4sided fraction</t>
  </si>
  <si>
    <t>Pre-1978 exterior wall U value calculation</t>
  </si>
  <si>
    <t>ASHRAE 90.1, 2022 Table A3.3.3.1, 3.5", R-0</t>
  </si>
  <si>
    <t>T24, 2008 (U value): Metal framed wall Nonres</t>
  </si>
  <si>
    <t>DOE pre 1980 prototype LA (U value)</t>
  </si>
  <si>
    <t xml:space="preserve">Renovation rate since 1980  (yearly renovation rate was calculated from CBECS 2003 and 2012 and then projected over 48 years) </t>
  </si>
  <si>
    <t>T24, 1986</t>
  </si>
  <si>
    <t>For  NEW NONRESIDENTIAL BUILDINGS OF OCCUPANCIES A, 5, E AND H:</t>
  </si>
  <si>
    <t>HDD for each CZ in CA</t>
  </si>
  <si>
    <t>&lt;3500</t>
  </si>
  <si>
    <t>weight of wall</t>
  </si>
  <si>
    <t xml:space="preserve"> &lt;10 lb/ft²</t>
  </si>
  <si>
    <t>TD eq  (&lt;10 lb/ft²)</t>
  </si>
  <si>
    <t>U wall  base on HDD</t>
  </si>
  <si>
    <t>MCF (&lt;10 lb/ft²)</t>
  </si>
  <si>
    <t>U wall  base on CDD</t>
  </si>
  <si>
    <t>Aow (ft²)=</t>
  </si>
  <si>
    <t>Awall (ft²)</t>
  </si>
  <si>
    <t>U wall (Btu/hr-ft²-F)</t>
  </si>
  <si>
    <t>Awindows(ft²) ~</t>
  </si>
  <si>
    <t>Min OTTV</t>
  </si>
  <si>
    <t>Frame Fig 2-53E</t>
  </si>
  <si>
    <t>Min Uow (HDD&lt; 3500)</t>
  </si>
  <si>
    <t>Frame Fig 2-53B</t>
  </si>
  <si>
    <t xml:space="preserve">Heating </t>
  </si>
  <si>
    <t>Cooling</t>
  </si>
  <si>
    <t>Air Distribution</t>
  </si>
  <si>
    <t>Other Systems</t>
  </si>
  <si>
    <t xml:space="preserve">Existing  </t>
  </si>
  <si>
    <t>Gas Furnace (PSZAC)</t>
  </si>
  <si>
    <t>DX Coil (PSZAC)</t>
  </si>
  <si>
    <t>CAV (PSZAC)</t>
  </si>
  <si>
    <t>Economizer for after 2008</t>
  </si>
  <si>
    <t>CEUS 2022 + Engineering Judgement</t>
  </si>
  <si>
    <t>Makeup Air Unit (Combo with RTU) to supply make-up air exceeding transfer air from dining space (can be included in system13b)</t>
  </si>
  <si>
    <t>New Construction</t>
  </si>
  <si>
    <t>Economizer</t>
  </si>
  <si>
    <t>T24, 2025</t>
  </si>
  <si>
    <t>HR-Makeup Air Unit (systems that integrate make-up air and heat recovery functions) (can be included in system13b)</t>
  </si>
  <si>
    <r>
      <rPr>
        <b/>
        <sz val="12"/>
        <color rgb="FFFFFFFF"/>
        <rFont val="Arial"/>
        <family val="2"/>
      </rPr>
      <t xml:space="preserve">Efficiency of HVAC system
</t>
    </r>
    <r>
      <rPr>
        <sz val="10"/>
        <color rgb="FFFFFFFF"/>
        <rFont val="Arial"/>
        <family val="2"/>
      </rPr>
      <t xml:space="preserve"> (Efficiency is capacity-dependent. The following table provides a general estimate of system efficiency based on preliminary simulations in one climate zone, or assuming cooling load based on rule of thumb)</t>
    </r>
  </si>
  <si>
    <t>Upgrade/Installed year</t>
  </si>
  <si>
    <t xml:space="preserve"> Gas Furnace</t>
  </si>
  <si>
    <t>Dining DX cooling 
(&gt;=65,000 and &lt; 135,000 Btu/h )</t>
  </si>
  <si>
    <t>Kitchen DX cooling 
(&gt;=65,000 and &lt; 135,000 Btu/h )</t>
  </si>
  <si>
    <t xml:space="preserve">Note </t>
  </si>
  <si>
    <t xml:space="preserve"> Efficiency 80%</t>
  </si>
  <si>
    <t>EER 10.3</t>
  </si>
  <si>
    <t xml:space="preserve"> T24, 2008, Table 112-A </t>
  </si>
  <si>
    <r>
      <t xml:space="preserve">Econ Max Position=0.9.
</t>
    </r>
    <r>
      <rPr>
        <sz val="9"/>
        <color theme="1"/>
        <rFont val="Arial"/>
        <family val="2"/>
      </rPr>
      <t>*Econ Max Position is set to below 1 to approximate effects of not having fault detection and diagnostics (FDD) requirements, which began in 2013. It can be modeled in E+ either by:
- Reducing Maximum Outdoor Air Flow Rate in Controller:OutdoorAir.
- Or using FaultModel objects to simulate pre-2013 “no FDD” conditions</t>
    </r>
  </si>
  <si>
    <t>EER 11.2</t>
  </si>
  <si>
    <t xml:space="preserve"> T24, 2013, Table 110.2-A</t>
  </si>
  <si>
    <t>Econ Max Position=0.9</t>
  </si>
  <si>
    <t xml:space="preserve">T24, 2025, Table 110.2-A </t>
  </si>
  <si>
    <t>- Econ Max Position=1
- Deduct 0.2 from the required EERs and IEERs for units with a heating section other than electric resistance heat.</t>
  </si>
  <si>
    <t>Fan Power</t>
  </si>
  <si>
    <t>Approach</t>
  </si>
  <si>
    <t>System</t>
  </si>
  <si>
    <t>Total Static Pressure (TSP)
(in w.c.)</t>
  </si>
  <si>
    <t>Fan Efficiency
[ACM 2025]</t>
  </si>
  <si>
    <t xml:space="preserve">Motor Efficiency </t>
  </si>
  <si>
    <t xml:space="preserve"> Fan Power Index 
(W/cfm)</t>
  </si>
  <si>
    <t>Data Source</t>
  </si>
  <si>
    <t>PNNL TSP</t>
  </si>
  <si>
    <t>CAV Kitchen (system &lt;7,437 cfm)</t>
  </si>
  <si>
    <t>ASHRAE 90.1, 2004, Table 10.8 *</t>
  </si>
  <si>
    <t>CAV Dining (system &lt;7,437 cfm)
CAV Dining (system &gt;7,437 cfm)</t>
  </si>
  <si>
    <t>2.5  (system &lt;7,437 cfm)
4.46 (system &gt;7,437 cfm)</t>
  </si>
  <si>
    <t>Brake horsepower (bhp) = (Supply cfm × TSP in w.c.) / (6356 × fan efficiency)</t>
  </si>
  <si>
    <t>Fan power (w/cfm) = (bhp ×  746) / ( supply cfm × motor efficiency )</t>
  </si>
  <si>
    <t>ACM 2025</t>
  </si>
  <si>
    <t>PSZAC (system 13b), CAV kitchen, ≤5,000 cfm</t>
  </si>
  <si>
    <t>TSP = fan power × motor efficiency × fan efficiency × 6356 / 746</t>
  </si>
  <si>
    <t>2025 ACM Table 12 **</t>
  </si>
  <si>
    <t>Fan power index: [ACM 2025, Table 13]
Motor efficiency: [ACM 2025, Table 12]</t>
  </si>
  <si>
    <t>PSZAC (System 13b), CAV Kitchen, &gt;5,000 and &lt;=10,000 cfm</t>
  </si>
  <si>
    <t>TSP = fan power × motor efficiency × fan efficiency × 6356 / 747</t>
  </si>
  <si>
    <t>PSZAC (System 3a), CAV dining, ≤5,000 cfm</t>
  </si>
  <si>
    <t>PSZAC (System 3a), CAV dining, &gt;5,000 and &lt;=10,000 cfm</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</si>
  <si>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</si>
  <si>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motor nameplate horsepower.
     Brake horsepower  (bhp) = (Supply cfm from sizing run × fan power in W/cfm) / 746.
     Note: PSZAC with gas furnace (System 3a SZAC) ≤5,000 cfm. Same index as Restaurant Sit-Down kitchen.
     Dining fans above 5,000 cfm and at or below 10,000 cfm use 0.780 W/cfm.</t>
  </si>
  <si>
    <t>Gas</t>
  </si>
  <si>
    <t>Statewide</t>
  </si>
  <si>
    <t>Setpoint</t>
  </si>
  <si>
    <t xml:space="preserve"> Heating Setpoint (F)</t>
  </si>
  <si>
    <t>T24 2022 - Appendix 5.4B</t>
  </si>
  <si>
    <t xml:space="preserve"> Heating Setback (F)</t>
  </si>
  <si>
    <t xml:space="preserve"> Cooling Setpoint (F)</t>
  </si>
  <si>
    <t xml:space="preserve"> Cooling Setback (F)</t>
  </si>
  <si>
    <t xml:space="preserve">PNNL 09.1, 2022 Restaurant prototype </t>
  </si>
  <si>
    <t>PNNL's comfort range in kitchen is 4 F wider : 66 -79 F (with Heating setback of 60 F and Cooling setback of 86 F)</t>
  </si>
  <si>
    <t xml:space="preserve">PNNL comfort range in Dining is  70 -75 F (with Heating setback of 60 F and Cooling setback of 86 F) </t>
  </si>
  <si>
    <t xml:space="preserve">CPUC comfort range is  70 -75 F (with Heating setback of 60 F and Cooling setback of 85 F) </t>
  </si>
  <si>
    <t>Floor Area (ft²)</t>
  </si>
  <si>
    <t>cfm/person
[T24, 2025, Equation 120.1-F and Table 120.1-A]</t>
  </si>
  <si>
    <t>cfm/ft²  
[T24, 2025, Equation 120.1-F and Table 120.1-A]</t>
  </si>
  <si>
    <t>Required Exhaust Rate
[T24, 2025, Table 120.1-B – minimum exhaust rates]</t>
  </si>
  <si>
    <t>Total cfm 
Driven by People</t>
  </si>
  <si>
    <t>Total cfm 
Driven by Area</t>
  </si>
  <si>
    <t>Total cfm 
Driven by Exhaust</t>
  </si>
  <si>
    <t>Total cfm</t>
  </si>
  <si>
    <t>4 restroom, each 25/50 cfm pr unit</t>
  </si>
  <si>
    <t>0.7 cfm/ft2</t>
  </si>
  <si>
    <t>Fine storage is defined for normal inventory that doesn't require an extra exhaust rate based on the space functions  in T24, Part6, 2025, Table 120.1 B.</t>
  </si>
  <si>
    <t>Exhaust hood</t>
  </si>
  <si>
    <t xml:space="preserve">Type of Hood </t>
  </si>
  <si>
    <t>Max Exhaust Flow Rate (cfm/ft)
[T24, 2025, Table 140.9-C]</t>
  </si>
  <si>
    <t xml:space="preserve">Hood Length (ft) * 
[CKV, 2004] &amp; </t>
  </si>
  <si>
    <t>Hood Exhaust Rate (cfm)</t>
  </si>
  <si>
    <t>Note</t>
  </si>
  <si>
    <t>Type I , wall-mounted canopy, medium duty hood</t>
  </si>
  <si>
    <t>Efficiency of exhaust fan is 50% (according to ACM, 2025, section 5.7.3)</t>
  </si>
  <si>
    <t>Quick Service Restaurant Hood Appliance</t>
  </si>
  <si>
    <t>Appliance</t>
  </si>
  <si>
    <t>Length  (ft)</t>
  </si>
  <si>
    <t xml:space="preserve">Fryers side </t>
  </si>
  <si>
    <t xml:space="preserve">CKV Design Guide, 2004 (with equipment of a casual dining restaurant) 
*Charbroiler length is extended from 3 to 4
</t>
  </si>
  <si>
    <t>Fryer drip station (doesn't generate heat or grease but still need to be covered)</t>
  </si>
  <si>
    <t>Griddle</t>
  </si>
  <si>
    <t>Prep surface</t>
  </si>
  <si>
    <t>Open range burners (top)</t>
  </si>
  <si>
    <t>Charbroiler</t>
  </si>
  <si>
    <t>Convection oven</t>
  </si>
  <si>
    <t>added from the list of fast food restaurant</t>
  </si>
  <si>
    <t>Total cooking line length (ft)</t>
  </si>
  <si>
    <t>Hood length (ft) (+1 ft buffer)</t>
  </si>
  <si>
    <t>T24, 2025:</t>
  </si>
  <si>
    <t>ACM 2025, 5.7.3: EXHAUST FAN CONTROL METHOD</t>
  </si>
  <si>
    <t>202 Commercial Kitchen Design Guide by SCE</t>
  </si>
  <si>
    <t>CKV Design Guide</t>
  </si>
  <si>
    <t xml:space="preserve">Kitchen photos from google browsing </t>
  </si>
  <si>
    <t>Space Type</t>
  </si>
  <si>
    <t xml:space="preserve">New Construction </t>
  </si>
  <si>
    <t>LPD (W/ft²)</t>
  </si>
  <si>
    <t>Additional LPD for Portable Lighting (W/ft²)</t>
  </si>
  <si>
    <t xml:space="preserve">LPD (W/ft²) </t>
  </si>
  <si>
    <t>0.35 (decorative/Display)</t>
  </si>
  <si>
    <t xml:space="preserve">T24, 2025, Table 140.6-C
(Area category method) </t>
  </si>
  <si>
    <t>0.5 (Ornamental)</t>
  </si>
  <si>
    <t>T24, 2016, Table 140.6-C
(Area category method) 
LPD of "All other spaces" is considered for storage space</t>
  </si>
  <si>
    <t xml:space="preserve">Existing </t>
  </si>
  <si>
    <t>Whole Building</t>
  </si>
  <si>
    <t>All other building</t>
  </si>
  <si>
    <t>T24,  2019, Table 140.6 B</t>
  </si>
  <si>
    <t xml:space="preserve">Area Category </t>
  </si>
  <si>
    <t>T24, 2019, Table 140.6-C</t>
  </si>
  <si>
    <t>T24,  2016, Table 140.6 B</t>
  </si>
  <si>
    <t>ZONE1 OFFICE</t>
  </si>
  <si>
    <t>T24,  2016, Table 140.6-C</t>
  </si>
  <si>
    <t>ZONE2 FINE STORAGE</t>
  </si>
  <si>
    <t>ZONE3 BULK STORAGE</t>
  </si>
  <si>
    <t>T24, 2013, Table 140.6 B</t>
  </si>
  <si>
    <t>T24, 2013, Table 140.6-C</t>
  </si>
  <si>
    <t>WH Type</t>
  </si>
  <si>
    <t>Efficiency</t>
  </si>
  <si>
    <t>Number of WH</t>
  </si>
  <si>
    <t>Tank Volume (gal)</t>
  </si>
  <si>
    <t>Tank Loss</t>
  </si>
  <si>
    <t>See table below for CZ-specific values: Climate Zone Water Heater Sizing and Loss Coefficients, Storage Volume column (col F)</t>
  </si>
  <si>
    <t>See table below: Climate Zone Water Heater Sizing and Loss Coefficients, Standby Loss column (col G)</t>
  </si>
  <si>
    <t>See table below for sources: Climate Zone Water Heater Sizing and Loss Coefficients</t>
  </si>
  <si>
    <t>Peak Hot Water Consumption</t>
  </si>
  <si>
    <t>Space Name</t>
  </si>
  <si>
    <t xml:space="preserve">Baseline WH Type 
</t>
  </si>
  <si>
    <t>Total Area (ft²)</t>
  </si>
  <si>
    <t xml:space="preserve">Hot Water Usage Specification
(gal/hr per person)  
</t>
  </si>
  <si>
    <t>Peak Hot Water Usage
(gal/hr)</t>
  </si>
  <si>
    <t>Peak Hot Water Usage
(gal/min)</t>
  </si>
  <si>
    <t>For space types marked with an asterisk (the ‘*’ symbol), the water‑heater type is listed as electric in Appendix 5.4A, sheet ‘2022 SpaceFuncData‑Input.’ However, we modified the value based on CEUS data, which indicates that gas is the primary fuel type.</t>
  </si>
  <si>
    <t>Gas storage</t>
  </si>
  <si>
    <t>Minimum peak hot water usage is 75 gal according to ACM 2025</t>
  </si>
  <si>
    <t xml:space="preserve">Total </t>
  </si>
  <si>
    <t>Electric resistance</t>
  </si>
  <si>
    <t>Design supply temperature (°F)</t>
  </si>
  <si>
    <t>CEC-400-2022-009-CMF-REV2-AP5.4B</t>
  </si>
  <si>
    <t>WH system factor</t>
  </si>
  <si>
    <t>2025 ACM §5.9.2 Rated Capacity</t>
  </si>
  <si>
    <t>Water mass conversion (lb/gal)</t>
  </si>
  <si>
    <t>Reheat multiplier</t>
  </si>
  <si>
    <t>2025 ACM §5.9.2 Storage Volume</t>
  </si>
  <si>
    <t>Climate Zone Water Heater Sizing and Loss Coefficients</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</si>
  <si>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</si>
  <si>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</si>
  <si>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</si>
  <si>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</si>
  <si>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</si>
  <si>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</si>
  <si>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[Title 20, §1605.1 Table F-4; Appendix B: Water Heating Calculation Method]</t>
  </si>
  <si>
    <t xml:space="preserve">Off/On Cycle Loss Coefficient to Ambient Temp </t>
  </si>
  <si>
    <t>Source/Note</t>
  </si>
  <si>
    <t>CZ01</t>
  </si>
  <si>
    <t>Btu/hr</t>
  </si>
  <si>
    <t>Btu/h·°F</t>
  </si>
  <si>
    <t>Required Energy Input: vendor/available catalog size (Market data table).
Storage Volume: standard/available catalog tank size (Market data table).</t>
  </si>
  <si>
    <t>CZ02</t>
  </si>
  <si>
    <t>CZ03</t>
  </si>
  <si>
    <t>CZ04</t>
  </si>
  <si>
    <t>CZ05</t>
  </si>
  <si>
    <t>CZ06</t>
  </si>
  <si>
    <t>CZ07</t>
  </si>
  <si>
    <t>CZ08</t>
  </si>
  <si>
    <t>CZ09</t>
  </si>
  <si>
    <t xml:space="preserve">Market data </t>
  </si>
  <si>
    <t>Catalog gas input (Btu/h)</t>
  </si>
  <si>
    <t>Input source</t>
  </si>
  <si>
    <t>Elec resistance tank (kW)</t>
  </si>
  <si>
    <t>Elec resistance (Btu/h)</t>
  </si>
  <si>
    <t>Catalog gas tank (gal)</t>
  </si>
  <si>
    <t>Tank source</t>
  </si>
  <si>
    <t>Elec tank (gal)</t>
  </si>
  <si>
    <t>Elec tank source</t>
  </si>
  <si>
    <t>Grainger</t>
  </si>
  <si>
    <t>ENERGY STAR</t>
  </si>
  <si>
    <t>Both</t>
  </si>
  <si>
    <t xml:space="preserve">Plug Load Power Density (W/ft²) </t>
  </si>
  <si>
    <t>ReachIn Refrigerator and ReachInFreezer Power (W) - 24/7</t>
  </si>
  <si>
    <t>Refrigerator Power Density (W/ft²)</t>
  </si>
  <si>
    <t>Gas Power Density (Btu/hr-ft²)</t>
  </si>
  <si>
    <t xml:space="preserve"> Others inputs: T24 2025 - Appendix 5.4A: "2022 SpaceFuncData-Input" </t>
  </si>
  <si>
    <t>ReachIn Refrigerator and ReachInFreezer: [PNNL ASHRAE 90.1 2022 SitDown prototype]
Other inputs: 
T24 2025 - Appendix 5.4A: "2022 SpaceFuncData-Input"
Plug load density is confirmed by the findings Plug load and schedules project with CEC, 2025</t>
  </si>
  <si>
    <t>*ReachIn Refrigerator and ReachInFreezer Power is based on PNNL model.  It doesn’t exist in the CPUC model.</t>
  </si>
  <si>
    <t>* Gas load is very low compared to PNNL model (194 Btu/hr-ft2 for Kitchen)</t>
  </si>
  <si>
    <t xml:space="preserve">Refrigerator load will be simulated as equipment load </t>
  </si>
  <si>
    <t>Motion Controlled Luminaires (W)</t>
  </si>
  <si>
    <t>Non-motion Controlled Luminaires (W)</t>
  </si>
  <si>
    <t>Total (W)</t>
  </si>
  <si>
    <t>T24, 2022</t>
  </si>
  <si>
    <t xml:space="preserve">Exterior Lighting </t>
  </si>
  <si>
    <t>Items (Assume LZ2)</t>
  </si>
  <si>
    <t>Assumptions
[2019 Outdoor Lighting CASE Report &amp; PNNL 90.1-2010 TSD]</t>
  </si>
  <si>
    <t>Unit</t>
  </si>
  <si>
    <t>Lighting Power Allowance 
[T24, 2025, Table 140.7-A &amp; 140.7-B]</t>
  </si>
  <si>
    <t>Exterior Lighting Power (W)</t>
  </si>
  <si>
    <t>IWA (Initial Wattage Allowance)</t>
  </si>
  <si>
    <t>(W)</t>
  </si>
  <si>
    <t>Parking area</t>
  </si>
  <si>
    <t xml:space="preserve"> 400 ft² for every parking space 
1 parking space per 250 ft² of gross building area </t>
  </si>
  <si>
    <t>(ft²)</t>
  </si>
  <si>
    <t>(W/ft²)</t>
  </si>
  <si>
    <t>Building Entrance</t>
  </si>
  <si>
    <t>2 building entrance (1 per 10,000 ft² footprint)</t>
  </si>
  <si>
    <t>(count)</t>
  </si>
  <si>
    <t>(W/ea)</t>
  </si>
  <si>
    <t>Hardscape Ornamental Light</t>
  </si>
  <si>
    <t>0.1 ft² per 1 ft² of gross building area for hardscape ornamental light</t>
  </si>
  <si>
    <t>Building façade</t>
  </si>
  <si>
    <t>0.1 W per 1 ft² of facade area 
Façade Area = Perimeter × 0.5 × 10 ft (10 ft is the building height ) * 
The 0.5 factor assumes that only half of the perimeter walls are lit.
-Formula is developed based on the 2019 Outdoor Lighting CASE report</t>
  </si>
  <si>
    <t>Drive up windows</t>
  </si>
  <si>
    <t>1 per 1500 ft² of gross building area</t>
  </si>
  <si>
    <t>Outdoor dining</t>
  </si>
  <si>
    <t>1 ft² per 5 ft² of gross building area</t>
  </si>
  <si>
    <t>Sales canopy</t>
  </si>
  <si>
    <t>0.1 ft² per 1 ft² of gross building area</t>
  </si>
  <si>
    <t>*This row is newly added. The CASE report didn’t include it for 'restaurant' — they probably meant fast food.</t>
  </si>
  <si>
    <t>Motion controlled Luminaires</t>
  </si>
  <si>
    <t>Non-motion-controlled Luminaires</t>
  </si>
  <si>
    <t>TOTAL</t>
  </si>
  <si>
    <t>Perimeter (ft)</t>
  </si>
  <si>
    <t>Total floor area (ft²)</t>
  </si>
  <si>
    <t>Floors</t>
  </si>
  <si>
    <t>Title 24, 2025</t>
  </si>
  <si>
    <t>National Average (EnergyStar Portfolio Manager)</t>
  </si>
  <si>
    <t>CEUS Energy Consumption - Restaurant</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</si>
  <si>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</si>
  <si>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</si>
  <si>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</si>
  <si>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</si>
  <si>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</si>
  <si>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</si>
  <si>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</si>
  <si>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</si>
  <si>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</si>
  <si>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</si>
  <si>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</si>
  <si>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</si>
  <si>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2022 Electricity EUI (kBtu/ft²)</t>
  </si>
  <si>
    <t>CEUS 2022 Gas EUI  (kBtu/ft²)</t>
  </si>
  <si>
    <t>CEUS 2022 Total EUI (kBtu/ft²)</t>
  </si>
  <si>
    <t xml:space="preserve">CEUS 2022 Acceptable EUI Range </t>
  </si>
  <si>
    <t>RetailStripMall</t>
  </si>
  <si>
    <t>Same for all ZIP code</t>
  </si>
  <si>
    <t xml:space="preserve">Ref: CEUS 2022 Report </t>
  </si>
  <si>
    <t xml:space="preserve">And converted FZ level data to CZ level </t>
  </si>
  <si>
    <t>Restaurants have only one category in CEUS data.</t>
  </si>
  <si>
    <t xml:space="preserve">EIA 2018: </t>
  </si>
  <si>
    <t>In CZ 15 Design day gives us coil capacity of 6419 but it was hard sized to 90,000  btu/hr to decrease Heating Unmet hr in Kitchen</t>
  </si>
  <si>
    <t xml:space="preserve">Design day Coil size in CZ15 for V2 is about 250,000! </t>
  </si>
  <si>
    <t>Screenshot of assumption for the national average in the EnergyStar Portfolio Manager website</t>
  </si>
  <si>
    <t>ENERGY STAR Portfolio Manager Upgrade</t>
  </si>
  <si>
    <t>Zone</t>
  </si>
  <si>
    <t>Schedule</t>
  </si>
  <si>
    <t>Type</t>
  </si>
  <si>
    <t>Hour</t>
  </si>
  <si>
    <t>Occupancy</t>
  </si>
  <si>
    <t>PNNL, ASHRAE 90.1, 2022  RestaurantSitDown prototype 
(It has higher occupancy rate during morning compared to T24 2022 - Appendix 5.4B)</t>
  </si>
  <si>
    <t>Weekday</t>
  </si>
  <si>
    <t>Saturday</t>
  </si>
  <si>
    <t>Sunday</t>
  </si>
  <si>
    <t>Lights</t>
  </si>
  <si>
    <r>
      <t xml:space="preserve">T24 2022 - Appendix 5.4B, [Restaurant]
</t>
    </r>
    <r>
      <rPr>
        <sz val="9"/>
        <color rgb="FF00B050"/>
        <rFont val="Arial"/>
        <family val="2"/>
      </rPr>
      <t>Updated based on the equipment schedule from the plug load and schedule project with CEC</t>
    </r>
    <r>
      <rPr>
        <sz val="9"/>
        <color theme="1"/>
        <rFont val="Arial"/>
        <family val="2"/>
      </rPr>
      <t xml:space="preserve">
</t>
    </r>
  </si>
  <si>
    <t>ElecEquipment</t>
  </si>
  <si>
    <t>Plug load and schedules project with CEC, 2025</t>
  </si>
  <si>
    <t>HVACAvail</t>
  </si>
  <si>
    <r>
      <t xml:space="preserve">T24 2022 - Appendix 5.4B , [Restaurant]
</t>
    </r>
    <r>
      <rPr>
        <sz val="9"/>
        <color rgb="FF00B050"/>
        <rFont val="Arial"/>
        <family val="2"/>
      </rPr>
      <t xml:space="preserve">Updated based on the adopted PNNL occupancy 
</t>
    </r>
  </si>
  <si>
    <t>ServiceHotWater</t>
  </si>
  <si>
    <r>
      <t xml:space="preserve">T24 2022 - Appendix 5.4B, [Restaurant]
</t>
    </r>
    <r>
      <rPr>
        <sz val="9"/>
        <color rgb="FF00B050"/>
        <rFont val="Arial"/>
        <family val="2"/>
      </rPr>
      <t xml:space="preserve">
Updated based on the adopted PNNL occupancy </t>
    </r>
  </si>
  <si>
    <r>
      <t xml:space="preserve">T24 2022 - Appendix 5.4B, [Restaurant]
</t>
    </r>
    <r>
      <rPr>
        <sz val="9"/>
        <color rgb="FF00B050"/>
        <rFont val="Arial"/>
        <family val="2"/>
      </rPr>
      <t xml:space="preserve">Updated based on the adopted PNNL occupancy 
</t>
    </r>
    <r>
      <rPr>
        <sz val="9"/>
        <color theme="1"/>
        <rFont val="Arial"/>
        <family val="2"/>
      </rPr>
      <t xml:space="preserve">
</t>
    </r>
  </si>
  <si>
    <t>Refrigeration</t>
  </si>
  <si>
    <t>T24 2022 - Appendix 5.4B, [Restaurant]</t>
  </si>
  <si>
    <t>HtgSetpt</t>
  </si>
  <si>
    <t>ClgSetpt</t>
  </si>
  <si>
    <t>occupancy</t>
  </si>
  <si>
    <t>ExhaustHoodEqualOrLessThan5000cfm</t>
  </si>
  <si>
    <t>ExhaustHoodGreaterThan 5000cfm</t>
  </si>
  <si>
    <r>
      <t xml:space="preserve">T24 2022 - Appendix 5.4B,  [Restaurant]
</t>
    </r>
    <r>
      <rPr>
        <sz val="9"/>
        <color rgb="FF00B050"/>
        <rFont val="Arial"/>
        <family val="2"/>
      </rPr>
      <t xml:space="preserve">
Updated based on the adopted PNNL occupancy</t>
    </r>
  </si>
  <si>
    <t>GasEquipment</t>
  </si>
  <si>
    <r>
      <t xml:space="preserve">T24 2022 - Appendix 5.4B,  [Restaurant]
</t>
    </r>
    <r>
      <rPr>
        <sz val="9"/>
        <color rgb="FF00B050"/>
        <rFont val="Arial"/>
        <family val="2"/>
      </rPr>
      <t>Updated based on the equipment schedule from the plug load and schedule project with CEC</t>
    </r>
  </si>
  <si>
    <t>Thermostat Setpoints of PNNL 09.1, 2022 Restaurant prototype and HVAC availability schedule of CEC Restaurant prototype</t>
  </si>
  <si>
    <t>Other</t>
  </si>
  <si>
    <t>ExtLightingNonMotionCtrl</t>
  </si>
  <si>
    <t>ExtLightingMotionCtrl</t>
  </si>
  <si>
    <t>DiningAreaPeopleActivityLevel</t>
  </si>
  <si>
    <t>Based on Activity level schedules in  CEC Prototypes and assumed spaces for Basement</t>
  </si>
  <si>
    <t>KitchenPeopleActivityLevel</t>
  </si>
  <si>
    <t>T24 2022</t>
  </si>
  <si>
    <t xml:space="preserve">ComNET </t>
  </si>
  <si>
    <t>Plug load and schedules project</t>
  </si>
  <si>
    <t>CPUC</t>
  </si>
  <si>
    <t>PNNL90.1 2022</t>
  </si>
  <si>
    <t>Proposed</t>
  </si>
  <si>
    <t>COMNET/Building_Space_Specific_Loads/dining__cafeteria_fast_food/kitchen/space_specific_schedules.json at master · pnnl/COMNET · GitHub</t>
  </si>
  <si>
    <t>COMNET/Building_Space_Specific_Loads/dining__cafeteria_fast_food/dining_cafeteria_fast_food/space_specific_schedules.json at master · pnnl/COMNET · GitHub</t>
  </si>
  <si>
    <t>Equipment</t>
  </si>
  <si>
    <t>All zones</t>
  </si>
  <si>
    <t>Lighting</t>
  </si>
  <si>
    <t>0.05,</t>
  </si>
  <si>
    <t>lighting</t>
  </si>
  <si>
    <t>RestaurantFastFood Equipment</t>
  </si>
  <si>
    <t xml:space="preserve">T24 2022 - Appendix 5.4B
</t>
  </si>
  <si>
    <t>RestaurantFastFood Occupancy</t>
  </si>
  <si>
    <t>RestaurantFastFoodLighting</t>
  </si>
  <si>
    <t>RestaurantFastFood HVAC availability</t>
  </si>
  <si>
    <t>RestaurantFastFood Service Hot Water</t>
  </si>
  <si>
    <t>RestaurantFastFood Infiltration</t>
  </si>
  <si>
    <t>Exhaust Hood Equal Or Less Than 5000cfm</t>
  </si>
  <si>
    <t>Exhaust Hood Greater Than 5000cfm</t>
  </si>
  <si>
    <t>Gas Equipment</t>
  </si>
  <si>
    <t>;</t>
  </si>
  <si>
    <t>Vintage Bin</t>
  </si>
  <si>
    <t>Pre-1978</t>
  </si>
  <si>
    <t>Ref: CEUS 2022 dataset: Restaurant group</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</si>
  <si>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</si>
  <si>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</si>
  <si>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</si>
  <si>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</si>
  <si>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</si>
  <si>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</si>
  <si>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</si>
  <si>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</si>
  <si>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</si>
  <si>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</si>
  <si>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</si>
  <si>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</si>
  <si>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</si>
  <si>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</si>
  <si>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</si>
  <si>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</si>
  <si>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</si>
  <si>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</si>
  <si>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</si>
  <si>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Convention, Conference, Multipurpose and Meeting Area</t>
  </si>
  <si>
    <t>Copy Room</t>
  </si>
  <si>
    <t>Corridor Area</t>
  </si>
  <si>
    <t>Dining Area (Cafeteria/Fast Food)</t>
  </si>
  <si>
    <t>Dining Area (Family and Leisure)</t>
  </si>
  <si>
    <t>Electrical, Mechanical, Telephone Rooms</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</si>
  <si>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</si>
  <si>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</si>
  <si>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</si>
  <si>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</si>
  <si>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</si>
  <si>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</si>
  <si>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</si>
  <si>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</si>
  <si>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</si>
  <si>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</si>
  <si>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</si>
  <si>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</si>
  <si>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Kitchenette or Residential Kitchen</t>
  </si>
  <si>
    <t>Laboratory, Scientific</t>
  </si>
  <si>
    <t xml:space="preserve">Laundry Area </t>
  </si>
  <si>
    <t>Library (Reading Area)</t>
  </si>
  <si>
    <t>Library (Stacks Area)</t>
  </si>
  <si>
    <t>Lobby, Main Entry</t>
  </si>
  <si>
    <t>Locker Room</t>
  </si>
  <si>
    <t>Lounge, Breakroom, or Waiting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</si>
  <si>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</si>
  <si>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</si>
  <si>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</si>
  <si>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</si>
  <si>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</si>
  <si>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(&gt;250 square feet)</t>
  </si>
  <si>
    <t>Office Area (&lt;250 square feet)</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</si>
  <si>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</si>
  <si>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</si>
  <si>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</si>
  <si>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</si>
  <si>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</si>
  <si>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</si>
  <si>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</si>
  <si>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Restrooms</t>
  </si>
  <si>
    <t>Stairwell</t>
  </si>
  <si>
    <t>Storage, Commercial/Industrial (Warehouse)</t>
  </si>
  <si>
    <t>Storage, Commercial/Industrial (Refrigerated)</t>
  </si>
  <si>
    <t>Storage, Commercial/Industrial (Shipping &amp; Handling)</t>
  </si>
  <si>
    <t>Storage (General)</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</si>
  <si>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</si>
  <si>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</si>
  <si>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</si>
  <si>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</si>
  <si>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</si>
  <si>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</si>
  <si>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</si>
  <si>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</si>
  <si>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</si>
  <si>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</si>
  <si>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</si>
  <si>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</si>
  <si>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Reception Area</t>
  </si>
  <si>
    <t>Elevator</t>
  </si>
  <si>
    <t>Plenum</t>
  </si>
  <si>
    <t>IT Room (EPD 12)</t>
  </si>
  <si>
    <t>Computer Room (EPD 20)</t>
  </si>
  <si>
    <t>Server Room (EPD 45)</t>
  </si>
  <si>
    <t>NORESCO, Updated September 2026</t>
  </si>
  <si>
    <t>Fan power formula: PNNL 20405, 2010, section 5.2.2.5
TSP and fan efficiency: PNNL 20405, 2010, Table 5.11, 90.1-04ac values
Motor and drive efficiency: ASHRAE 90.1, 2004, Table 10.8</t>
  </si>
  <si>
    <t xml:space="preserve">*CPUC considers Boiler in the Dining space for heating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</si>
</sst>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0.0%"/>
    <numFmt numFmtId="165" formatCode="0.0"/>
    <numFmt numFmtId="166" formatCode="#,##0.0"/>
    <numFmt numFmtId="167" formatCode="0.0000"/>
    <numFmt numFmtId="168" formatCode="0.000"/>
    <numFmt numFmtId="169" formatCode="_(* #,##0_);_(* \(#,##0\);_(* &quot;-&quot;??_);_(@_)"/>
    <numFmt numFmtId="170" formatCode="#,##0;\-0;[Color15]0"/>
  </numFmts>
  <fonts count="73" x14ac:knownFonts="1">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1"/>
      <color theme="0"/>
      <name val="Calibri"/>
      <family val="2"/>
      <scheme val="minor"/>
    </font>
    <font>
      <sz val="10"/>
      <color indexed="8"/>
      <name val="Arial"/>
      <family val="2"/>
    </font>
    <font>
      <sz val="11"/>
      <color theme="0"/>
      <name val="Calibri"/>
      <family val="2"/>
      <scheme val="minor"/>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9"/>
      <color theme="1"/>
      <name val="Arial"/>
      <family val="2"/>
    </font>
    <font>
      <sz val="10"/>
      <color rgb="FF000000"/>
      <name val="Arial"/>
      <family val="2"/>
    </font>
    <font>
      <b/>
      <sz val="10"/>
      <color rgb="FF000000"/>
      <name val="Arial"/>
      <family val="2"/>
    </font>
    <font>
      <b/>
      <sz val="9"/>
      <color theme="0"/>
      <name val="Arial"/>
      <family val="2"/>
    </font>
    <font>
      <sz val="11"/>
      <color theme="1"/>
      <name val="Arial"/>
      <family val="2"/>
    </font>
    <font>
      <b/>
      <sz val="14"/>
      <color theme="1"/>
      <name val="Arial"/>
      <family val="2"/>
    </font>
    <font>
      <sz val="11"/>
      <color theme="0"/>
      <name val="Arial"/>
      <family val="2"/>
    </font>
    <font>
      <sz val="12"/>
      <color theme="1"/>
      <name val="Arial"/>
      <family val="2"/>
    </font>
    <font>
      <b/>
      <sz val="11"/>
      <color rgb="FF0000CC"/>
      <name val="Arial"/>
      <family val="2"/>
    </font>
    <font>
      <sz val="11"/>
      <color rgb="FF000000"/>
      <name val="Arial"/>
      <family val="2"/>
    </font>
    <font>
      <sz val="10"/>
      <color rgb="FF0070C0"/>
      <name val="Arial"/>
      <family val="2"/>
    </font>
    <font>
      <sz val="11"/>
      <color rgb="FF000000"/>
      <name val="Arial"/>
      <family val="2"/>
    </font>
    <font>
      <b/>
      <sz val="12"/>
      <color rgb="FFFFFFFF"/>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0000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000000"/>
      <name val="Calibri"/>
      <family val="2"/>
      <scheme val="minor"/>
    </font>
    <font>
      <i/>
      <sz val="11"/>
      <color rgb="FF7F7F7F"/>
      <name val="Calibri"/>
      <family val="2"/>
      <scheme val="minor"/>
    </font>
    <font>
      <b/>
      <sz val="18"/>
      <color theme="3"/>
      <name val="Calibri Light"/>
      <family val="2"/>
      <scheme val="major"/>
    </font>
    <font>
      <sz val="11"/>
      <color rgb="FF9C6500"/>
      <name val="Calibri"/>
      <family val="2"/>
      <scheme val="minor"/>
    </font>
    <font>
      <sz val="9"/>
      <name val="Arial"/>
      <family val="2"/>
    </font>
    <font>
      <sz val="9"/>
      <color rgb="FF00B050"/>
      <name val="Arial"/>
      <family val="2"/>
    </font>
    <font>
      <sz val="11"/>
      <name val="Arial"/>
      <family val="2"/>
    </font>
    <font>
      <sz val="11"/>
      <color rgb="FF000000"/>
      <name val="Arial"/>
      <family val="2"/>
    </font>
    <font>
      <sz val="9"/>
      <color rgb="FF000000"/>
      <name val="Arial"/>
      <family val="2"/>
    </font>
    <font>
      <sz val="11"/>
      <name val="Aptos Narrow"/>
      <family val="2"/>
    </font>
    <font>
      <sz val="10"/>
      <color rgb="FF92D050"/>
      <name val="Arial"/>
      <family val="2"/>
    </font>
    <font>
      <sz val="11"/>
      <name val="Calibri"/>
      <family val="2"/>
      <scheme val="minor"/>
    </font>
    <font>
      <b/>
      <sz val="11"/>
      <name val="Arial"/>
      <family val="2"/>
    </font>
    <font>
      <b/>
      <sz val="11"/>
      <color theme="1"/>
      <name val="Arial"/>
      <family val="2"/>
    </font>
    <font>
      <sz val="12"/>
      <color rgb="FF000000"/>
      <name val="Arial"/>
      <family val="2"/>
    </font>
    <font>
      <b/>
      <sz val="11"/>
      <color rgb="FFFFFFFF"/>
      <name val="Arial"/>
      <family val="2"/>
    </font>
    <font>
      <sz val="9"/>
      <color rgb="FF0070C0"/>
      <name val="Arial"/>
      <family val="2"/>
    </font>
    <font>
      <sz val="9"/>
      <color rgb="FF000000"/>
      <name val="Arial"/>
      <family val="2"/>
    </font>
    <font>
      <sz val="10"/>
      <color rgb="FF000000"/>
      <name val="Calibri"/>
      <family val="2"/>
      <scheme val="minor"/>
    </font>
    <font>
      <b/>
      <sz val="11"/>
      <color rgb="FF000000"/>
      <name val="Arial"/>
      <family val="2"/>
    </font>
    <font>
      <sz val="11"/>
      <color rgb="FF000000"/>
      <name val="Calibri"/>
      <family val="2"/>
    </font>
    <font>
      <sz val="9"/>
      <color rgb="FF2E9F17"/>
      <name val="Arial"/>
      <family val="2"/>
    </font>
    <font>
      <sz val="11"/>
      <color theme="1"/>
      <name val="Calibri"/>
      <family val="2"/>
    </font>
    <font>
      <b/>
      <sz val="10"/>
      <color rgb="FF000000"/>
      <name val="Arial"/>
      <family val="2"/>
    </font>
    <font>
      <u/>
      <sz val="10"/>
      <color theme="10"/>
      <name val="Calibri"/>
      <family val="2"/>
      <scheme val="minor"/>
    </font>
    <font>
      <sz val="10"/>
      <color rgb="FFFFFFFF"/>
      <name val="Arial"/>
      <family val="2"/>
    </font>
    <font>
      <sz val="10"/>
      <color theme="1"/>
      <name val="Arial"/>
      <family val="2"/>
    </font>
    <font>
      <sz val="10"/>
      <color rgb="FF000000"/>
      <name val="Arial"/>
      <family val="2"/>
    </font>
    <font>
      <b/>
      <sz val="11"/>
      <color rgb="FF000000"/>
      <name val="Arial"/>
      <family val="2"/>
    </font>
  </fonts>
  <fills count="65">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rgb="FFD9E1F2"/>
        <bgColor rgb="FF000000"/>
      </patternFill>
    </fill>
    <fill>
      <patternFill patternType="solid">
        <fgColor rgb="FF203764"/>
        <bgColor rgb="FF000000"/>
      </patternFill>
    </fill>
    <fill>
      <patternFill patternType="solid">
        <fgColor theme="0" tint="-0.3499862666707357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2EFDA"/>
        <bgColor rgb="FF000000"/>
      </patternFill>
    </fill>
    <fill>
      <patternFill patternType="solid">
        <fgColor rgb="FFFFFFFF"/>
        <bgColor rgb="FF000000"/>
      </patternFill>
    </fill>
    <fill>
      <patternFill patternType="solid">
        <fgColor rgb="FFCCCCFF"/>
        <bgColor indexed="64"/>
      </patternFill>
    </fill>
    <fill>
      <patternFill patternType="solid">
        <fgColor rgb="FFF2F2F2"/>
        <bgColor rgb="FF000000"/>
      </patternFill>
    </fill>
    <fill>
      <patternFill patternType="solid">
        <fgColor rgb="FFC6E0B4"/>
        <bgColor rgb="FF000000"/>
      </patternFill>
    </fill>
    <fill>
      <patternFill patternType="solid">
        <fgColor rgb="FFB4C6E7"/>
        <bgColor rgb="FF000000"/>
      </patternFill>
    </fill>
    <fill>
      <patternFill patternType="solid">
        <fgColor rgb="FFDFD1E1"/>
        <bgColor indexed="64"/>
      </patternFill>
    </fill>
    <fill>
      <patternFill patternType="solid">
        <fgColor rgb="FFEFE8F0"/>
        <bgColor indexed="64"/>
      </patternFill>
    </fill>
    <fill>
      <patternFill patternType="solid">
        <fgColor rgb="FFF1EAF2"/>
        <bgColor indexed="64"/>
      </patternFill>
    </fill>
    <fill>
      <patternFill patternType="solid">
        <fgColor rgb="FFD6DCE4"/>
        <bgColor rgb="FF000000"/>
      </patternFill>
    </fill>
    <fill>
      <patternFill patternType="solid">
        <fgColor rgb="FF203864"/>
      </patternFill>
    </fill>
    <fill>
      <patternFill patternType="solid">
        <fgColor rgb="FFD9E1F2"/>
      </patternFill>
    </fill>
    <fill>
      <patternFill patternType="solid">
        <fgColor rgb="FFEAF1F8"/>
      </patternFill>
    </fill>
    <fill>
      <patternFill patternType="solid">
        <fgColor theme="8" tint="0.79998168889431442"/>
        <bgColor indexed="64"/>
      </patternFill>
    </fill>
    <fill>
      <patternFill patternType="solid">
        <fgColor rgb="FFF5F8FA"/>
        <bgColor indexed="64"/>
      </patternFill>
    </fill>
    <fill>
      <patternFill patternType="solid">
        <fgColor rgb="FFBFBFBF"/>
        <bgColor rgb="FF000000"/>
      </patternFill>
    </fill>
    <fill>
      <patternFill patternType="solid">
        <fgColor rgb="FFA6A6A6"/>
        <bgColor rgb="FF000000"/>
      </patternFill>
    </fill>
    <fill>
      <patternFill patternType="solid">
        <fgColor rgb="FFA6A6A6"/>
        <bgColor indexed="64"/>
      </patternFill>
    </fill>
    <fill>
      <patternFill patternType="solid">
        <fgColor rgb="FF919090"/>
        <bgColor indexed="64"/>
      </patternFill>
    </fill>
    <fill>
      <patternFill patternType="solid">
        <fgColor rgb="FFF2F2F2"/>
        <bgColor indexed="64"/>
      </patternFill>
    </fill>
    <fill>
      <patternFill patternType="solid">
        <fgColor rgb="FFC2BCBC"/>
        <bgColor indexed="64"/>
      </patternFill>
    </fill>
  </fills>
  <borders count="270">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n">
        <color indexed="64"/>
      </left>
      <right style="thin">
        <color indexed="64"/>
      </right>
      <top style="thin">
        <color indexed="64"/>
      </top>
      <bottom style="medium">
        <color indexed="64"/>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indexed="64"/>
      </left>
      <right style="medium">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medium">
        <color indexed="64"/>
      </left>
      <right style="thin">
        <color theme="1" tint="0.499984740745262"/>
      </right>
      <top style="medium">
        <color indexed="64"/>
      </top>
      <bottom style="thin">
        <color theme="1" tint="0.499984740745262"/>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right style="thin">
        <color theme="1" tint="0.499984740745262"/>
      </right>
      <top style="medium">
        <color indexed="64"/>
      </top>
      <bottom style="thin">
        <color theme="1" tint="0.499984740745262"/>
      </bottom>
      <diagonal/>
    </border>
    <border>
      <left style="medium">
        <color indexed="64"/>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medium">
        <color indexed="64"/>
      </left>
      <right style="thin">
        <color theme="1" tint="0.499984740745262"/>
      </right>
      <top style="thin">
        <color theme="1" tint="0.499984740745262"/>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medium">
        <color indexed="64"/>
      </right>
      <top style="thin">
        <color theme="1" tint="0.499984740745262"/>
      </top>
      <bottom/>
      <diagonal/>
    </border>
    <border>
      <left/>
      <right style="thin">
        <color theme="1" tint="0.499984740745262"/>
      </right>
      <top style="thin">
        <color theme="1" tint="0.499984740745262"/>
      </top>
      <bottom/>
      <diagonal/>
    </border>
    <border>
      <left style="medium">
        <color indexed="64"/>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right style="thin">
        <color theme="1" tint="0.499984740745262"/>
      </right>
      <top style="thin">
        <color theme="1" tint="0.499984740745262"/>
      </top>
      <bottom style="medium">
        <color indexed="64"/>
      </bottom>
      <diagonal/>
    </border>
    <border>
      <left style="medium">
        <color indexed="64"/>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medium">
        <color indexed="64"/>
      </right>
      <top/>
      <bottom style="thin">
        <color theme="1" tint="0.499984740745262"/>
      </bottom>
      <diagonal/>
    </border>
    <border>
      <left/>
      <right style="thin">
        <color theme="1" tint="0.499984740745262"/>
      </right>
      <top/>
      <bottom style="thin">
        <color theme="1" tint="0.499984740745262"/>
      </bottom>
      <diagonal/>
    </border>
    <border>
      <left style="medium">
        <color indexed="64"/>
      </left>
      <right/>
      <top/>
      <bottom/>
      <diagonal/>
    </border>
    <border>
      <left/>
      <right style="medium">
        <color indexed="64"/>
      </right>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theme="1" tint="4.9989318521683403E-2"/>
      </left>
      <right style="thin">
        <color theme="1" tint="4.9989318521683403E-2"/>
      </right>
      <top style="thin">
        <color theme="1" tint="4.9989318521683403E-2"/>
      </top>
      <bottom style="thin">
        <color theme="1" tint="4.9989318521683403E-2"/>
      </bottom>
      <diagonal/>
    </border>
    <border>
      <left style="thin">
        <color theme="1"/>
      </left>
      <right style="thin">
        <color theme="1"/>
      </right>
      <top style="thin">
        <color theme="1"/>
      </top>
      <bottom/>
      <diagonal/>
    </border>
    <border>
      <left style="thin">
        <color theme="1" tint="0.34998626667073579"/>
      </left>
      <right style="thin">
        <color theme="1" tint="0.34998626667073579"/>
      </right>
      <top style="thin">
        <color theme="1" tint="0.34998626667073579"/>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theme="1" tint="4.9989318521683403E-2"/>
      </right>
      <top style="thin">
        <color theme="1" tint="4.9989318521683403E-2"/>
      </top>
      <bottom style="thin">
        <color theme="1" tint="4.9989318521683403E-2"/>
      </bottom>
      <diagonal/>
    </border>
    <border>
      <left style="thin">
        <color theme="1" tint="4.9989318521683403E-2"/>
      </left>
      <right/>
      <top style="thin">
        <color theme="1" tint="4.9989318521683403E-2"/>
      </top>
      <bottom style="thin">
        <color theme="1" tint="4.9989318521683403E-2"/>
      </bottom>
      <diagonal/>
    </border>
    <border>
      <left/>
      <right/>
      <top style="thin">
        <color theme="1" tint="4.9989318521683403E-2"/>
      </top>
      <bottom style="thin">
        <color theme="1" tint="4.9989318521683403E-2"/>
      </bottom>
      <diagonal/>
    </border>
    <border>
      <left/>
      <right/>
      <top style="thin">
        <color theme="1" tint="0.34998626667073579"/>
      </top>
      <bottom/>
      <diagonal/>
    </border>
    <border>
      <left/>
      <right style="thin">
        <color theme="1" tint="0.34998626667073579"/>
      </right>
      <top style="thin">
        <color theme="1" tint="0.34998626667073579"/>
      </top>
      <bottom/>
      <diagonal/>
    </border>
    <border>
      <left/>
      <right style="thin">
        <color theme="1" tint="0.34998626667073579"/>
      </right>
      <top/>
      <bottom/>
      <diagonal/>
    </border>
    <border>
      <left/>
      <right/>
      <top/>
      <bottom style="thin">
        <color theme="1" tint="0.34998626667073579"/>
      </bottom>
      <diagonal/>
    </border>
    <border>
      <left style="thin">
        <color rgb="FF595959"/>
      </left>
      <right style="thin">
        <color rgb="FF595959"/>
      </right>
      <top style="thin">
        <color rgb="FF595959"/>
      </top>
      <bottom style="thin">
        <color rgb="FF595959"/>
      </bottom>
      <diagonal/>
    </border>
    <border>
      <left style="thin">
        <color rgb="FF595959"/>
      </left>
      <right/>
      <top style="thin">
        <color rgb="FF595959"/>
      </top>
      <bottom/>
      <diagonal/>
    </border>
    <border>
      <left/>
      <right style="thin">
        <color rgb="FF595959"/>
      </right>
      <top style="thin">
        <color rgb="FF595959"/>
      </top>
      <bottom/>
      <diagonal/>
    </border>
    <border>
      <left style="thin">
        <color rgb="FF595959"/>
      </left>
      <right style="thin">
        <color rgb="FF595959"/>
      </right>
      <top style="thin">
        <color rgb="FF595959"/>
      </top>
      <bottom/>
      <diagonal/>
    </border>
    <border>
      <left style="thin">
        <color rgb="FF595959"/>
      </left>
      <right/>
      <top style="thin">
        <color rgb="FF595959"/>
      </top>
      <bottom style="thin">
        <color rgb="FF595959"/>
      </bottom>
      <diagonal/>
    </border>
    <border>
      <left/>
      <right style="thin">
        <color rgb="FF595959"/>
      </right>
      <top style="thin">
        <color rgb="FF595959"/>
      </top>
      <bottom style="thin">
        <color rgb="FF595959"/>
      </bottom>
      <diagonal/>
    </border>
    <border>
      <left/>
      <right/>
      <top/>
      <bottom style="thin">
        <color rgb="FF595959"/>
      </bottom>
      <diagonal/>
    </border>
    <border>
      <left style="thin">
        <color rgb="FF595959"/>
      </left>
      <right/>
      <top/>
      <bottom/>
      <diagonal/>
    </border>
    <border>
      <left style="thin">
        <color theme="1" tint="0.34998626667073579"/>
      </left>
      <right style="thin">
        <color theme="1" tint="0.34998626667073579"/>
      </right>
      <top/>
      <bottom/>
      <diagonal/>
    </border>
    <border>
      <left style="thin">
        <color theme="1" tint="0.34998626667073579"/>
      </left>
      <right style="thin">
        <color theme="1" tint="0.34998626667073579"/>
      </right>
      <top/>
      <bottom style="thin">
        <color theme="1" tint="0.34998626667073579"/>
      </bottom>
      <diagonal/>
    </border>
    <border>
      <left style="thin">
        <color theme="1"/>
      </left>
      <right/>
      <top style="thin">
        <color theme="1"/>
      </top>
      <bottom/>
      <diagonal/>
    </border>
    <border>
      <left style="thin">
        <color indexed="64"/>
      </left>
      <right/>
      <top/>
      <bottom style="thin">
        <color theme="1" tint="0.34998626667073579"/>
      </bottom>
      <diagonal/>
    </border>
    <border>
      <left style="medium">
        <color theme="1"/>
      </left>
      <right style="thin">
        <color theme="1" tint="0.499984740745262"/>
      </right>
      <top style="medium">
        <color theme="1"/>
      </top>
      <bottom style="thin">
        <color theme="1" tint="0.499984740745262"/>
      </bottom>
      <diagonal/>
    </border>
    <border>
      <left style="thin">
        <color theme="1" tint="0.499984740745262"/>
      </left>
      <right style="thin">
        <color theme="1" tint="0.499984740745262"/>
      </right>
      <top style="medium">
        <color theme="1"/>
      </top>
      <bottom style="thin">
        <color theme="1" tint="0.499984740745262"/>
      </bottom>
      <diagonal/>
    </border>
    <border>
      <left style="thin">
        <color theme="1" tint="0.499984740745262"/>
      </left>
      <right style="medium">
        <color theme="1"/>
      </right>
      <top style="medium">
        <color theme="1"/>
      </top>
      <bottom style="thin">
        <color theme="1" tint="0.499984740745262"/>
      </bottom>
      <diagonal/>
    </border>
    <border>
      <left style="medium">
        <color theme="1"/>
      </left>
      <right style="thin">
        <color theme="1" tint="0.499984740745262"/>
      </right>
      <top style="thin">
        <color theme="1" tint="0.499984740745262"/>
      </top>
      <bottom style="thin">
        <color theme="1" tint="0.499984740745262"/>
      </bottom>
      <diagonal/>
    </border>
    <border>
      <left style="thin">
        <color theme="1" tint="0.499984740745262"/>
      </left>
      <right style="medium">
        <color theme="1"/>
      </right>
      <top style="thin">
        <color theme="1" tint="0.499984740745262"/>
      </top>
      <bottom style="thin">
        <color theme="1" tint="0.499984740745262"/>
      </bottom>
      <diagonal/>
    </border>
    <border>
      <left style="medium">
        <color theme="1"/>
      </left>
      <right style="thin">
        <color theme="1" tint="0.499984740745262"/>
      </right>
      <top style="thin">
        <color theme="1" tint="0.499984740745262"/>
      </top>
      <bottom style="medium">
        <color theme="1"/>
      </bottom>
      <diagonal/>
    </border>
    <border>
      <left style="thin">
        <color theme="1" tint="0.499984740745262"/>
      </left>
      <right style="thin">
        <color theme="1" tint="0.499984740745262"/>
      </right>
      <top style="thin">
        <color theme="1" tint="0.499984740745262"/>
      </top>
      <bottom style="medium">
        <color theme="1"/>
      </bottom>
      <diagonal/>
    </border>
    <border>
      <left style="thin">
        <color theme="1" tint="0.499984740745262"/>
      </left>
      <right style="medium">
        <color theme="1"/>
      </right>
      <top style="thin">
        <color theme="1" tint="0.499984740745262"/>
      </top>
      <bottom style="medium">
        <color theme="1"/>
      </bottom>
      <diagonal/>
    </border>
    <border>
      <left style="medium">
        <color theme="1"/>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style="medium">
        <color theme="1"/>
      </right>
      <top/>
      <bottom style="medium">
        <color theme="1"/>
      </bottom>
      <diagonal/>
    </border>
    <border>
      <left/>
      <right/>
      <top style="medium">
        <color theme="1"/>
      </top>
      <bottom/>
      <diagonal/>
    </border>
    <border>
      <left/>
      <right/>
      <top/>
      <bottom style="medium">
        <color theme="1"/>
      </bottom>
      <diagonal/>
    </border>
    <border>
      <left style="thin">
        <color theme="1"/>
      </left>
      <right/>
      <top/>
      <bottom/>
      <diagonal/>
    </border>
    <border>
      <left style="thin">
        <color theme="1" tint="0.499984740745262"/>
      </left>
      <right style="thin">
        <color theme="1" tint="0.499984740745262"/>
      </right>
      <top/>
      <bottom/>
      <diagonal/>
    </border>
    <border>
      <left/>
      <right style="thin">
        <color theme="1"/>
      </right>
      <top/>
      <bottom style="thin">
        <color theme="1"/>
      </bottom>
      <diagonal/>
    </border>
    <border>
      <left style="thin">
        <color theme="1" tint="0.499984740745262"/>
      </left>
      <right style="thin">
        <color theme="1" tint="0.499984740745262"/>
      </right>
      <top style="medium">
        <color theme="1"/>
      </top>
      <bottom/>
      <diagonal/>
    </border>
    <border>
      <left style="thin">
        <color theme="1" tint="0.499984740745262"/>
      </left>
      <right style="thin">
        <color theme="1" tint="0.499984740745262"/>
      </right>
      <top/>
      <bottom style="medium">
        <color theme="1"/>
      </bottom>
      <diagonal/>
    </border>
    <border>
      <left/>
      <right/>
      <top style="thin">
        <color theme="1"/>
      </top>
      <bottom/>
      <diagonal/>
    </border>
    <border>
      <left/>
      <right style="thin">
        <color theme="1"/>
      </right>
      <top style="thin">
        <color theme="1"/>
      </top>
      <bottom/>
      <diagonal/>
    </border>
    <border>
      <left/>
      <right style="thin">
        <color theme="1"/>
      </right>
      <top/>
      <bottom/>
      <diagonal/>
    </border>
    <border>
      <left style="thin">
        <color theme="1"/>
      </left>
      <right/>
      <top/>
      <bottom style="thin">
        <color theme="1"/>
      </bottom>
      <diagonal/>
    </border>
    <border>
      <left style="thin">
        <color theme="1" tint="0.499984740745262"/>
      </left>
      <right style="medium">
        <color indexed="64"/>
      </right>
      <top style="medium">
        <color theme="1"/>
      </top>
      <bottom style="thin">
        <color theme="1" tint="0.499984740745262"/>
      </bottom>
      <diagonal/>
    </border>
    <border>
      <left/>
      <right style="thin">
        <color theme="1"/>
      </right>
      <top style="medium">
        <color theme="1"/>
      </top>
      <bottom/>
      <diagonal/>
    </border>
    <border>
      <left style="thin">
        <color theme="1" tint="0.499984740745262"/>
      </left>
      <right style="medium">
        <color indexed="64"/>
      </right>
      <top style="thin">
        <color theme="1" tint="0.499984740745262"/>
      </top>
      <bottom style="medium">
        <color theme="1"/>
      </bottom>
      <diagonal/>
    </border>
    <border>
      <left/>
      <right style="thin">
        <color theme="1"/>
      </right>
      <top/>
      <bottom style="medium">
        <color theme="1"/>
      </bottom>
      <diagonal/>
    </border>
    <border>
      <left style="thin">
        <color rgb="FF000000"/>
      </left>
      <right/>
      <top style="thin">
        <color rgb="FF000000"/>
      </top>
      <bottom/>
      <diagonal/>
    </border>
    <border>
      <left style="thin">
        <color theme="1" tint="0.499984740745262"/>
      </left>
      <right style="thin">
        <color indexed="64"/>
      </right>
      <top/>
      <bottom/>
      <diagonal/>
    </border>
    <border>
      <left/>
      <right style="thin">
        <color theme="1" tint="0.499984740745262"/>
      </right>
      <top/>
      <bottom/>
      <diagonal/>
    </border>
    <border>
      <left style="thin">
        <color theme="1"/>
      </left>
      <right style="thin">
        <color theme="1" tint="0.499984740745262"/>
      </right>
      <top style="thin">
        <color theme="1" tint="0.499984740745262"/>
      </top>
      <bottom style="thin">
        <color theme="1"/>
      </bottom>
      <diagonal/>
    </border>
    <border>
      <left style="thin">
        <color rgb="FF000000"/>
      </left>
      <right style="thin">
        <color theme="1" tint="0.499984740745262"/>
      </right>
      <top style="thin">
        <color rgb="FF000000"/>
      </top>
      <bottom/>
      <diagonal/>
    </border>
    <border>
      <left style="thin">
        <color theme="1" tint="0.499984740745262"/>
      </left>
      <right style="thin">
        <color theme="1" tint="0.499984740745262"/>
      </right>
      <top style="thin">
        <color theme="1" tint="0.499984740745262"/>
      </top>
      <bottom style="thin">
        <color indexed="64"/>
      </bottom>
      <diagonal/>
    </border>
    <border>
      <left/>
      <right style="thin">
        <color theme="1" tint="0.249977111117893"/>
      </right>
      <top/>
      <bottom style="thin">
        <color theme="1" tint="0.249977111117893"/>
      </bottom>
      <diagonal/>
    </border>
    <border>
      <left/>
      <right style="thin">
        <color theme="1"/>
      </right>
      <top/>
      <bottom style="thin">
        <color indexed="64"/>
      </bottom>
      <diagonal/>
    </border>
    <border>
      <left/>
      <right style="thin">
        <color theme="1"/>
      </right>
      <top style="thin">
        <color theme="1" tint="0.499984740745262"/>
      </top>
      <bottom style="thin">
        <color theme="1"/>
      </bottom>
      <diagonal/>
    </border>
    <border>
      <left style="thin">
        <color theme="1" tint="0.499984740745262"/>
      </left>
      <right style="thin">
        <color theme="1"/>
      </right>
      <top/>
      <bottom/>
      <diagonal/>
    </border>
    <border>
      <left style="thin">
        <color indexed="64"/>
      </left>
      <right style="thin">
        <color indexed="64"/>
      </right>
      <top style="thin">
        <color theme="1"/>
      </top>
      <bottom style="thin">
        <color theme="1" tint="0.34998626667073579"/>
      </bottom>
      <diagonal/>
    </border>
    <border>
      <left style="thin">
        <color indexed="64"/>
      </left>
      <right style="medium">
        <color indexed="64"/>
      </right>
      <top style="medium">
        <color indexed="64"/>
      </top>
      <bottom/>
      <diagonal/>
    </border>
    <border>
      <left/>
      <right style="thin">
        <color theme="1" tint="0.499984740745262"/>
      </right>
      <top style="medium">
        <color theme="1"/>
      </top>
      <bottom style="thin">
        <color theme="1" tint="0.499984740745262"/>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thin">
        <color theme="1" tint="0.499984740745262"/>
      </right>
      <top style="thin">
        <color theme="1" tint="0.499984740745262"/>
      </top>
      <bottom style="medium">
        <color theme="1"/>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theme="1"/>
      </right>
      <top style="medium">
        <color indexed="64"/>
      </top>
      <bottom/>
      <diagonal/>
    </border>
    <border>
      <left style="thin">
        <color indexed="64"/>
      </left>
      <right style="medium">
        <color theme="1"/>
      </right>
      <top/>
      <bottom/>
      <diagonal/>
    </border>
    <border>
      <left style="thin">
        <color indexed="64"/>
      </left>
      <right style="medium">
        <color theme="1"/>
      </right>
      <top/>
      <bottom style="medium">
        <color indexed="64"/>
      </bottom>
      <diagonal/>
    </border>
    <border>
      <left style="thin">
        <color indexed="64"/>
      </left>
      <right style="thin">
        <color indexed="64"/>
      </right>
      <top style="medium">
        <color indexed="64"/>
      </top>
      <bottom style="thin">
        <color theme="1" tint="0.499984740745262"/>
      </bottom>
      <diagonal/>
    </border>
    <border>
      <left style="thin">
        <color indexed="64"/>
      </left>
      <right style="thin">
        <color indexed="64"/>
      </right>
      <top style="thin">
        <color theme="1" tint="0.499984740745262"/>
      </top>
      <bottom style="thin">
        <color theme="1" tint="0.499984740745262"/>
      </bottom>
      <diagonal/>
    </border>
    <border>
      <left style="thin">
        <color indexed="64"/>
      </left>
      <right style="thin">
        <color indexed="64"/>
      </right>
      <top style="thin">
        <color theme="1" tint="0.499984740745262"/>
      </top>
      <bottom style="medium">
        <color indexed="64"/>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medium">
        <color theme="1" tint="0.34998626667073579"/>
      </left>
      <right style="thin">
        <color rgb="FF000000"/>
      </right>
      <top style="medium">
        <color theme="1" tint="0.34998626667073579"/>
      </top>
      <bottom style="thin">
        <color rgb="FF000000"/>
      </bottom>
      <diagonal/>
    </border>
    <border>
      <left style="thin">
        <color indexed="64"/>
      </left>
      <right/>
      <top style="medium">
        <color theme="1" tint="0.34998626667073579"/>
      </top>
      <bottom/>
      <diagonal/>
    </border>
    <border>
      <left style="thin">
        <color indexed="64"/>
      </left>
      <right style="medium">
        <color theme="1" tint="0.34998626667073579"/>
      </right>
      <top style="medium">
        <color theme="1" tint="0.34998626667073579"/>
      </top>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medium">
        <color theme="1" tint="0.34998626667073579"/>
      </left>
      <right style="thin">
        <color rgb="FF000000"/>
      </right>
      <top style="thin">
        <color rgb="FF000000"/>
      </top>
      <bottom style="thin">
        <color rgb="FF000000"/>
      </bottom>
      <diagonal/>
    </border>
    <border>
      <left style="thin">
        <color indexed="64"/>
      </left>
      <right style="medium">
        <color theme="1" tint="0.34998626667073579"/>
      </right>
      <top style="thin">
        <color indexed="64"/>
      </top>
      <bottom/>
      <diagonal/>
    </border>
    <border>
      <left style="medium">
        <color theme="1" tint="0.34998626667073579"/>
      </left>
      <right style="thin">
        <color theme="1" tint="0.34998626667073579"/>
      </right>
      <top style="thin">
        <color theme="1" tint="0.34998626667073579"/>
      </top>
      <bottom/>
      <diagonal/>
    </border>
    <border>
      <left style="thin">
        <color theme="1" tint="0.34998626667073579"/>
      </left>
      <right style="medium">
        <color theme="1" tint="0.34998626667073579"/>
      </right>
      <top style="thin">
        <color theme="1" tint="0.34998626667073579"/>
      </top>
      <bottom/>
      <diagonal/>
    </border>
    <border>
      <left style="medium">
        <color theme="1" tint="0.34998626667073579"/>
      </left>
      <right style="thin">
        <color rgb="FF000000"/>
      </right>
      <top style="thin">
        <color rgb="FF000000"/>
      </top>
      <bottom/>
      <diagonal/>
    </border>
    <border>
      <left style="medium">
        <color indexed="64"/>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diagonal/>
    </border>
    <border>
      <left/>
      <right/>
      <top style="medium">
        <color theme="1" tint="0.34998626667073579"/>
      </top>
      <bottom style="thin">
        <color rgb="FF000000"/>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bottom/>
      <diagonal/>
    </border>
    <border>
      <left/>
      <right/>
      <top style="thin">
        <color rgb="FF000000"/>
      </top>
      <bottom style="thin">
        <color rgb="FF000000"/>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bottom style="medium">
        <color indexed="64"/>
      </bottom>
      <diagonal/>
    </border>
    <border>
      <left/>
      <right/>
      <top style="thin">
        <color rgb="FF000000"/>
      </top>
      <bottom style="medium">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indexed="64"/>
      </left>
      <right style="thin">
        <color indexed="64"/>
      </right>
      <top/>
      <bottom style="thin">
        <color theme="1" tint="0.499984740745262"/>
      </bottom>
      <diagonal/>
    </border>
    <border>
      <left style="thin">
        <color indexed="64"/>
      </left>
      <right style="thin">
        <color indexed="64"/>
      </right>
      <top style="thin">
        <color theme="1" tint="0.499984740745262"/>
      </top>
      <bottom style="medium">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style="medium">
        <color indexed="64"/>
      </left>
      <right style="thin">
        <color rgb="FF000000"/>
      </right>
      <top style="medium">
        <color indexed="64"/>
      </top>
      <bottom style="thin">
        <color rgb="FF000000"/>
      </bottom>
      <diagonal/>
    </border>
    <border>
      <left style="thin">
        <color indexed="64"/>
      </left>
      <right/>
      <top style="medium">
        <color indexed="64"/>
      </top>
      <bottom/>
      <diagonal/>
    </border>
    <border>
      <left style="thin">
        <color theme="1" tint="0.34998626667073579"/>
      </left>
      <right style="medium">
        <color indexed="64"/>
      </right>
      <top style="thin">
        <color theme="1" tint="0.34998626667073579"/>
      </top>
      <bottom style="thin">
        <color theme="1" tint="0.34998626667073579"/>
      </bottom>
      <diagonal/>
    </border>
    <border>
      <left style="medium">
        <color indexed="64"/>
      </left>
      <right style="thin">
        <color rgb="FF000000"/>
      </right>
      <top style="thin">
        <color rgb="FF000000"/>
      </top>
      <bottom style="thin">
        <color rgb="FF000000"/>
      </bottom>
      <diagonal/>
    </border>
    <border>
      <left style="medium">
        <color indexed="64"/>
      </left>
      <right style="thin">
        <color theme="1" tint="0.34998626667073579"/>
      </right>
      <top style="thin">
        <color theme="1" tint="0.34998626667073579"/>
      </top>
      <bottom/>
      <diagonal/>
    </border>
    <border>
      <left style="thin">
        <color theme="1" tint="0.34998626667073579"/>
      </left>
      <right style="medium">
        <color indexed="64"/>
      </right>
      <top style="thin">
        <color theme="1" tint="0.34998626667073579"/>
      </top>
      <bottom/>
      <diagonal/>
    </border>
    <border>
      <left style="medium">
        <color indexed="64"/>
      </left>
      <right style="thin">
        <color rgb="FF000000"/>
      </right>
      <top style="thin">
        <color rgb="FF000000"/>
      </top>
      <bottom/>
      <diagonal/>
    </border>
    <border>
      <left style="thin">
        <color theme="1" tint="0.34998626667073579"/>
      </left>
      <right style="medium">
        <color indexed="64"/>
      </right>
      <top style="medium">
        <color theme="1" tint="0.34998626667073579"/>
      </top>
      <bottom style="thin">
        <color theme="1" tint="0.34998626667073579"/>
      </bottom>
      <diagonal/>
    </border>
    <border>
      <left style="medium">
        <color indexed="64"/>
      </left>
      <right/>
      <top style="medium">
        <color theme="1" tint="0.34998626667073579"/>
      </top>
      <bottom style="thin">
        <color rgb="FF000000"/>
      </bottom>
      <diagonal/>
    </border>
    <border>
      <left style="medium">
        <color indexed="64"/>
      </left>
      <right/>
      <top style="thin">
        <color rgb="FF000000"/>
      </top>
      <bottom style="thin">
        <color rgb="FF000000"/>
      </bottom>
      <diagonal/>
    </border>
    <border>
      <left style="thin">
        <color theme="1" tint="0.34998626667073579"/>
      </left>
      <right style="medium">
        <color indexed="64"/>
      </right>
      <top style="thin">
        <color theme="1" tint="0.34998626667073579"/>
      </top>
      <bottom style="medium">
        <color indexed="64"/>
      </bottom>
      <diagonal/>
    </border>
    <border>
      <left style="medium">
        <color indexed="64"/>
      </left>
      <right/>
      <top style="thin">
        <color rgb="FF000000"/>
      </top>
      <bottom style="medium">
        <color indexed="64"/>
      </bottom>
      <diagonal/>
    </border>
    <border>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bottom style="medium">
        <color indexed="64"/>
      </bottom>
      <diagonal/>
    </border>
    <border>
      <left/>
      <right style="thin">
        <color theme="1" tint="0.34998626667073579"/>
      </right>
      <top style="thin">
        <color theme="1" tint="0.34998626667073579"/>
      </top>
      <bottom style="medium">
        <color indexed="64"/>
      </bottom>
      <diagonal/>
    </border>
    <border>
      <left style="medium">
        <color theme="1" tint="0.34998626667073579"/>
      </left>
      <right style="thin">
        <color theme="1" tint="0.34998626667073579"/>
      </right>
      <top/>
      <bottom style="thin">
        <color theme="1" tint="0.34998626667073579"/>
      </bottom>
      <diagonal/>
    </border>
    <border>
      <left/>
      <right style="thin">
        <color theme="1" tint="0.34998626667073579"/>
      </right>
      <top/>
      <bottom style="thin">
        <color theme="1" tint="0.34998626667073579"/>
      </bottom>
      <diagonal/>
    </border>
    <border>
      <left style="thin">
        <color theme="1" tint="0.34998626667073579"/>
      </left>
      <right style="medium">
        <color theme="1" tint="0.34998626667073579"/>
      </right>
      <top/>
      <bottom style="thin">
        <color theme="1" tint="0.34998626667073579"/>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medium">
        <color indexed="64"/>
      </right>
      <top/>
      <bottom style="medium">
        <color theme="1" tint="0.34998626667073579"/>
      </bottom>
      <diagonal/>
    </border>
    <border>
      <left/>
      <right style="thin">
        <color theme="1" tint="0.34998626667073579"/>
      </right>
      <top style="thin">
        <color theme="1" tint="0.34998626667073579"/>
      </top>
      <bottom style="medium">
        <color theme="1" tint="0.34998626667073579"/>
      </bottom>
      <diagonal/>
    </border>
    <border>
      <left style="thin">
        <color indexed="64"/>
      </left>
      <right style="thin">
        <color indexed="64"/>
      </right>
      <top style="thin">
        <color theme="1" tint="0.499984740745262"/>
      </top>
      <bottom/>
      <diagonal/>
    </border>
    <border>
      <left style="thin">
        <color theme="1" tint="0.34998626667073579"/>
      </left>
      <right style="medium">
        <color indexed="64"/>
      </right>
      <top style="thin">
        <color theme="1" tint="0.34998626667073579"/>
      </top>
      <bottom style="medium">
        <color theme="1" tint="0.34998626667073579"/>
      </bottom>
      <diagonal/>
    </border>
    <border>
      <left style="medium">
        <color theme="1"/>
      </left>
      <right style="thin">
        <color theme="1" tint="0.499984740745262"/>
      </right>
      <top style="thin">
        <color theme="1" tint="0.499984740745262"/>
      </top>
      <bottom/>
      <diagonal/>
    </border>
    <border>
      <left style="thin">
        <color theme="1" tint="0.499984740745262"/>
      </left>
      <right style="medium">
        <color theme="1"/>
      </right>
      <top style="thin">
        <color theme="1" tint="0.499984740745262"/>
      </top>
      <bottom/>
      <diagonal/>
    </border>
    <border>
      <left style="medium">
        <color theme="1" tint="0.499984740745262"/>
      </left>
      <right style="thin">
        <color indexed="64"/>
      </right>
      <top style="medium">
        <color theme="1" tint="0.499984740745262"/>
      </top>
      <bottom style="thin">
        <color indexed="64"/>
      </bottom>
      <diagonal/>
    </border>
    <border>
      <left/>
      <right/>
      <top style="medium">
        <color theme="1" tint="0.499984740745262"/>
      </top>
      <bottom style="thin">
        <color indexed="64"/>
      </bottom>
      <diagonal/>
    </border>
    <border>
      <left/>
      <right style="medium">
        <color indexed="64"/>
      </right>
      <top style="medium">
        <color indexed="64"/>
      </top>
      <bottom style="thin">
        <color indexed="64"/>
      </bottom>
      <diagonal/>
    </border>
    <border>
      <left style="medium">
        <color theme="1" tint="0.499984740745262"/>
      </left>
      <right style="thin">
        <color indexed="64"/>
      </right>
      <top/>
      <bottom/>
      <diagonal/>
    </border>
    <border>
      <left/>
      <right style="medium">
        <color indexed="64"/>
      </right>
      <top/>
      <bottom style="thin">
        <color indexed="64"/>
      </bottom>
      <diagonal/>
    </border>
    <border>
      <left style="medium">
        <color theme="1" tint="0.499984740745262"/>
      </left>
      <right style="thin">
        <color indexed="64"/>
      </right>
      <top/>
      <bottom style="medium">
        <color theme="1" tint="0.499984740745262"/>
      </bottom>
      <diagonal/>
    </border>
    <border>
      <left/>
      <right/>
      <top/>
      <bottom style="medium">
        <color theme="1" tint="0.499984740745262"/>
      </bottom>
      <diagonal/>
    </border>
    <border>
      <left/>
      <right style="thin">
        <color indexed="64"/>
      </right>
      <top/>
      <bottom style="medium">
        <color indexed="64"/>
      </bottom>
      <diagonal/>
    </border>
    <border>
      <left style="medium">
        <color theme="1" tint="0.499984740745262"/>
      </left>
      <right/>
      <top/>
      <bottom/>
      <diagonal/>
    </border>
    <border>
      <left style="thin">
        <color theme="1" tint="0.499984740745262"/>
      </left>
      <right/>
      <top/>
      <bottom/>
      <diagonal/>
    </border>
    <border>
      <left style="thin">
        <color rgb="FF000000"/>
      </left>
      <right style="thin">
        <color rgb="FF000000"/>
      </right>
      <top style="thin">
        <color rgb="FF000000"/>
      </top>
      <bottom style="thin">
        <color rgb="FF000000"/>
      </bottom>
      <diagonal/>
    </border>
    <border>
      <left style="thin">
        <color indexed="64"/>
      </left>
      <right/>
      <top style="medium">
        <color indexed="64"/>
      </top>
      <bottom style="thin">
        <color indexed="64"/>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rgb="FF000000"/>
      </left>
      <right/>
      <top/>
      <bottom/>
      <diagonal/>
    </border>
    <border>
      <left style="thin">
        <color rgb="FF808080"/>
      </left>
      <right style="thin">
        <color rgb="FF000000"/>
      </right>
      <top style="thin">
        <color rgb="FF000000"/>
      </top>
      <bottom/>
      <diagonal/>
    </border>
    <border>
      <left style="thin">
        <color rgb="FF808080"/>
      </left>
      <right style="thin">
        <color rgb="FF000000"/>
      </right>
      <top/>
      <bottom style="thin">
        <color rgb="FF808080"/>
      </bottom>
      <diagonal/>
    </border>
    <border>
      <left style="thin">
        <color rgb="FF808080"/>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style="thin">
        <color rgb="FF000000"/>
      </left>
      <right style="thin">
        <color rgb="FF000000"/>
      </right>
      <top style="thin">
        <color rgb="FF000000"/>
      </top>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theme="1" tint="0.34998626667073579"/>
      </bottom>
      <diagonal/>
    </border>
    <border>
      <left style="thin">
        <color indexed="64"/>
      </left>
      <right style="thin">
        <color indexed="64"/>
      </right>
      <top style="thin">
        <color indexed="64"/>
      </top>
      <bottom style="thin">
        <color theme="1" tint="4.9989318521683403E-2"/>
      </bottom>
      <diagonal/>
    </border>
    <border>
      <left style="thin">
        <color theme="1" tint="0.34998626667073579"/>
      </left>
      <right style="thin">
        <color theme="1" tint="0.34998626667073579"/>
      </right>
      <top style="thin">
        <color theme="1" tint="0.34998626667073579"/>
      </top>
      <bottom style="thin">
        <color theme="1" tint="4.9989318521683403E-2"/>
      </bottom>
      <diagonal/>
    </border>
    <border>
      <left style="thin">
        <color indexed="64"/>
      </left>
      <right style="thin">
        <color theme="1" tint="4.9989318521683403E-2"/>
      </right>
      <top style="thin">
        <color theme="1" tint="4.9989318521683403E-2"/>
      </top>
      <bottom style="thin">
        <color indexed="64"/>
      </bottom>
      <diagonal/>
    </border>
    <border>
      <left style="thin">
        <color theme="1" tint="4.9989318521683403E-2"/>
      </left>
      <right style="thin">
        <color theme="1" tint="4.9989318521683403E-2"/>
      </right>
      <top style="thin">
        <color theme="1" tint="4.9989318521683403E-2"/>
      </top>
      <bottom style="thin">
        <color indexed="64"/>
      </bottom>
      <diagonal/>
    </border>
    <border>
      <left style="thin">
        <color indexed="64"/>
      </left>
      <right style="thin">
        <color theme="1" tint="4.9989318521683403E-2"/>
      </right>
      <top style="thin">
        <color indexed="64"/>
      </top>
      <bottom style="thin">
        <color theme="1" tint="0.34998626667073579"/>
      </bottom>
      <diagonal/>
    </border>
    <border>
      <left style="thin">
        <color theme="1" tint="4.9989318521683403E-2"/>
      </left>
      <right style="thin">
        <color theme="1" tint="4.9989318521683403E-2"/>
      </right>
      <top style="thin">
        <color indexed="64"/>
      </top>
      <bottom style="thin">
        <color theme="1" tint="0.34998626667073579"/>
      </bottom>
      <diagonal/>
    </border>
    <border>
      <left style="thin">
        <color rgb="FF000000"/>
      </left>
      <right/>
      <top style="thin">
        <color rgb="FF595959"/>
      </top>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theme="1" tint="0.34998626667073579"/>
      </left>
      <right style="thin">
        <color theme="1" tint="0.34998626667073579"/>
      </right>
      <top/>
      <bottom style="thin">
        <color rgb="FF000000"/>
      </bottom>
      <diagonal/>
    </border>
    <border>
      <left style="thin">
        <color rgb="FF000000"/>
      </left>
      <right style="thin">
        <color theme="1" tint="0.34998626667073579"/>
      </right>
      <top style="thin">
        <color rgb="FF000000"/>
      </top>
      <bottom/>
      <diagonal/>
    </border>
    <border>
      <left style="thin">
        <color theme="1" tint="0.34998626667073579"/>
      </left>
      <right style="thin">
        <color rgb="FF000000"/>
      </right>
      <top style="thin">
        <color rgb="FF000000"/>
      </top>
      <bottom/>
      <diagonal/>
    </border>
    <border>
      <left style="thin">
        <color rgb="FF000000"/>
      </left>
      <right style="thin">
        <color theme="1" tint="0.34998626667073579"/>
      </right>
      <top/>
      <bottom/>
      <diagonal/>
    </border>
    <border>
      <left style="thin">
        <color theme="1" tint="0.34998626667073579"/>
      </left>
      <right style="thin">
        <color rgb="FF000000"/>
      </right>
      <top/>
      <bottom/>
      <diagonal/>
    </border>
    <border>
      <left style="thin">
        <color rgb="FF000000"/>
      </left>
      <right style="thin">
        <color theme="1" tint="0.34998626667073579"/>
      </right>
      <top/>
      <bottom style="thin">
        <color rgb="FF000000"/>
      </bottom>
      <diagonal/>
    </border>
    <border>
      <left style="thin">
        <color theme="1" tint="0.34998626667073579"/>
      </left>
      <right style="thin">
        <color rgb="FF000000"/>
      </right>
      <top/>
      <bottom style="thin">
        <color rgb="FF000000"/>
      </bottom>
      <diagonal/>
    </border>
    <border>
      <left style="thin">
        <color theme="1" tint="0.34998626667073579"/>
      </left>
      <right style="thin">
        <color theme="1" tint="0.34998626667073579"/>
      </right>
      <top style="thin">
        <color rgb="FF000000"/>
      </top>
      <bottom/>
      <diagonal/>
    </border>
    <border>
      <left/>
      <right/>
      <top style="thin">
        <color theme="1" tint="0.34998626667073579"/>
      </top>
      <bottom style="thin">
        <color theme="1" tint="0.34998626667073579"/>
      </bottom>
      <diagonal/>
    </border>
    <border>
      <left style="thin">
        <color rgb="FF000000"/>
      </left>
      <right style="thin">
        <color rgb="FF000000"/>
      </right>
      <top/>
      <bottom/>
      <diagonal/>
    </border>
  </borders>
  <cellStyleXfs count="57">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14" fillId="0" borderId="0"/>
    <xf numFmtId="0" fontId="16" fillId="0" borderId="0" applyNumberFormat="0" applyFill="0" applyBorder="0" applyAlignment="0" applyProtection="0"/>
    <xf numFmtId="0" fontId="6" fillId="0" borderId="0"/>
    <xf numFmtId="0" fontId="6" fillId="0" borderId="0"/>
    <xf numFmtId="0" fontId="35" fillId="0" borderId="65" applyNumberFormat="0" applyFill="0" applyAlignment="0" applyProtection="0"/>
    <xf numFmtId="0" fontId="36" fillId="0" borderId="66" applyNumberFormat="0" applyFill="0" applyAlignment="0" applyProtection="0"/>
    <xf numFmtId="0" fontId="37" fillId="0" borderId="67" applyNumberFormat="0" applyFill="0" applyAlignment="0" applyProtection="0"/>
    <xf numFmtId="0" fontId="37" fillId="0" borderId="0" applyNumberFormat="0" applyFill="0" applyBorder="0" applyAlignment="0" applyProtection="0"/>
    <xf numFmtId="0" fontId="38" fillId="13" borderId="0" applyNumberFormat="0" applyBorder="0" applyAlignment="0" applyProtection="0"/>
    <xf numFmtId="0" fontId="39" fillId="14" borderId="0" applyNumberFormat="0" applyBorder="0" applyAlignment="0" applyProtection="0"/>
    <xf numFmtId="0" fontId="40" fillId="16" borderId="68" applyNumberFormat="0" applyAlignment="0" applyProtection="0"/>
    <xf numFmtId="0" fontId="41" fillId="17" borderId="69" applyNumberFormat="0" applyAlignment="0" applyProtection="0"/>
    <xf numFmtId="0" fontId="42" fillId="17" borderId="68" applyNumberFormat="0" applyAlignment="0" applyProtection="0"/>
    <xf numFmtId="0" fontId="43" fillId="0" borderId="70" applyNumberFormat="0" applyFill="0" applyAlignment="0" applyProtection="0"/>
    <xf numFmtId="0" fontId="9" fillId="18" borderId="71" applyNumberFormat="0" applyAlignment="0" applyProtection="0"/>
    <xf numFmtId="0" fontId="44" fillId="0" borderId="0" applyNumberFormat="0" applyFill="0" applyBorder="0" applyAlignment="0" applyProtection="0"/>
    <xf numFmtId="0" fontId="2" fillId="19" borderId="72" applyNumberFormat="0" applyFont="0" applyAlignment="0" applyProtection="0"/>
    <xf numFmtId="0" fontId="45" fillId="0" borderId="0" applyNumberFormat="0" applyFill="0" applyBorder="0" applyAlignment="0" applyProtection="0"/>
    <xf numFmtId="0" fontId="3" fillId="0" borderId="73" applyNumberFormat="0" applyFill="0" applyAlignment="0" applyProtection="0"/>
    <xf numFmtId="0" fontId="11"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11"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11"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11"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11"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11"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46" fillId="0" borderId="0" applyNumberFormat="0" applyFill="0" applyBorder="0" applyAlignment="0" applyProtection="0"/>
    <xf numFmtId="0" fontId="47" fillId="15" borderId="0" applyNumberFormat="0" applyBorder="0" applyAlignment="0" applyProtection="0"/>
    <xf numFmtId="0" fontId="11" fillId="23" borderId="0" applyNumberFormat="0" applyBorder="0" applyAlignment="0" applyProtection="0"/>
    <xf numFmtId="0" fontId="11" fillId="27" borderId="0" applyNumberFormat="0" applyBorder="0" applyAlignment="0" applyProtection="0"/>
    <xf numFmtId="0" fontId="11" fillId="31" borderId="0" applyNumberFormat="0" applyBorder="0" applyAlignment="0" applyProtection="0"/>
    <xf numFmtId="0" fontId="11" fillId="35" borderId="0" applyNumberFormat="0" applyBorder="0" applyAlignment="0" applyProtection="0"/>
    <xf numFmtId="0" fontId="11" fillId="39" borderId="0" applyNumberFormat="0" applyBorder="0" applyAlignment="0" applyProtection="0"/>
    <xf numFmtId="0" fontId="11" fillId="43" borderId="0" applyNumberFormat="0" applyBorder="0" applyAlignment="0" applyProtection="0"/>
    <xf numFmtId="0" fontId="2" fillId="0" borderId="0"/>
    <xf numFmtId="0" fontId="12" fillId="0" borderId="0"/>
    <xf numFmtId="0" fontId="66" fillId="0" borderId="0"/>
  </cellStyleXfs>
  <cellXfs count="972">
    <xf numFmtId="0" fontId="0" fillId="0" borderId="0" xfId="0"/>
    <xf numFmtId="2" fontId="0" fillId="0" borderId="0" xfId="0" applyNumberFormat="1"/>
    <xf numFmtId="165" fontId="0" fillId="0" borderId="2" xfId="0" applyNumberFormat="1" applyBorder="1"/>
    <xf numFmtId="0" fontId="12" fillId="0" borderId="0" xfId="0" applyFont="1"/>
    <xf numFmtId="0" fontId="12" fillId="0" borderId="0" xfId="0" applyFont="1" applyAlignment="1">
      <alignment horizontal="center" vertical="center"/>
    </xf>
    <xf numFmtId="0" fontId="6" fillId="0" borderId="0" xfId="0" applyFont="1"/>
    <xf numFmtId="0" fontId="7" fillId="0" borderId="0" xfId="0" applyFont="1"/>
    <xf numFmtId="0" fontId="6" fillId="0" borderId="0" xfId="0" applyFont="1" applyAlignment="1">
      <alignment horizontal="center" vertical="center"/>
    </xf>
    <xf numFmtId="0" fontId="6" fillId="0" borderId="0" xfId="0" applyFont="1" applyAlignment="1">
      <alignment vertical="center"/>
    </xf>
    <xf numFmtId="0" fontId="6" fillId="0" borderId="0" xfId="0" applyFont="1" applyAlignment="1">
      <alignment horizontal="center" vertical="center" wrapText="1"/>
    </xf>
    <xf numFmtId="0" fontId="16" fillId="0" borderId="0" xfId="5" applyFont="1"/>
    <xf numFmtId="0" fontId="6" fillId="0" borderId="0" xfId="0" applyFont="1" applyAlignment="1">
      <alignment wrapText="1"/>
    </xf>
    <xf numFmtId="0" fontId="15" fillId="0" borderId="0" xfId="0" applyFont="1" applyAlignment="1">
      <alignment vertical="center"/>
    </xf>
    <xf numFmtId="0" fontId="1" fillId="0" borderId="2" xfId="1" applyBorder="1" applyAlignment="1">
      <alignment vertical="center" wrapText="1"/>
    </xf>
    <xf numFmtId="0" fontId="1" fillId="0" borderId="2" xfId="1" applyBorder="1" applyAlignment="1">
      <alignment vertical="center"/>
    </xf>
    <xf numFmtId="0" fontId="6" fillId="0" borderId="2" xfId="0" applyFont="1" applyBorder="1" applyAlignment="1">
      <alignment vertical="center"/>
    </xf>
    <xf numFmtId="0" fontId="6" fillId="0" borderId="2" xfId="0" applyFont="1" applyBorder="1" applyAlignment="1">
      <alignment horizontal="center" vertical="center" wrapText="1"/>
    </xf>
    <xf numFmtId="0" fontId="6" fillId="0" borderId="2" xfId="0" applyFont="1" applyBorder="1" applyAlignment="1">
      <alignment vertical="center" wrapText="1"/>
    </xf>
    <xf numFmtId="0" fontId="19" fillId="6" borderId="2" xfId="0" applyFont="1" applyFill="1" applyBorder="1" applyAlignment="1">
      <alignment vertical="center"/>
    </xf>
    <xf numFmtId="0" fontId="19" fillId="6" borderId="2" xfId="0" applyFont="1" applyFill="1" applyBorder="1" applyAlignment="1">
      <alignment horizontal="left" vertical="center"/>
    </xf>
    <xf numFmtId="165" fontId="6" fillId="0" borderId="0" xfId="0" applyNumberFormat="1" applyFont="1" applyAlignment="1">
      <alignment horizontal="center" vertical="center"/>
    </xf>
    <xf numFmtId="0" fontId="1" fillId="0" borderId="0" xfId="0" applyFont="1" applyAlignment="1">
      <alignment vertical="top"/>
    </xf>
    <xf numFmtId="0" fontId="6" fillId="0" borderId="0" xfId="0" applyFont="1" applyAlignment="1">
      <alignment horizontal="center" vertical="top" wrapText="1"/>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9" fontId="6" fillId="0" borderId="0" xfId="2" applyFont="1" applyFill="1" applyBorder="1" applyAlignment="1">
      <alignment horizontal="center" vertical="center"/>
    </xf>
    <xf numFmtId="9" fontId="6" fillId="0" borderId="0" xfId="2" applyFont="1" applyFill="1" applyBorder="1"/>
    <xf numFmtId="9" fontId="6" fillId="0" borderId="0" xfId="0" applyNumberFormat="1" applyFont="1"/>
    <xf numFmtId="0" fontId="1" fillId="0" borderId="2" xfId="0" applyFont="1" applyBorder="1" applyAlignment="1">
      <alignment horizontal="center" vertical="center"/>
    </xf>
    <xf numFmtId="0" fontId="7" fillId="6" borderId="23" xfId="0" applyFont="1" applyFill="1" applyBorder="1" applyAlignment="1">
      <alignment horizontal="center" vertical="center"/>
    </xf>
    <xf numFmtId="9" fontId="6" fillId="0" borderId="0" xfId="0" applyNumberFormat="1" applyFont="1" applyAlignment="1">
      <alignment vertical="center"/>
    </xf>
    <xf numFmtId="0" fontId="7" fillId="0" borderId="0" xfId="0" applyFont="1" applyAlignment="1">
      <alignment vertical="center"/>
    </xf>
    <xf numFmtId="0" fontId="23" fillId="0" borderId="0" xfId="0" applyFont="1" applyAlignment="1">
      <alignment horizontal="left" vertical="center"/>
    </xf>
    <xf numFmtId="0" fontId="6" fillId="0" borderId="23" xfId="4" applyBorder="1" applyAlignment="1">
      <alignment horizontal="center" vertical="center"/>
    </xf>
    <xf numFmtId="0" fontId="24" fillId="6" borderId="12" xfId="0" applyFont="1" applyFill="1" applyBorder="1" applyAlignment="1">
      <alignment horizontal="center" vertical="center"/>
    </xf>
    <xf numFmtId="0" fontId="22" fillId="0" borderId="0" xfId="0" applyFont="1" applyAlignment="1">
      <alignment horizontal="center" vertical="center"/>
    </xf>
    <xf numFmtId="0" fontId="25" fillId="4" borderId="0" xfId="0" applyFont="1" applyFill="1" applyAlignment="1">
      <alignment vertical="center" wrapText="1"/>
    </xf>
    <xf numFmtId="0" fontId="22" fillId="4" borderId="0" xfId="0" applyFont="1" applyFill="1" applyAlignment="1">
      <alignment horizontal="center" vertical="center"/>
    </xf>
    <xf numFmtId="165" fontId="22" fillId="4" borderId="0" xfId="0" applyNumberFormat="1" applyFont="1" applyFill="1" applyAlignment="1">
      <alignment horizontal="center" vertical="center"/>
    </xf>
    <xf numFmtId="0" fontId="19" fillId="6" borderId="26" xfId="0" applyFont="1" applyFill="1" applyBorder="1" applyAlignment="1">
      <alignment horizontal="center" vertical="center" wrapText="1"/>
    </xf>
    <xf numFmtId="0" fontId="23" fillId="0" borderId="0" xfId="0" applyFont="1" applyAlignment="1">
      <alignment horizontal="left"/>
    </xf>
    <xf numFmtId="0" fontId="24" fillId="0" borderId="0" xfId="0" applyFont="1" applyAlignment="1">
      <alignment horizontal="left" vertical="center" wrapText="1"/>
    </xf>
    <xf numFmtId="0" fontId="24" fillId="0" borderId="0" xfId="0" applyFont="1" applyAlignment="1">
      <alignment horizontal="left" vertical="center"/>
    </xf>
    <xf numFmtId="0" fontId="24" fillId="0" borderId="0" xfId="0" applyFont="1" applyAlignment="1">
      <alignment horizontal="center" vertical="center" wrapText="1"/>
    </xf>
    <xf numFmtId="10" fontId="6" fillId="0" borderId="0" xfId="8" applyNumberFormat="1" applyFont="1" applyFill="1" applyBorder="1" applyAlignment="1">
      <alignment horizontal="center"/>
    </xf>
    <xf numFmtId="9" fontId="6" fillId="0" borderId="0" xfId="2" applyFont="1" applyFill="1" applyBorder="1" applyAlignment="1">
      <alignment horizontal="left"/>
    </xf>
    <xf numFmtId="1" fontId="6" fillId="0" borderId="0" xfId="2" applyNumberFormat="1" applyFont="1" applyFill="1" applyBorder="1"/>
    <xf numFmtId="168" fontId="22" fillId="0" borderId="0" xfId="0" applyNumberFormat="1" applyFont="1" applyAlignment="1">
      <alignment horizontal="center" vertical="center"/>
    </xf>
    <xf numFmtId="0" fontId="13" fillId="0" borderId="0" xfId="0" applyFont="1" applyAlignment="1">
      <alignment vertical="center"/>
    </xf>
    <xf numFmtId="3" fontId="6" fillId="0" borderId="0" xfId="7" applyNumberFormat="1" applyFont="1" applyAlignment="1">
      <alignment horizontal="center" vertical="center"/>
    </xf>
    <xf numFmtId="0" fontId="26" fillId="0" borderId="0" xfId="0" applyFont="1"/>
    <xf numFmtId="0" fontId="27" fillId="2" borderId="0" xfId="0" applyFont="1" applyFill="1"/>
    <xf numFmtId="0" fontId="28" fillId="0" borderId="0" xfId="0" quotePrefix="1" applyFont="1"/>
    <xf numFmtId="0" fontId="26" fillId="0" borderId="0" xfId="0" applyFont="1" applyAlignment="1">
      <alignment wrapText="1"/>
    </xf>
    <xf numFmtId="0" fontId="26" fillId="0" borderId="0" xfId="0" applyFont="1" applyAlignment="1">
      <alignment horizontal="center"/>
    </xf>
    <xf numFmtId="0" fontId="8" fillId="0" borderId="0" xfId="5" applyAlignment="1">
      <alignment vertical="center"/>
    </xf>
    <xf numFmtId="0" fontId="6" fillId="0" borderId="0" xfId="4" applyAlignment="1">
      <alignment horizontal="center" vertical="center"/>
    </xf>
    <xf numFmtId="9" fontId="6" fillId="0" borderId="0" xfId="0" applyNumberFormat="1" applyFont="1" applyAlignment="1">
      <alignment horizontal="center"/>
    </xf>
    <xf numFmtId="9" fontId="6" fillId="0" borderId="0" xfId="0" applyNumberFormat="1" applyFont="1" applyAlignment="1">
      <alignment horizontal="left"/>
    </xf>
    <xf numFmtId="0" fontId="7" fillId="6" borderId="23" xfId="0" applyFont="1" applyFill="1" applyBorder="1" applyAlignment="1">
      <alignment horizontal="center" vertical="center" wrapText="1"/>
    </xf>
    <xf numFmtId="0" fontId="6" fillId="0" borderId="2" xfId="0" applyFont="1" applyBorder="1"/>
    <xf numFmtId="0" fontId="19" fillId="6" borderId="12" xfId="0" applyFont="1" applyFill="1" applyBorder="1" applyAlignment="1">
      <alignment horizontal="center" vertical="center" wrapText="1"/>
    </xf>
    <xf numFmtId="0" fontId="7" fillId="6" borderId="26" xfId="0" applyFont="1" applyFill="1" applyBorder="1" applyAlignment="1">
      <alignment horizontal="center" vertical="center"/>
    </xf>
    <xf numFmtId="0" fontId="29" fillId="0" borderId="0" xfId="0" applyFont="1"/>
    <xf numFmtId="0" fontId="31" fillId="0" borderId="0" xfId="0" applyFont="1" applyAlignment="1">
      <alignment vertical="center"/>
    </xf>
    <xf numFmtId="169" fontId="6" fillId="0" borderId="0" xfId="6" applyNumberFormat="1" applyFont="1"/>
    <xf numFmtId="0" fontId="6" fillId="0" borderId="2" xfId="0" applyFont="1" applyBorder="1" applyAlignment="1">
      <alignment wrapText="1"/>
    </xf>
    <xf numFmtId="0" fontId="1" fillId="0" borderId="23" xfId="0" applyFont="1" applyBorder="1" applyAlignment="1">
      <alignment horizontal="center" wrapText="1"/>
    </xf>
    <xf numFmtId="0" fontId="23" fillId="0" borderId="0" xfId="0" applyFont="1" applyAlignment="1">
      <alignment horizontal="center" vertical="center" wrapText="1"/>
    </xf>
    <xf numFmtId="0" fontId="21" fillId="0" borderId="0" xfId="0" applyFont="1" applyAlignment="1">
      <alignment horizontal="left" vertical="center"/>
    </xf>
    <xf numFmtId="0" fontId="23" fillId="0" borderId="0" xfId="0" applyFont="1" applyAlignment="1">
      <alignment wrapText="1"/>
    </xf>
    <xf numFmtId="0" fontId="21" fillId="0" borderId="0" xfId="0" applyFont="1"/>
    <xf numFmtId="0" fontId="12" fillId="0" borderId="0" xfId="0" applyFont="1" applyAlignment="1">
      <alignment vertical="center"/>
    </xf>
    <xf numFmtId="0" fontId="6" fillId="4" borderId="0" xfId="0" applyFont="1" applyFill="1"/>
    <xf numFmtId="0" fontId="6" fillId="4" borderId="0" xfId="0" applyFont="1" applyFill="1" applyAlignment="1">
      <alignment horizontal="center"/>
    </xf>
    <xf numFmtId="0" fontId="6" fillId="9" borderId="0" xfId="0" applyFont="1" applyFill="1" applyAlignment="1">
      <alignment horizontal="center" vertical="center"/>
    </xf>
    <xf numFmtId="0" fontId="12" fillId="0" borderId="0" xfId="0" applyFont="1" applyAlignment="1">
      <alignment wrapText="1"/>
    </xf>
    <xf numFmtId="0" fontId="12" fillId="0" borderId="0" xfId="0" applyFont="1" applyAlignment="1">
      <alignment horizontal="center"/>
    </xf>
    <xf numFmtId="0" fontId="15" fillId="2" borderId="0" xfId="0" applyFont="1" applyFill="1"/>
    <xf numFmtId="3" fontId="6" fillId="0" borderId="32" xfId="0" applyNumberFormat="1" applyFont="1" applyBorder="1" applyAlignment="1">
      <alignment horizontal="center"/>
    </xf>
    <xf numFmtId="0" fontId="1" fillId="0" borderId="0" xfId="0" applyFont="1"/>
    <xf numFmtId="0" fontId="22" fillId="0" borderId="38" xfId="0" applyFont="1" applyBorder="1" applyAlignment="1">
      <alignment horizontal="center" vertical="center"/>
    </xf>
    <xf numFmtId="2" fontId="22" fillId="0" borderId="36" xfId="0" applyNumberFormat="1" applyFont="1" applyBorder="1" applyAlignment="1">
      <alignment horizontal="center" vertical="center"/>
    </xf>
    <xf numFmtId="2" fontId="22" fillId="0" borderId="37" xfId="0" applyNumberFormat="1" applyFont="1" applyBorder="1" applyAlignment="1">
      <alignment horizontal="center" vertical="center"/>
    </xf>
    <xf numFmtId="0" fontId="22" fillId="0" borderId="42" xfId="0" applyFont="1" applyBorder="1" applyAlignment="1">
      <alignment horizontal="center" vertical="center"/>
    </xf>
    <xf numFmtId="2" fontId="22" fillId="0" borderId="40" xfId="0" applyNumberFormat="1" applyFont="1" applyBorder="1" applyAlignment="1">
      <alignment horizontal="center" vertical="center"/>
    </xf>
    <xf numFmtId="2" fontId="22" fillId="0" borderId="41" xfId="0" applyNumberFormat="1" applyFont="1" applyBorder="1" applyAlignment="1">
      <alignment horizontal="center" vertical="center"/>
    </xf>
    <xf numFmtId="0" fontId="22" fillId="0" borderId="46" xfId="0" applyFont="1" applyBorder="1" applyAlignment="1">
      <alignment horizontal="center" vertical="center"/>
    </xf>
    <xf numFmtId="2" fontId="22" fillId="0" borderId="44" xfId="0" applyNumberFormat="1" applyFont="1" applyBorder="1" applyAlignment="1">
      <alignment horizontal="center" vertical="center"/>
    </xf>
    <xf numFmtId="2" fontId="22" fillId="0" borderId="45" xfId="0" applyNumberFormat="1" applyFont="1" applyBorder="1" applyAlignment="1">
      <alignment horizontal="center" vertical="center"/>
    </xf>
    <xf numFmtId="0" fontId="22" fillId="0" borderId="50" xfId="0" applyFont="1" applyBorder="1" applyAlignment="1">
      <alignment horizontal="center" vertical="center"/>
    </xf>
    <xf numFmtId="2" fontId="22" fillId="0" borderId="48" xfId="0" applyNumberFormat="1" applyFont="1" applyBorder="1" applyAlignment="1">
      <alignment horizontal="center" vertical="center"/>
    </xf>
    <xf numFmtId="2" fontId="22" fillId="0" borderId="49" xfId="0" applyNumberFormat="1" applyFont="1" applyBorder="1" applyAlignment="1">
      <alignment horizontal="center" vertical="center"/>
    </xf>
    <xf numFmtId="0" fontId="22" fillId="0" borderId="54" xfId="0" applyFont="1" applyBorder="1" applyAlignment="1">
      <alignment horizontal="center" vertical="center"/>
    </xf>
    <xf numFmtId="2" fontId="22" fillId="0" borderId="52" xfId="0" applyNumberFormat="1" applyFont="1" applyBorder="1" applyAlignment="1">
      <alignment horizontal="center" vertical="center"/>
    </xf>
    <xf numFmtId="2" fontId="22" fillId="0" borderId="53" xfId="0" applyNumberFormat="1" applyFont="1" applyBorder="1" applyAlignment="1">
      <alignment horizontal="center" vertical="center"/>
    </xf>
    <xf numFmtId="0" fontId="22" fillId="0" borderId="57" xfId="0" applyFont="1" applyBorder="1" applyAlignment="1">
      <alignment horizontal="center" vertical="center"/>
    </xf>
    <xf numFmtId="2" fontId="22" fillId="0" borderId="1" xfId="0" applyNumberFormat="1" applyFont="1" applyBorder="1" applyAlignment="1">
      <alignment horizontal="center" vertical="center"/>
    </xf>
    <xf numFmtId="2" fontId="22" fillId="0" borderId="5" xfId="0" applyNumberFormat="1" applyFont="1" applyBorder="1" applyAlignment="1">
      <alignment horizontal="center" vertical="center"/>
    </xf>
    <xf numFmtId="0" fontId="22" fillId="0" borderId="11" xfId="0" applyFont="1" applyBorder="1" applyAlignment="1">
      <alignment horizontal="center" vertical="center"/>
    </xf>
    <xf numFmtId="2" fontId="22" fillId="0" borderId="2" xfId="0" applyNumberFormat="1" applyFont="1" applyBorder="1" applyAlignment="1">
      <alignment horizontal="center" vertical="center"/>
    </xf>
    <xf numFmtId="2" fontId="22" fillId="0" borderId="7" xfId="0" applyNumberFormat="1" applyFont="1" applyBorder="1" applyAlignment="1">
      <alignment horizontal="center" vertical="center"/>
    </xf>
    <xf numFmtId="0" fontId="22" fillId="0" borderId="15" xfId="0" applyFont="1" applyBorder="1" applyAlignment="1">
      <alignment horizontal="center" vertical="center"/>
    </xf>
    <xf numFmtId="2" fontId="22" fillId="0" borderId="12" xfId="0" applyNumberFormat="1" applyFont="1" applyBorder="1" applyAlignment="1">
      <alignment horizontal="center" vertical="center"/>
    </xf>
    <xf numFmtId="2" fontId="22" fillId="0" borderId="31" xfId="0" applyNumberFormat="1" applyFont="1" applyBorder="1" applyAlignment="1">
      <alignment horizontal="center" vertical="center"/>
    </xf>
    <xf numFmtId="0" fontId="22" fillId="0" borderId="59" xfId="0" applyFont="1" applyBorder="1" applyAlignment="1">
      <alignment horizontal="center" vertical="center"/>
    </xf>
    <xf numFmtId="2" fontId="22" fillId="0" borderId="28" xfId="0" applyNumberFormat="1" applyFont="1" applyBorder="1" applyAlignment="1">
      <alignment horizontal="center" vertical="center"/>
    </xf>
    <xf numFmtId="2" fontId="22" fillId="0" borderId="9" xfId="0" applyNumberFormat="1" applyFont="1" applyBorder="1" applyAlignment="1">
      <alignment horizontal="center" vertical="center"/>
    </xf>
    <xf numFmtId="0" fontId="22" fillId="0" borderId="22" xfId="0" applyFont="1" applyBorder="1" applyAlignment="1">
      <alignment horizontal="center" vertical="center"/>
    </xf>
    <xf numFmtId="2" fontId="22" fillId="0" borderId="19" xfId="0" applyNumberFormat="1" applyFont="1" applyBorder="1" applyAlignment="1">
      <alignment horizontal="center" vertical="center"/>
    </xf>
    <xf numFmtId="2" fontId="22" fillId="0" borderId="61" xfId="0" applyNumberFormat="1" applyFont="1" applyBorder="1" applyAlignment="1">
      <alignment horizontal="center" vertical="center"/>
    </xf>
    <xf numFmtId="0" fontId="22" fillId="0" borderId="0" xfId="0" applyFont="1" applyAlignment="1">
      <alignment horizontal="left" vertical="center" wrapText="1"/>
    </xf>
    <xf numFmtId="0" fontId="7" fillId="6" borderId="24" xfId="0" applyFont="1" applyFill="1" applyBorder="1" applyAlignment="1">
      <alignment horizontal="center" vertical="center"/>
    </xf>
    <xf numFmtId="0" fontId="34" fillId="9" borderId="0" xfId="0" applyFont="1" applyFill="1" applyAlignment="1">
      <alignment horizontal="center" vertical="center"/>
    </xf>
    <xf numFmtId="0" fontId="7" fillId="6" borderId="62" xfId="0" applyFont="1" applyFill="1" applyBorder="1" applyAlignment="1">
      <alignment horizontal="center" vertical="center"/>
    </xf>
    <xf numFmtId="0" fontId="16" fillId="0" borderId="62" xfId="5" applyFont="1" applyBorder="1" applyAlignment="1">
      <alignment horizontal="center" vertical="center"/>
    </xf>
    <xf numFmtId="0" fontId="33" fillId="0" borderId="0" xfId="0" applyFont="1" applyAlignment="1">
      <alignment horizontal="center"/>
    </xf>
    <xf numFmtId="0" fontId="7" fillId="2" borderId="0" xfId="0" applyFont="1" applyFill="1" applyAlignment="1">
      <alignment vertical="center"/>
    </xf>
    <xf numFmtId="0" fontId="21" fillId="0" borderId="0" xfId="0" applyFont="1" applyAlignment="1">
      <alignment vertical="center"/>
    </xf>
    <xf numFmtId="0" fontId="23" fillId="0" borderId="0" xfId="0" applyFont="1"/>
    <xf numFmtId="0" fontId="8" fillId="0" borderId="0" xfId="5"/>
    <xf numFmtId="0" fontId="6" fillId="0" borderId="0" xfId="0" applyFont="1" applyAlignment="1">
      <alignment horizontal="left"/>
    </xf>
    <xf numFmtId="0" fontId="6" fillId="0" borderId="62" xfId="0" applyFont="1" applyBorder="1" applyAlignment="1">
      <alignment horizontal="center" vertical="center" wrapText="1"/>
    </xf>
    <xf numFmtId="0" fontId="7" fillId="6" borderId="62" xfId="0" applyFont="1" applyFill="1" applyBorder="1" applyAlignment="1">
      <alignment horizontal="center" vertical="center" wrapText="1"/>
    </xf>
    <xf numFmtId="0" fontId="23" fillId="45" borderId="0" xfId="0" applyFont="1" applyFill="1" applyAlignment="1">
      <alignment vertical="center"/>
    </xf>
    <xf numFmtId="2" fontId="49" fillId="0" borderId="36" xfId="0" applyNumberFormat="1" applyFont="1" applyBorder="1" applyAlignment="1">
      <alignment horizontal="center" vertical="center"/>
    </xf>
    <xf numFmtId="170" fontId="50" fillId="0" borderId="0" xfId="0" applyNumberFormat="1" applyFont="1" applyAlignment="1">
      <alignment vertical="center"/>
    </xf>
    <xf numFmtId="170" fontId="1" fillId="0" borderId="0" xfId="0" applyNumberFormat="1" applyFont="1"/>
    <xf numFmtId="0" fontId="15" fillId="0" borderId="0" xfId="0" applyFont="1"/>
    <xf numFmtId="0" fontId="27" fillId="0" borderId="0" xfId="0" applyFont="1"/>
    <xf numFmtId="0" fontId="21" fillId="0" borderId="0" xfId="0" applyFont="1" applyAlignment="1">
      <alignment horizontal="center" vertical="center" wrapText="1"/>
    </xf>
    <xf numFmtId="9" fontId="6" fillId="4" borderId="0" xfId="0" applyNumberFormat="1" applyFont="1" applyFill="1"/>
    <xf numFmtId="0" fontId="6" fillId="4" borderId="0" xfId="0" applyFont="1" applyFill="1" applyAlignment="1">
      <alignment vertical="center"/>
    </xf>
    <xf numFmtId="0" fontId="7" fillId="6" borderId="32" xfId="0" applyFont="1" applyFill="1" applyBorder="1" applyAlignment="1">
      <alignment horizontal="center" vertical="center"/>
    </xf>
    <xf numFmtId="0" fontId="6" fillId="0" borderId="32" xfId="0" applyFont="1" applyBorder="1" applyAlignment="1">
      <alignment vertical="center" wrapText="1"/>
    </xf>
    <xf numFmtId="0" fontId="24" fillId="6" borderId="32" xfId="0" applyFont="1" applyFill="1" applyBorder="1" applyAlignment="1">
      <alignment horizontal="left" vertical="center" wrapText="1"/>
    </xf>
    <xf numFmtId="0" fontId="24" fillId="6" borderId="32" xfId="0" applyFont="1" applyFill="1" applyBorder="1" applyAlignment="1">
      <alignment horizontal="center" vertical="center" wrapText="1"/>
    </xf>
    <xf numFmtId="0" fontId="6" fillId="0" borderId="32" xfId="0" applyFont="1" applyBorder="1" applyAlignment="1">
      <alignment vertical="center"/>
    </xf>
    <xf numFmtId="170" fontId="50" fillId="7" borderId="32" xfId="0" applyNumberFormat="1" applyFont="1" applyFill="1" applyBorder="1" applyAlignment="1">
      <alignment vertical="center"/>
    </xf>
    <xf numFmtId="3" fontId="6" fillId="0" borderId="32" xfId="0" applyNumberFormat="1" applyFont="1" applyBorder="1" applyAlignment="1">
      <alignment horizontal="center" vertical="center"/>
    </xf>
    <xf numFmtId="0" fontId="7" fillId="6" borderId="32" xfId="0" applyFont="1" applyFill="1" applyBorder="1" applyAlignment="1">
      <alignment horizontal="center" vertical="center" wrapText="1"/>
    </xf>
    <xf numFmtId="0" fontId="19" fillId="6" borderId="32" xfId="0" applyFont="1" applyFill="1" applyBorder="1" applyAlignment="1">
      <alignment horizontal="center" vertical="center" wrapText="1"/>
    </xf>
    <xf numFmtId="169" fontId="6" fillId="0" borderId="32" xfId="6" applyNumberFormat="1" applyFont="1" applyBorder="1" applyAlignment="1">
      <alignment horizontal="center" vertical="center"/>
    </xf>
    <xf numFmtId="169" fontId="6" fillId="0" borderId="32" xfId="6" applyNumberFormat="1" applyFont="1" applyBorder="1" applyAlignment="1">
      <alignment horizontal="center" vertical="center" wrapText="1"/>
    </xf>
    <xf numFmtId="2" fontId="6" fillId="0" borderId="32" xfId="6" applyNumberFormat="1" applyFont="1" applyFill="1" applyBorder="1" applyAlignment="1">
      <alignment horizontal="center" vertical="center"/>
    </xf>
    <xf numFmtId="0" fontId="24" fillId="10" borderId="32" xfId="0" applyFont="1" applyFill="1" applyBorder="1" applyAlignment="1">
      <alignment horizontal="center" vertical="center" wrapText="1"/>
    </xf>
    <xf numFmtId="0" fontId="10" fillId="0" borderId="32" xfId="3" applyFont="1" applyBorder="1" applyAlignment="1">
      <alignment horizontal="center" vertical="center" wrapText="1"/>
    </xf>
    <xf numFmtId="165" fontId="6" fillId="0" borderId="32" xfId="0" quotePrefix="1" applyNumberFormat="1" applyFont="1" applyBorder="1" applyAlignment="1">
      <alignment horizontal="center" vertical="center"/>
    </xf>
    <xf numFmtId="165" fontId="6" fillId="0" borderId="62" xfId="0" applyNumberFormat="1" applyFont="1" applyBorder="1" applyAlignment="1">
      <alignment horizontal="center" vertical="center"/>
    </xf>
    <xf numFmtId="0" fontId="6" fillId="0" borderId="2" xfId="0" applyFont="1" applyBorder="1" applyAlignment="1">
      <alignment horizontal="left" vertical="center" wrapText="1"/>
    </xf>
    <xf numFmtId="9" fontId="6" fillId="0" borderId="32" xfId="0" applyNumberFormat="1" applyFont="1" applyBorder="1" applyAlignment="1">
      <alignment horizontal="center"/>
    </xf>
    <xf numFmtId="0" fontId="6" fillId="0" borderId="32" xfId="4" applyBorder="1" applyAlignment="1">
      <alignment horizontal="center" vertical="center"/>
    </xf>
    <xf numFmtId="0" fontId="6" fillId="4" borderId="83" xfId="0" applyFont="1" applyFill="1" applyBorder="1" applyAlignment="1">
      <alignment horizontal="left" vertical="center"/>
    </xf>
    <xf numFmtId="0" fontId="6" fillId="4" borderId="83" xfId="0" applyFont="1" applyFill="1" applyBorder="1" applyAlignment="1">
      <alignment vertical="center"/>
    </xf>
    <xf numFmtId="0" fontId="23" fillId="4" borderId="83" xfId="0" applyFont="1" applyFill="1" applyBorder="1" applyAlignment="1">
      <alignment horizontal="center" vertical="center" wrapText="1"/>
    </xf>
    <xf numFmtId="0" fontId="6" fillId="4" borderId="84" xfId="0" applyFont="1" applyFill="1" applyBorder="1"/>
    <xf numFmtId="0" fontId="6" fillId="4" borderId="85" xfId="0" applyFont="1" applyFill="1" applyBorder="1"/>
    <xf numFmtId="0" fontId="8" fillId="0" borderId="0" xfId="5" applyAlignment="1">
      <alignment horizontal="left"/>
    </xf>
    <xf numFmtId="0" fontId="8" fillId="0" borderId="0" xfId="5" applyAlignment="1"/>
    <xf numFmtId="0" fontId="21" fillId="45" borderId="0" xfId="0" applyFont="1" applyFill="1" applyAlignment="1">
      <alignment wrapText="1"/>
    </xf>
    <xf numFmtId="0" fontId="51" fillId="0" borderId="0" xfId="0" applyFont="1"/>
    <xf numFmtId="0" fontId="21" fillId="0" borderId="0" xfId="0" applyFont="1" applyAlignment="1">
      <alignment horizontal="center" vertical="center"/>
    </xf>
    <xf numFmtId="0" fontId="21" fillId="0" borderId="0" xfId="0" applyFont="1" applyAlignment="1">
      <alignment horizontal="left"/>
    </xf>
    <xf numFmtId="0" fontId="21" fillId="0" borderId="2" xfId="0" applyFont="1" applyBorder="1"/>
    <xf numFmtId="168" fontId="21" fillId="0" borderId="2" xfId="0" applyNumberFormat="1" applyFont="1" applyBorder="1" applyAlignment="1">
      <alignment horizontal="center"/>
    </xf>
    <xf numFmtId="0" fontId="21" fillId="0" borderId="0" xfId="0" applyFont="1" applyAlignment="1">
      <alignment wrapText="1"/>
    </xf>
    <xf numFmtId="0" fontId="1" fillId="0" borderId="62" xfId="0" applyFont="1" applyBorder="1" applyAlignment="1">
      <alignment horizontal="center" vertical="center" wrapText="1"/>
    </xf>
    <xf numFmtId="0" fontId="21" fillId="0" borderId="32" xfId="0" applyFont="1" applyBorder="1" applyAlignment="1">
      <alignment vertical="center"/>
    </xf>
    <xf numFmtId="2" fontId="48" fillId="0" borderId="36" xfId="0" applyNumberFormat="1" applyFont="1" applyBorder="1" applyAlignment="1">
      <alignment horizontal="center" vertical="center"/>
    </xf>
    <xf numFmtId="2" fontId="48" fillId="0" borderId="37" xfId="0" applyNumberFormat="1" applyFont="1" applyBorder="1" applyAlignment="1">
      <alignment horizontal="center" vertical="center"/>
    </xf>
    <xf numFmtId="2" fontId="48" fillId="0" borderId="40" xfId="0" applyNumberFormat="1" applyFont="1" applyBorder="1" applyAlignment="1">
      <alignment horizontal="center" vertical="center"/>
    </xf>
    <xf numFmtId="2" fontId="48" fillId="0" borderId="41" xfId="0" applyNumberFormat="1" applyFont="1" applyBorder="1" applyAlignment="1">
      <alignment horizontal="center" vertical="center"/>
    </xf>
    <xf numFmtId="9" fontId="1" fillId="0" borderId="2" xfId="0" applyNumberFormat="1" applyFont="1" applyBorder="1" applyAlignment="1">
      <alignment horizontal="center" vertical="center" wrapText="1"/>
    </xf>
    <xf numFmtId="0" fontId="48" fillId="4" borderId="0" xfId="0" applyFont="1" applyFill="1" applyAlignment="1">
      <alignment horizontal="center" vertical="center"/>
    </xf>
    <xf numFmtId="2" fontId="48" fillId="0" borderId="48" xfId="0" applyNumberFormat="1" applyFont="1" applyBorder="1" applyAlignment="1">
      <alignment horizontal="center" vertical="center"/>
    </xf>
    <xf numFmtId="2" fontId="48" fillId="0" borderId="49" xfId="0" applyNumberFormat="1" applyFont="1" applyBorder="1" applyAlignment="1">
      <alignment horizontal="center" vertical="center"/>
    </xf>
    <xf numFmtId="2" fontId="52" fillId="0" borderId="36" xfId="0" applyNumberFormat="1" applyFont="1" applyBorder="1" applyAlignment="1">
      <alignment horizontal="center" vertical="center"/>
    </xf>
    <xf numFmtId="2" fontId="52" fillId="0" borderId="40" xfId="0" applyNumberFormat="1" applyFont="1" applyBorder="1" applyAlignment="1">
      <alignment horizontal="center" vertical="center"/>
    </xf>
    <xf numFmtId="2" fontId="52" fillId="0" borderId="48" xfId="0" applyNumberFormat="1" applyFont="1" applyBorder="1" applyAlignment="1">
      <alignment horizontal="center" vertical="center"/>
    </xf>
    <xf numFmtId="0" fontId="1" fillId="0" borderId="2" xfId="0" applyFont="1" applyBorder="1" applyAlignment="1">
      <alignment horizontal="center" vertical="center" wrapText="1"/>
    </xf>
    <xf numFmtId="0" fontId="53" fillId="0" borderId="2" xfId="0" applyFont="1" applyBorder="1" applyAlignment="1">
      <alignment horizontal="center" vertical="center" wrapText="1"/>
    </xf>
    <xf numFmtId="0" fontId="1" fillId="0" borderId="2" xfId="0" applyFont="1" applyBorder="1" applyAlignment="1">
      <alignment vertical="center" wrapText="1"/>
    </xf>
    <xf numFmtId="3" fontId="1" fillId="0" borderId="2" xfId="1" applyNumberFormat="1" applyBorder="1" applyAlignment="1">
      <alignment horizontal="center" vertical="center" wrapText="1"/>
    </xf>
    <xf numFmtId="166" fontId="1" fillId="0" borderId="2" xfId="1" applyNumberFormat="1" applyBorder="1" applyAlignment="1">
      <alignment horizontal="center" vertical="center" wrapText="1"/>
    </xf>
    <xf numFmtId="0" fontId="7" fillId="0" borderId="0" xfId="0" applyFont="1" applyAlignment="1">
      <alignment wrapText="1"/>
    </xf>
    <xf numFmtId="0" fontId="7" fillId="0" borderId="0" xfId="0" applyFont="1" applyAlignment="1">
      <alignment horizontal="left"/>
    </xf>
    <xf numFmtId="0" fontId="7" fillId="0" borderId="0" xfId="0" applyFont="1" applyAlignment="1">
      <alignment horizontal="center"/>
    </xf>
    <xf numFmtId="9" fontId="1" fillId="0" borderId="32" xfId="2" applyFont="1" applyFill="1" applyBorder="1" applyAlignment="1">
      <alignment horizontal="center" vertical="center"/>
    </xf>
    <xf numFmtId="9" fontId="1" fillId="0" borderId="32" xfId="0" applyNumberFormat="1" applyFont="1" applyBorder="1" applyAlignment="1">
      <alignment horizontal="center"/>
    </xf>
    <xf numFmtId="169" fontId="1" fillId="0" borderId="23" xfId="6" applyNumberFormat="1" applyFont="1" applyBorder="1" applyAlignment="1">
      <alignment horizontal="center" vertical="center"/>
    </xf>
    <xf numFmtId="0" fontId="1" fillId="0" borderId="32" xfId="0" applyFont="1" applyBorder="1" applyAlignment="1">
      <alignment vertical="center" wrapText="1"/>
    </xf>
    <xf numFmtId="0" fontId="1" fillId="0" borderId="0" xfId="3" applyFont="1" applyFill="1" applyBorder="1" applyAlignment="1">
      <alignment horizontal="left" vertical="center" wrapText="1"/>
    </xf>
    <xf numFmtId="3" fontId="1" fillId="0" borderId="0" xfId="3" applyNumberFormat="1" applyFont="1" applyFill="1" applyBorder="1" applyAlignment="1">
      <alignment horizontal="center" vertical="center" wrapText="1"/>
    </xf>
    <xf numFmtId="3" fontId="10" fillId="0" borderId="0" xfId="3" applyNumberFormat="1" applyFont="1" applyBorder="1" applyAlignment="1">
      <alignment horizontal="center" vertical="center" wrapText="1"/>
    </xf>
    <xf numFmtId="1" fontId="1" fillId="0" borderId="0" xfId="7" applyNumberFormat="1" applyFont="1" applyAlignment="1">
      <alignment horizontal="center" vertical="center"/>
    </xf>
    <xf numFmtId="0" fontId="24" fillId="10" borderId="90" xfId="0" applyFont="1" applyFill="1" applyBorder="1" applyAlignment="1">
      <alignment horizontal="center" vertical="center" wrapText="1"/>
    </xf>
    <xf numFmtId="0" fontId="24" fillId="10" borderId="90" xfId="0" applyFont="1" applyFill="1" applyBorder="1" applyAlignment="1">
      <alignment horizontal="center" vertical="center"/>
    </xf>
    <xf numFmtId="0" fontId="23" fillId="0" borderId="87" xfId="0" applyFont="1" applyBorder="1" applyAlignment="1">
      <alignment horizontal="left" vertical="center" wrapText="1"/>
    </xf>
    <xf numFmtId="0" fontId="34" fillId="0" borderId="0" xfId="0" applyFont="1" applyAlignment="1">
      <alignment vertical="center" wrapText="1"/>
    </xf>
    <xf numFmtId="0" fontId="33" fillId="0" borderId="94" xfId="0" applyFont="1" applyBorder="1"/>
    <xf numFmtId="0" fontId="1" fillId="0" borderId="0" xfId="0" applyFont="1" applyAlignment="1">
      <alignment horizontal="left"/>
    </xf>
    <xf numFmtId="169" fontId="1" fillId="0" borderId="32" xfId="6" applyNumberFormat="1" applyFont="1" applyBorder="1" applyAlignment="1">
      <alignment horizontal="right" vertical="center"/>
    </xf>
    <xf numFmtId="0" fontId="1" fillId="0" borderId="32" xfId="0" applyFont="1" applyBorder="1" applyAlignment="1">
      <alignment horizontal="right" vertical="center"/>
    </xf>
    <xf numFmtId="170" fontId="1" fillId="0" borderId="32" xfId="0" applyNumberFormat="1" applyFont="1" applyBorder="1" applyAlignment="1">
      <alignment vertical="center"/>
    </xf>
    <xf numFmtId="169" fontId="1" fillId="0" borderId="32" xfId="6" applyNumberFormat="1" applyFont="1" applyBorder="1" applyAlignment="1">
      <alignment horizontal="right" vertical="center" wrapText="1"/>
    </xf>
    <xf numFmtId="3" fontId="1" fillId="0" borderId="0" xfId="0" applyNumberFormat="1" applyFont="1" applyAlignment="1">
      <alignment horizontal="left"/>
    </xf>
    <xf numFmtId="0" fontId="23" fillId="0" borderId="0" xfId="0" applyFont="1" applyAlignment="1">
      <alignment vertical="center"/>
    </xf>
    <xf numFmtId="0" fontId="6" fillId="0" borderId="32" xfId="0" applyFont="1" applyBorder="1"/>
    <xf numFmtId="0" fontId="7" fillId="0" borderId="0" xfId="0" applyFont="1" applyAlignment="1">
      <alignment horizontal="center" vertical="center"/>
    </xf>
    <xf numFmtId="169" fontId="6" fillId="0" borderId="0" xfId="6" applyNumberFormat="1" applyFont="1" applyFill="1" applyBorder="1" applyAlignment="1">
      <alignment horizontal="right" vertical="center"/>
    </xf>
    <xf numFmtId="0" fontId="6" fillId="0" borderId="0" xfId="0" applyFont="1" applyAlignment="1">
      <alignment horizontal="right"/>
    </xf>
    <xf numFmtId="0" fontId="1" fillId="0" borderId="0" xfId="0" applyFont="1" applyAlignment="1">
      <alignment horizontal="right" wrapText="1"/>
    </xf>
    <xf numFmtId="0" fontId="23" fillId="0" borderId="0" xfId="0" applyFont="1" applyAlignment="1">
      <alignment horizontal="left" vertical="center" wrapText="1"/>
    </xf>
    <xf numFmtId="0" fontId="54" fillId="0" borderId="0" xfId="0" applyFont="1" applyAlignment="1">
      <alignment horizontal="center" vertical="center" wrapText="1"/>
    </xf>
    <xf numFmtId="3" fontId="54" fillId="0" borderId="0" xfId="7" applyNumberFormat="1" applyFont="1" applyAlignment="1">
      <alignment horizontal="center" vertical="center"/>
    </xf>
    <xf numFmtId="164" fontId="54" fillId="0" borderId="0" xfId="7" applyNumberFormat="1" applyFont="1" applyAlignment="1">
      <alignment horizontal="center" vertical="center"/>
    </xf>
    <xf numFmtId="1" fontId="54" fillId="0" borderId="0" xfId="7" applyNumberFormat="1" applyFont="1" applyAlignment="1">
      <alignment horizontal="center" vertical="center"/>
    </xf>
    <xf numFmtId="0" fontId="54" fillId="0" borderId="0" xfId="3" applyFont="1" applyFill="1" applyBorder="1" applyAlignment="1">
      <alignment horizontal="left" vertical="center" wrapText="1"/>
    </xf>
    <xf numFmtId="3" fontId="54" fillId="0" borderId="0" xfId="3" applyNumberFormat="1" applyFont="1" applyFill="1" applyBorder="1" applyAlignment="1">
      <alignment horizontal="center" vertical="center" wrapText="1"/>
    </xf>
    <xf numFmtId="0" fontId="6" fillId="0" borderId="0" xfId="0" applyFont="1" applyAlignment="1">
      <alignment horizontal="left" vertical="top" wrapText="1"/>
    </xf>
    <xf numFmtId="0" fontId="1" fillId="0" borderId="0" xfId="0" applyFont="1" applyAlignment="1">
      <alignment horizontal="left" vertical="center"/>
    </xf>
    <xf numFmtId="0" fontId="55" fillId="0" borderId="0" xfId="0" applyFont="1"/>
    <xf numFmtId="0" fontId="6" fillId="7" borderId="2" xfId="0" applyFont="1" applyFill="1" applyBorder="1" applyAlignment="1">
      <alignment wrapText="1"/>
    </xf>
    <xf numFmtId="0" fontId="23" fillId="0" borderId="0" xfId="0" applyFont="1" applyAlignment="1">
      <alignment horizontal="center" vertical="center"/>
    </xf>
    <xf numFmtId="165" fontId="21" fillId="0" borderId="0" xfId="0" applyNumberFormat="1" applyFont="1" applyAlignment="1">
      <alignment horizontal="center" vertical="center"/>
    </xf>
    <xf numFmtId="0" fontId="57" fillId="0" borderId="0" xfId="0" applyFont="1"/>
    <xf numFmtId="0" fontId="1" fillId="0" borderId="87" xfId="0" applyFont="1" applyBorder="1" applyAlignment="1">
      <alignment horizontal="center" vertical="center"/>
    </xf>
    <xf numFmtId="165" fontId="1" fillId="0" borderId="87" xfId="0" applyNumberFormat="1" applyFont="1" applyBorder="1" applyAlignment="1">
      <alignment horizontal="center" vertical="center"/>
    </xf>
    <xf numFmtId="0" fontId="58" fillId="0" borderId="0" xfId="0" applyFont="1"/>
    <xf numFmtId="169" fontId="1" fillId="0" borderId="87" xfId="6" applyNumberFormat="1" applyFont="1" applyBorder="1" applyAlignment="1">
      <alignment horizontal="center" vertical="center"/>
    </xf>
    <xf numFmtId="43" fontId="6" fillId="0" borderId="0" xfId="0" applyNumberFormat="1" applyFont="1"/>
    <xf numFmtId="1" fontId="6" fillId="0" borderId="40" xfId="0" applyNumberFormat="1" applyFont="1" applyBorder="1" applyAlignment="1">
      <alignment horizontal="center" vertical="center" wrapText="1"/>
    </xf>
    <xf numFmtId="0" fontId="21" fillId="0" borderId="40" xfId="0" applyFont="1" applyBorder="1" applyAlignment="1">
      <alignment horizontal="center" vertical="center" wrapText="1"/>
    </xf>
    <xf numFmtId="0" fontId="55" fillId="0" borderId="40" xfId="0" applyFont="1" applyBorder="1" applyAlignment="1">
      <alignment horizontal="center" vertical="center"/>
    </xf>
    <xf numFmtId="0" fontId="1" fillId="0" borderId="40" xfId="0" applyFont="1" applyBorder="1" applyAlignment="1">
      <alignment horizontal="center" vertical="center"/>
    </xf>
    <xf numFmtId="0" fontId="1" fillId="0" borderId="32" xfId="0" applyFont="1" applyBorder="1" applyAlignment="1">
      <alignment horizontal="left" vertical="center" wrapText="1"/>
    </xf>
    <xf numFmtId="0" fontId="1" fillId="0" borderId="33" xfId="0" applyFont="1" applyBorder="1" applyAlignment="1">
      <alignment horizontal="center" vertical="center"/>
    </xf>
    <xf numFmtId="0" fontId="7" fillId="6" borderId="64" xfId="0" applyFont="1" applyFill="1" applyBorder="1" applyAlignment="1">
      <alignment horizontal="center" vertical="center" wrapText="1"/>
    </xf>
    <xf numFmtId="0" fontId="1" fillId="0" borderId="0" xfId="0" applyFont="1" applyAlignment="1">
      <alignment vertical="center"/>
    </xf>
    <xf numFmtId="0" fontId="22" fillId="0" borderId="99" xfId="0" applyFont="1" applyBorder="1" applyAlignment="1">
      <alignment horizontal="center" vertical="center"/>
    </xf>
    <xf numFmtId="2" fontId="22" fillId="0" borderId="100" xfId="0" applyNumberFormat="1" applyFont="1" applyBorder="1" applyAlignment="1">
      <alignment horizontal="center" vertical="center"/>
    </xf>
    <xf numFmtId="2" fontId="22" fillId="0" borderId="101" xfId="0" applyNumberFormat="1" applyFont="1" applyBorder="1" applyAlignment="1">
      <alignment horizontal="center" vertical="center"/>
    </xf>
    <xf numFmtId="0" fontId="22" fillId="0" borderId="102" xfId="0" applyFont="1" applyBorder="1" applyAlignment="1">
      <alignment horizontal="center" vertical="center"/>
    </xf>
    <xf numFmtId="2" fontId="22" fillId="0" borderId="103" xfId="0" applyNumberFormat="1" applyFont="1" applyBorder="1" applyAlignment="1">
      <alignment horizontal="center" vertical="center"/>
    </xf>
    <xf numFmtId="0" fontId="22" fillId="0" borderId="104" xfId="0" applyFont="1" applyBorder="1" applyAlignment="1">
      <alignment horizontal="center" vertical="center"/>
    </xf>
    <xf numFmtId="2" fontId="22" fillId="0" borderId="105" xfId="0" applyNumberFormat="1" applyFont="1" applyBorder="1" applyAlignment="1">
      <alignment horizontal="center" vertical="center"/>
    </xf>
    <xf numFmtId="2" fontId="22" fillId="0" borderId="106" xfId="0" applyNumberFormat="1" applyFont="1" applyBorder="1" applyAlignment="1">
      <alignment horizontal="center" vertical="center"/>
    </xf>
    <xf numFmtId="0" fontId="7" fillId="6" borderId="0" xfId="0" applyFont="1" applyFill="1" applyAlignment="1">
      <alignment horizontal="center" vertical="center" wrapText="1"/>
    </xf>
    <xf numFmtId="0" fontId="8" fillId="0" borderId="0" xfId="5" applyFill="1"/>
    <xf numFmtId="0" fontId="13" fillId="0" borderId="0" xfId="0" applyFont="1" applyAlignment="1">
      <alignment horizontal="center" vertical="center"/>
    </xf>
    <xf numFmtId="2" fontId="60" fillId="0" borderId="40" xfId="0" applyNumberFormat="1" applyFont="1" applyBorder="1" applyAlignment="1">
      <alignment horizontal="center" vertical="center"/>
    </xf>
    <xf numFmtId="2" fontId="60" fillId="0" borderId="105" xfId="0" applyNumberFormat="1" applyFont="1" applyBorder="1" applyAlignment="1">
      <alignment horizontal="center" vertical="center"/>
    </xf>
    <xf numFmtId="2" fontId="60" fillId="0" borderId="100" xfId="0" applyNumberFormat="1" applyFont="1" applyBorder="1" applyAlignment="1">
      <alignment horizontal="center" vertical="center"/>
    </xf>
    <xf numFmtId="0" fontId="22" fillId="0" borderId="29" xfId="0" applyFont="1" applyBorder="1" applyAlignment="1">
      <alignment horizontal="center" vertical="center"/>
    </xf>
    <xf numFmtId="0" fontId="22" fillId="0" borderId="29" xfId="0" applyFont="1" applyBorder="1" applyAlignment="1">
      <alignment horizontal="left" vertical="center"/>
    </xf>
    <xf numFmtId="0" fontId="22" fillId="7" borderId="29" xfId="0" applyFont="1" applyFill="1" applyBorder="1" applyAlignment="1">
      <alignment horizontal="center" vertical="center"/>
    </xf>
    <xf numFmtId="0" fontId="6" fillId="0" borderId="44" xfId="0" applyFont="1" applyBorder="1"/>
    <xf numFmtId="0" fontId="22" fillId="0" borderId="0" xfId="0" applyFont="1" applyAlignment="1">
      <alignment vertical="center"/>
    </xf>
    <xf numFmtId="0" fontId="22" fillId="0" borderId="0" xfId="0" applyFont="1" applyAlignment="1">
      <alignment vertical="center" wrapText="1"/>
    </xf>
    <xf numFmtId="0" fontId="52" fillId="0" borderId="0" xfId="0" applyFont="1" applyAlignment="1">
      <alignment vertical="center" wrapText="1"/>
    </xf>
    <xf numFmtId="2" fontId="22" fillId="0" borderId="0" xfId="0" applyNumberFormat="1" applyFont="1" applyAlignment="1">
      <alignment horizontal="center" vertical="center"/>
    </xf>
    <xf numFmtId="2" fontId="48" fillId="0" borderId="0" xfId="0" applyNumberFormat="1" applyFont="1" applyAlignment="1">
      <alignment horizontal="center" vertical="center"/>
    </xf>
    <xf numFmtId="2" fontId="52" fillId="0" borderId="0" xfId="0" applyNumberFormat="1" applyFont="1" applyAlignment="1">
      <alignment horizontal="center" vertical="center"/>
    </xf>
    <xf numFmtId="0" fontId="60" fillId="0" borderId="0" xfId="0" applyFont="1" applyAlignment="1">
      <alignment vertical="center" wrapText="1"/>
    </xf>
    <xf numFmtId="2" fontId="60" fillId="0" borderId="0" xfId="0" applyNumberFormat="1" applyFont="1" applyAlignment="1">
      <alignment horizontal="center" vertical="center"/>
    </xf>
    <xf numFmtId="0" fontId="22" fillId="0" borderId="0" xfId="0" applyFont="1" applyAlignment="1">
      <alignment horizontal="center"/>
    </xf>
    <xf numFmtId="0" fontId="22" fillId="0" borderId="97" xfId="0" applyFont="1" applyBorder="1" applyAlignment="1">
      <alignment vertical="center"/>
    </xf>
    <xf numFmtId="0" fontId="22" fillId="0" borderId="120" xfId="0" applyFont="1" applyBorder="1" applyAlignment="1">
      <alignment vertical="center" wrapText="1"/>
    </xf>
    <xf numFmtId="0" fontId="52" fillId="0" borderId="120" xfId="0" applyFont="1" applyBorder="1" applyAlignment="1">
      <alignment vertical="center" wrapText="1"/>
    </xf>
    <xf numFmtId="0" fontId="22" fillId="0" borderId="120" xfId="0" applyFont="1" applyBorder="1" applyAlignment="1">
      <alignment horizontal="center" vertical="center"/>
    </xf>
    <xf numFmtId="2" fontId="22" fillId="0" borderId="120" xfId="0" applyNumberFormat="1" applyFont="1" applyBorder="1" applyAlignment="1">
      <alignment horizontal="center" vertical="center"/>
    </xf>
    <xf numFmtId="2" fontId="22" fillId="0" borderId="121" xfId="0" applyNumberFormat="1" applyFont="1" applyBorder="1" applyAlignment="1">
      <alignment horizontal="center" vertical="center"/>
    </xf>
    <xf numFmtId="0" fontId="22" fillId="0" borderId="115" xfId="0" applyFont="1" applyBorder="1" applyAlignment="1">
      <alignment vertical="center"/>
    </xf>
    <xf numFmtId="2" fontId="22" fillId="0" borderId="122" xfId="0" applyNumberFormat="1" applyFont="1" applyBorder="1" applyAlignment="1">
      <alignment horizontal="center" vertical="center"/>
    </xf>
    <xf numFmtId="0" fontId="22" fillId="0" borderId="123" xfId="0" applyFont="1" applyBorder="1" applyAlignment="1">
      <alignment vertical="center"/>
    </xf>
    <xf numFmtId="0" fontId="22" fillId="0" borderId="30" xfId="0" applyFont="1" applyBorder="1" applyAlignment="1">
      <alignment vertical="center" wrapText="1"/>
    </xf>
    <xf numFmtId="0" fontId="52" fillId="0" borderId="30" xfId="0" applyFont="1" applyBorder="1" applyAlignment="1">
      <alignment vertical="center" wrapText="1"/>
    </xf>
    <xf numFmtId="0" fontId="22" fillId="0" borderId="30" xfId="0" applyFont="1" applyBorder="1" applyAlignment="1">
      <alignment horizontal="center" vertical="center"/>
    </xf>
    <xf numFmtId="2" fontId="22" fillId="0" borderId="30" xfId="0" applyNumberFormat="1" applyFont="1" applyBorder="1" applyAlignment="1">
      <alignment horizontal="center" vertical="center"/>
    </xf>
    <xf numFmtId="2" fontId="22" fillId="0" borderId="117" xfId="0" applyNumberFormat="1" applyFont="1" applyBorder="1" applyAlignment="1">
      <alignment horizontal="center" vertical="center"/>
    </xf>
    <xf numFmtId="2" fontId="48" fillId="0" borderId="120" xfId="0" applyNumberFormat="1" applyFont="1" applyBorder="1" applyAlignment="1">
      <alignment horizontal="center" vertical="center"/>
    </xf>
    <xf numFmtId="2" fontId="52" fillId="0" borderId="120" xfId="0" applyNumberFormat="1" applyFont="1" applyBorder="1" applyAlignment="1">
      <alignment horizontal="center" vertical="center"/>
    </xf>
    <xf numFmtId="2" fontId="48" fillId="0" borderId="121" xfId="0" applyNumberFormat="1" applyFont="1" applyBorder="1" applyAlignment="1">
      <alignment horizontal="center" vertical="center"/>
    </xf>
    <xf numFmtId="2" fontId="48" fillId="0" borderId="122" xfId="0" applyNumberFormat="1" applyFont="1" applyBorder="1" applyAlignment="1">
      <alignment horizontal="center" vertical="center"/>
    </xf>
    <xf numFmtId="2" fontId="48" fillId="0" borderId="30" xfId="0" applyNumberFormat="1" applyFont="1" applyBorder="1" applyAlignment="1">
      <alignment horizontal="center" vertical="center"/>
    </xf>
    <xf numFmtId="2" fontId="52" fillId="0" borderId="30" xfId="0" applyNumberFormat="1" applyFont="1" applyBorder="1" applyAlignment="1">
      <alignment horizontal="center" vertical="center"/>
    </xf>
    <xf numFmtId="2" fontId="48" fillId="0" borderId="117" xfId="0" applyNumberFormat="1" applyFont="1" applyBorder="1" applyAlignment="1">
      <alignment horizontal="center" vertical="center"/>
    </xf>
    <xf numFmtId="0" fontId="60" fillId="0" borderId="120" xfId="0" applyFont="1" applyBorder="1" applyAlignment="1">
      <alignment vertical="center" wrapText="1"/>
    </xf>
    <xf numFmtId="2" fontId="60" fillId="0" borderId="120" xfId="0" applyNumberFormat="1" applyFont="1" applyBorder="1" applyAlignment="1">
      <alignment horizontal="center" vertical="center"/>
    </xf>
    <xf numFmtId="0" fontId="60" fillId="0" borderId="30" xfId="0" applyFont="1" applyBorder="1" applyAlignment="1">
      <alignment vertical="center" wrapText="1"/>
    </xf>
    <xf numFmtId="2" fontId="60" fillId="0" borderId="30" xfId="0" applyNumberFormat="1" applyFont="1" applyBorder="1" applyAlignment="1">
      <alignment horizontal="center" vertical="center"/>
    </xf>
    <xf numFmtId="0" fontId="22" fillId="0" borderId="120" xfId="0" applyFont="1" applyBorder="1" applyAlignment="1">
      <alignment vertical="center"/>
    </xf>
    <xf numFmtId="0" fontId="22" fillId="0" borderId="120" xfId="0" applyFont="1" applyBorder="1" applyAlignment="1">
      <alignment horizontal="center"/>
    </xf>
    <xf numFmtId="0" fontId="22" fillId="0" borderId="121" xfId="0" applyFont="1" applyBorder="1" applyAlignment="1">
      <alignment horizontal="center"/>
    </xf>
    <xf numFmtId="0" fontId="22" fillId="0" borderId="122" xfId="0" applyFont="1" applyBorder="1" applyAlignment="1">
      <alignment horizontal="center"/>
    </xf>
    <xf numFmtId="0" fontId="22" fillId="0" borderId="30" xfId="0" applyFont="1" applyBorder="1" applyAlignment="1">
      <alignment vertical="center"/>
    </xf>
    <xf numFmtId="0" fontId="22" fillId="0" borderId="30" xfId="0" applyFont="1" applyBorder="1" applyAlignment="1">
      <alignment horizontal="center"/>
    </xf>
    <xf numFmtId="0" fontId="22" fillId="0" borderId="117" xfId="0" applyFont="1" applyBorder="1" applyAlignment="1">
      <alignment horizontal="center"/>
    </xf>
    <xf numFmtId="0" fontId="22" fillId="0" borderId="121" xfId="0" applyFont="1" applyBorder="1" applyAlignment="1">
      <alignment horizontal="center" vertical="center"/>
    </xf>
    <xf numFmtId="0" fontId="22" fillId="0" borderId="122" xfId="0" applyFont="1" applyBorder="1" applyAlignment="1">
      <alignment horizontal="center" vertical="center"/>
    </xf>
    <xf numFmtId="0" fontId="22" fillId="0" borderId="117" xfId="0" applyFont="1" applyBorder="1" applyAlignment="1">
      <alignment horizontal="center" vertical="center"/>
    </xf>
    <xf numFmtId="0" fontId="48" fillId="0" borderId="0" xfId="0" applyFont="1" applyAlignment="1">
      <alignment vertical="center" wrapText="1"/>
    </xf>
    <xf numFmtId="0" fontId="48" fillId="0" borderId="0" xfId="0" applyFont="1" applyAlignment="1">
      <alignment horizontal="center" vertical="center"/>
    </xf>
    <xf numFmtId="0" fontId="48" fillId="0" borderId="97" xfId="0" applyFont="1" applyBorder="1" applyAlignment="1">
      <alignment vertical="center"/>
    </xf>
    <xf numFmtId="0" fontId="48" fillId="0" borderId="120" xfId="0" applyFont="1" applyBorder="1" applyAlignment="1">
      <alignment vertical="center" wrapText="1"/>
    </xf>
    <xf numFmtId="0" fontId="48" fillId="0" borderId="120" xfId="0" applyFont="1" applyBorder="1" applyAlignment="1">
      <alignment horizontal="center" vertical="center"/>
    </xf>
    <xf numFmtId="0" fontId="48" fillId="0" borderId="121" xfId="0" applyFont="1" applyBorder="1" applyAlignment="1">
      <alignment horizontal="center" vertical="center"/>
    </xf>
    <xf numFmtId="0" fontId="48" fillId="0" borderId="115" xfId="0" applyFont="1" applyBorder="1" applyAlignment="1">
      <alignment vertical="center"/>
    </xf>
    <xf numFmtId="0" fontId="48" fillId="0" borderId="122" xfId="0" applyFont="1" applyBorder="1" applyAlignment="1">
      <alignment horizontal="center" vertical="center"/>
    </xf>
    <xf numFmtId="0" fontId="48" fillId="0" borderId="123" xfId="0" applyFont="1" applyBorder="1" applyAlignment="1">
      <alignment vertical="center"/>
    </xf>
    <xf numFmtId="0" fontId="48" fillId="0" borderId="30" xfId="0" applyFont="1" applyBorder="1" applyAlignment="1">
      <alignment vertical="center" wrapText="1"/>
    </xf>
    <xf numFmtId="0" fontId="48" fillId="0" borderId="30" xfId="0" applyFont="1" applyBorder="1" applyAlignment="1">
      <alignment horizontal="center" vertical="center"/>
    </xf>
    <xf numFmtId="0" fontId="48" fillId="0" borderId="117" xfId="0" applyFont="1" applyBorder="1" applyAlignment="1">
      <alignment horizontal="center" vertical="center"/>
    </xf>
    <xf numFmtId="2" fontId="22" fillId="0" borderId="118" xfId="0" applyNumberFormat="1" applyFont="1" applyBorder="1" applyAlignment="1">
      <alignment horizontal="center" vertical="center"/>
    </xf>
    <xf numFmtId="2" fontId="49" fillId="0" borderId="100" xfId="0" applyNumberFormat="1" applyFont="1" applyBorder="1" applyAlignment="1">
      <alignment horizontal="center" vertical="center"/>
    </xf>
    <xf numFmtId="2" fontId="48" fillId="0" borderId="1" xfId="0" applyNumberFormat="1" applyFont="1" applyBorder="1" applyAlignment="1">
      <alignment horizontal="center" vertical="center"/>
    </xf>
    <xf numFmtId="2" fontId="48" fillId="0" borderId="2" xfId="0" applyNumberFormat="1" applyFont="1" applyBorder="1" applyAlignment="1">
      <alignment horizontal="center" vertical="center"/>
    </xf>
    <xf numFmtId="2" fontId="48" fillId="0" borderId="12" xfId="0" applyNumberFormat="1" applyFont="1" applyBorder="1" applyAlignment="1">
      <alignment horizontal="center" vertical="center"/>
    </xf>
    <xf numFmtId="2" fontId="49" fillId="0" borderId="52" xfId="0" applyNumberFormat="1" applyFont="1" applyBorder="1" applyAlignment="1">
      <alignment horizontal="center" vertical="center"/>
    </xf>
    <xf numFmtId="2" fontId="49" fillId="0" borderId="40" xfId="0" applyNumberFormat="1" applyFont="1" applyBorder="1" applyAlignment="1">
      <alignment horizontal="center" vertical="center"/>
    </xf>
    <xf numFmtId="2" fontId="49" fillId="0" borderId="44" xfId="0" applyNumberFormat="1" applyFont="1" applyBorder="1" applyAlignment="1">
      <alignment horizontal="center" vertical="center"/>
    </xf>
    <xf numFmtId="2" fontId="49" fillId="0" borderId="119" xfId="0" applyNumberFormat="1" applyFont="1" applyBorder="1" applyAlignment="1">
      <alignment horizontal="center" vertical="center"/>
    </xf>
    <xf numFmtId="2" fontId="49" fillId="0" borderId="105" xfId="0" applyNumberFormat="1" applyFont="1" applyBorder="1" applyAlignment="1">
      <alignment horizontal="center" vertical="center"/>
    </xf>
    <xf numFmtId="2" fontId="49" fillId="0" borderId="118" xfId="0" applyNumberFormat="1" applyFont="1" applyBorder="1" applyAlignment="1">
      <alignment horizontal="center" vertical="center"/>
    </xf>
    <xf numFmtId="2" fontId="49" fillId="0" borderId="1" xfId="0" applyNumberFormat="1" applyFont="1" applyBorder="1" applyAlignment="1">
      <alignment horizontal="center" vertical="center"/>
    </xf>
    <xf numFmtId="2" fontId="49" fillId="0" borderId="2" xfId="0" applyNumberFormat="1" applyFont="1" applyBorder="1" applyAlignment="1">
      <alignment horizontal="center" vertical="center"/>
    </xf>
    <xf numFmtId="2" fontId="49" fillId="0" borderId="12" xfId="0" applyNumberFormat="1" applyFont="1" applyBorder="1" applyAlignment="1">
      <alignment horizontal="center" vertical="center"/>
    </xf>
    <xf numFmtId="2" fontId="49" fillId="0" borderId="48" xfId="0" applyNumberFormat="1" applyFont="1" applyBorder="1" applyAlignment="1">
      <alignment horizontal="center" vertical="center"/>
    </xf>
    <xf numFmtId="0" fontId="22" fillId="0" borderId="125" xfId="0" applyFont="1" applyBorder="1" applyAlignment="1">
      <alignment horizontal="center" vertical="center"/>
    </xf>
    <xf numFmtId="2" fontId="22" fillId="0" borderId="113" xfId="0" applyNumberFormat="1" applyFont="1" applyBorder="1" applyAlignment="1">
      <alignment horizontal="center" vertical="center"/>
    </xf>
    <xf numFmtId="2" fontId="22" fillId="0" borderId="108" xfId="0" applyNumberFormat="1" applyFont="1" applyBorder="1" applyAlignment="1">
      <alignment horizontal="center" vertical="center"/>
    </xf>
    <xf numFmtId="2" fontId="22" fillId="0" borderId="110" xfId="0" applyNumberFormat="1" applyFont="1" applyBorder="1" applyAlignment="1">
      <alignment horizontal="center" vertical="center"/>
    </xf>
    <xf numFmtId="0" fontId="22" fillId="0" borderId="127" xfId="0" applyFont="1" applyBorder="1" applyAlignment="1">
      <alignment horizontal="center" vertical="center"/>
    </xf>
    <xf numFmtId="2" fontId="22" fillId="0" borderId="114" xfId="0" applyNumberFormat="1" applyFont="1" applyBorder="1" applyAlignment="1">
      <alignment horizontal="center" vertical="center"/>
    </xf>
    <xf numFmtId="2" fontId="22" fillId="0" borderId="112" xfId="0" applyNumberFormat="1" applyFont="1" applyBorder="1" applyAlignment="1">
      <alignment horizontal="center" vertical="center"/>
    </xf>
    <xf numFmtId="2" fontId="48" fillId="0" borderId="113" xfId="0" applyNumberFormat="1" applyFont="1" applyBorder="1" applyAlignment="1">
      <alignment horizontal="center" vertical="center"/>
    </xf>
    <xf numFmtId="2" fontId="52" fillId="0" borderId="113" xfId="0" applyNumberFormat="1" applyFont="1" applyBorder="1" applyAlignment="1">
      <alignment horizontal="center" vertical="center"/>
    </xf>
    <xf numFmtId="2" fontId="48" fillId="0" borderId="108" xfId="0" applyNumberFormat="1" applyFont="1" applyBorder="1" applyAlignment="1">
      <alignment horizontal="center" vertical="center"/>
    </xf>
    <xf numFmtId="2" fontId="48" fillId="0" borderId="110" xfId="0" applyNumberFormat="1" applyFont="1" applyBorder="1" applyAlignment="1">
      <alignment horizontal="center" vertical="center"/>
    </xf>
    <xf numFmtId="2" fontId="48" fillId="0" borderId="114" xfId="0" applyNumberFormat="1" applyFont="1" applyBorder="1" applyAlignment="1">
      <alignment horizontal="center" vertical="center"/>
    </xf>
    <xf numFmtId="2" fontId="52" fillId="0" borderId="114" xfId="0" applyNumberFormat="1" applyFont="1" applyBorder="1" applyAlignment="1">
      <alignment horizontal="center" vertical="center"/>
    </xf>
    <xf numFmtId="2" fontId="48" fillId="0" borderId="112" xfId="0" applyNumberFormat="1" applyFont="1" applyBorder="1" applyAlignment="1">
      <alignment horizontal="center" vertical="center"/>
    </xf>
    <xf numFmtId="2" fontId="22" fillId="0" borderId="97" xfId="0" applyNumberFormat="1" applyFont="1" applyBorder="1" applyAlignment="1">
      <alignment horizontal="center" vertical="center"/>
    </xf>
    <xf numFmtId="2" fontId="22" fillId="0" borderId="115" xfId="0" applyNumberFormat="1" applyFont="1" applyBorder="1" applyAlignment="1">
      <alignment horizontal="center" vertical="center"/>
    </xf>
    <xf numFmtId="2" fontId="22" fillId="0" borderId="123" xfId="0" applyNumberFormat="1" applyFont="1" applyBorder="1" applyAlignment="1">
      <alignment horizontal="center" vertical="center"/>
    </xf>
    <xf numFmtId="0" fontId="1" fillId="44" borderId="16" xfId="0" applyFont="1" applyFill="1" applyBorder="1" applyAlignment="1">
      <alignment horizontal="left" vertical="center" wrapText="1"/>
    </xf>
    <xf numFmtId="0" fontId="61" fillId="0" borderId="0" xfId="0" applyFont="1" applyAlignment="1">
      <alignment horizontal="left"/>
    </xf>
    <xf numFmtId="0" fontId="6" fillId="44" borderId="130" xfId="0" applyFont="1" applyFill="1" applyBorder="1" applyAlignment="1">
      <alignment horizontal="left" vertical="center" wrapText="1"/>
    </xf>
    <xf numFmtId="0" fontId="0" fillId="0" borderId="131" xfId="0" applyBorder="1"/>
    <xf numFmtId="0" fontId="0" fillId="0" borderId="32" xfId="0" applyBorder="1"/>
    <xf numFmtId="0" fontId="17" fillId="0" borderId="0" xfId="0" applyFont="1"/>
    <xf numFmtId="0" fontId="6" fillId="0" borderId="74" xfId="0" applyFont="1" applyBorder="1"/>
    <xf numFmtId="0" fontId="6" fillId="0" borderId="75" xfId="0" applyFont="1" applyBorder="1"/>
    <xf numFmtId="0" fontId="6" fillId="0" borderId="75" xfId="0" applyFont="1" applyBorder="1" applyAlignment="1">
      <alignment horizontal="center"/>
    </xf>
    <xf numFmtId="0" fontId="6" fillId="0" borderId="76" xfId="0" applyFont="1" applyBorder="1" applyAlignment="1">
      <alignment horizontal="center"/>
    </xf>
    <xf numFmtId="0" fontId="6" fillId="0" borderId="76" xfId="0" applyFont="1" applyBorder="1"/>
    <xf numFmtId="0" fontId="6" fillId="0" borderId="55" xfId="0" applyFont="1" applyBorder="1"/>
    <xf numFmtId="0" fontId="6" fillId="0" borderId="56" xfId="0" applyFont="1" applyBorder="1" applyAlignment="1">
      <alignment horizontal="center"/>
    </xf>
    <xf numFmtId="0" fontId="17" fillId="0" borderId="55" xfId="0" applyFont="1" applyBorder="1"/>
    <xf numFmtId="0" fontId="6" fillId="0" borderId="56" xfId="0" applyFont="1" applyBorder="1"/>
    <xf numFmtId="9" fontId="6" fillId="0" borderId="56" xfId="2" applyFont="1" applyBorder="1"/>
    <xf numFmtId="0" fontId="6" fillId="0" borderId="77" xfId="0" applyFont="1" applyBorder="1"/>
    <xf numFmtId="0" fontId="6" fillId="0" borderId="78" xfId="0" applyFont="1" applyBorder="1" applyAlignment="1">
      <alignment wrapText="1"/>
    </xf>
    <xf numFmtId="0" fontId="6" fillId="0" borderId="78" xfId="0" applyFont="1" applyBorder="1"/>
    <xf numFmtId="0" fontId="6" fillId="0" borderId="79" xfId="0" applyFont="1" applyBorder="1" applyAlignment="1">
      <alignment horizontal="center"/>
    </xf>
    <xf numFmtId="0" fontId="6" fillId="0" borderId="79" xfId="0" applyFont="1" applyBorder="1"/>
    <xf numFmtId="0" fontId="6" fillId="2" borderId="0" xfId="0" applyFont="1" applyFill="1"/>
    <xf numFmtId="0" fontId="6" fillId="2" borderId="0" xfId="0" applyFont="1" applyFill="1" applyAlignment="1">
      <alignment wrapText="1"/>
    </xf>
    <xf numFmtId="0" fontId="6" fillId="2" borderId="0" xfId="0" applyFont="1" applyFill="1" applyAlignment="1">
      <alignment horizontal="left"/>
    </xf>
    <xf numFmtId="0" fontId="6" fillId="2" borderId="0" xfId="0" applyFont="1" applyFill="1" applyAlignment="1">
      <alignment horizontal="center"/>
    </xf>
    <xf numFmtId="0" fontId="62" fillId="0" borderId="0" xfId="0" applyFont="1"/>
    <xf numFmtId="168" fontId="21" fillId="0" borderId="0" xfId="0" applyNumberFormat="1" applyFont="1" applyAlignment="1">
      <alignment horizontal="center"/>
    </xf>
    <xf numFmtId="0" fontId="21" fillId="0" borderId="2" xfId="0" applyFont="1" applyBorder="1" applyAlignment="1">
      <alignment horizontal="left"/>
    </xf>
    <xf numFmtId="0" fontId="21" fillId="0" borderId="0" xfId="0" applyFont="1" applyAlignment="1">
      <alignment horizontal="center"/>
    </xf>
    <xf numFmtId="0" fontId="6" fillId="0" borderId="2" xfId="0" quotePrefix="1" applyFont="1" applyBorder="1" applyAlignment="1">
      <alignment horizontal="left" vertical="center" wrapText="1"/>
    </xf>
    <xf numFmtId="0" fontId="6" fillId="0" borderId="3" xfId="0" applyFont="1" applyBorder="1" applyAlignment="1">
      <alignment horizontal="left" vertical="center"/>
    </xf>
    <xf numFmtId="0" fontId="6" fillId="7" borderId="3" xfId="0" applyFont="1" applyFill="1" applyBorder="1"/>
    <xf numFmtId="0" fontId="12" fillId="0" borderId="32" xfId="0" applyFont="1" applyBorder="1" applyAlignment="1">
      <alignment horizontal="center" vertical="center"/>
    </xf>
    <xf numFmtId="0" fontId="6" fillId="0" borderId="3" xfId="0" applyFont="1" applyBorder="1" applyAlignment="1">
      <alignment vertical="center"/>
    </xf>
    <xf numFmtId="0" fontId="6" fillId="0" borderId="3" xfId="0" applyFont="1" applyBorder="1" applyAlignment="1">
      <alignment vertical="center" wrapText="1"/>
    </xf>
    <xf numFmtId="0" fontId="23" fillId="0" borderId="3" xfId="0" applyFont="1" applyBorder="1" applyAlignment="1">
      <alignment vertical="center"/>
    </xf>
    <xf numFmtId="0" fontId="23" fillId="0" borderId="32" xfId="0" applyFont="1" applyBorder="1" applyAlignment="1">
      <alignment horizontal="center" vertical="center"/>
    </xf>
    <xf numFmtId="0" fontId="1" fillId="0" borderId="134" xfId="0" applyFont="1" applyBorder="1" applyAlignment="1">
      <alignment horizontal="left" wrapText="1"/>
    </xf>
    <xf numFmtId="0" fontId="20" fillId="6" borderId="32" xfId="0" applyFont="1" applyFill="1" applyBorder="1" applyAlignment="1">
      <alignment horizontal="center" vertical="center" wrapText="1"/>
    </xf>
    <xf numFmtId="0" fontId="19" fillId="6" borderId="32" xfId="0" applyFont="1" applyFill="1" applyBorder="1" applyAlignment="1">
      <alignment horizontal="center" vertical="center"/>
    </xf>
    <xf numFmtId="3" fontId="6" fillId="0" borderId="32" xfId="7" applyNumberFormat="1" applyFont="1" applyBorder="1" applyAlignment="1">
      <alignment horizontal="center" vertical="center"/>
    </xf>
    <xf numFmtId="164" fontId="6" fillId="0" borderId="32" xfId="7" applyNumberFormat="1" applyFont="1" applyBorder="1" applyAlignment="1">
      <alignment horizontal="center" vertical="center"/>
    </xf>
    <xf numFmtId="3" fontId="1" fillId="0" borderId="32" xfId="3" applyNumberFormat="1" applyFont="1" applyFill="1" applyBorder="1" applyAlignment="1">
      <alignment horizontal="center" vertical="center" wrapText="1"/>
    </xf>
    <xf numFmtId="3" fontId="10" fillId="0" borderId="32" xfId="3" applyNumberFormat="1" applyFont="1" applyFill="1" applyBorder="1" applyAlignment="1">
      <alignment horizontal="center" vertical="center" wrapText="1"/>
    </xf>
    <xf numFmtId="3" fontId="1" fillId="0" borderId="32" xfId="7" applyNumberFormat="1" applyFont="1" applyBorder="1" applyAlignment="1">
      <alignment horizontal="center" vertical="center"/>
    </xf>
    <xf numFmtId="165" fontId="6" fillId="0" borderId="32" xfId="0" quotePrefix="1" applyNumberFormat="1" applyFont="1" applyBorder="1" applyAlignment="1">
      <alignment horizontal="center" vertical="center" wrapText="1"/>
    </xf>
    <xf numFmtId="0" fontId="10" fillId="0" borderId="2" xfId="3" applyFont="1" applyFill="1" applyBorder="1" applyAlignment="1">
      <alignment horizontal="center" vertical="center" wrapText="1"/>
    </xf>
    <xf numFmtId="0" fontId="1" fillId="0" borderId="2" xfId="1" applyBorder="1" applyAlignment="1">
      <alignment horizontal="center" vertical="center" wrapText="1"/>
    </xf>
    <xf numFmtId="0" fontId="1" fillId="0" borderId="0" xfId="0" applyFont="1" applyAlignment="1">
      <alignment horizontal="center" vertical="center"/>
    </xf>
    <xf numFmtId="169" fontId="1" fillId="0" borderId="32" xfId="6" applyNumberFormat="1" applyFont="1" applyBorder="1" applyAlignment="1">
      <alignment horizontal="center" vertical="center"/>
    </xf>
    <xf numFmtId="0" fontId="1" fillId="0" borderId="40" xfId="0" applyFont="1" applyBorder="1"/>
    <xf numFmtId="0" fontId="55" fillId="0" borderId="32" xfId="0" applyFont="1" applyBorder="1" applyAlignment="1">
      <alignment vertical="center"/>
    </xf>
    <xf numFmtId="0" fontId="1" fillId="0" borderId="96" xfId="0" applyFont="1" applyBorder="1" applyAlignment="1">
      <alignment horizontal="center" vertical="center"/>
    </xf>
    <xf numFmtId="0" fontId="19" fillId="0" borderId="0" xfId="0" applyFont="1"/>
    <xf numFmtId="0" fontId="23" fillId="44" borderId="129" xfId="0" applyFont="1" applyFill="1" applyBorder="1" applyAlignment="1">
      <alignment vertical="center"/>
    </xf>
    <xf numFmtId="0" fontId="30" fillId="0" borderId="0" xfId="0" applyFont="1" applyAlignment="1">
      <alignment vertical="center"/>
    </xf>
    <xf numFmtId="0" fontId="6" fillId="0" borderId="115" xfId="0" applyFont="1" applyBorder="1"/>
    <xf numFmtId="0" fontId="6" fillId="0" borderId="135" xfId="0" applyFont="1" applyBorder="1"/>
    <xf numFmtId="0" fontId="63" fillId="0" borderId="63" xfId="0" applyFont="1" applyBorder="1" applyAlignment="1">
      <alignment horizontal="center" vertical="center"/>
    </xf>
    <xf numFmtId="0" fontId="56" fillId="0" borderId="40" xfId="0" applyFont="1" applyBorder="1" applyAlignment="1">
      <alignment horizontal="center" vertical="center"/>
    </xf>
    <xf numFmtId="0" fontId="23" fillId="0" borderId="2" xfId="0" applyFont="1" applyBorder="1" applyAlignment="1">
      <alignment vertical="center"/>
    </xf>
    <xf numFmtId="0" fontId="0" fillId="0" borderId="136" xfId="0" applyBorder="1"/>
    <xf numFmtId="0" fontId="23" fillId="47" borderId="2" xfId="0" applyFont="1" applyFill="1" applyBorder="1" applyAlignment="1">
      <alignment horizontal="left" vertical="center"/>
    </xf>
    <xf numFmtId="0" fontId="23" fillId="47" borderId="22" xfId="0" applyFont="1" applyFill="1" applyBorder="1" applyAlignment="1">
      <alignment horizontal="left" vertical="center"/>
    </xf>
    <xf numFmtId="3" fontId="1" fillId="47" borderId="22" xfId="0" applyNumberFormat="1" applyFont="1" applyFill="1" applyBorder="1" applyAlignment="1">
      <alignment horizontal="left" vertical="center"/>
    </xf>
    <xf numFmtId="3" fontId="1" fillId="47" borderId="2" xfId="0" applyNumberFormat="1" applyFont="1" applyFill="1" applyBorder="1" applyAlignment="1">
      <alignment horizontal="left" vertical="center"/>
    </xf>
    <xf numFmtId="0" fontId="6" fillId="0" borderId="137" xfId="0" applyFont="1" applyBorder="1"/>
    <xf numFmtId="0" fontId="23" fillId="0" borderId="18" xfId="0" applyFont="1" applyBorder="1" applyAlignment="1">
      <alignment vertical="center"/>
    </xf>
    <xf numFmtId="0" fontId="23" fillId="47" borderId="2" xfId="0" applyFont="1" applyFill="1" applyBorder="1" applyAlignment="1">
      <alignment vertical="center" wrapText="1"/>
    </xf>
    <xf numFmtId="0" fontId="61" fillId="0" borderId="0" xfId="0" applyFont="1" applyAlignment="1">
      <alignment horizontal="left" wrapText="1"/>
    </xf>
    <xf numFmtId="0" fontId="56" fillId="45" borderId="0" xfId="0" applyFont="1" applyFill="1" applyAlignment="1">
      <alignment vertical="center" wrapText="1"/>
    </xf>
    <xf numFmtId="0" fontId="23" fillId="48" borderId="22" xfId="0" applyFont="1" applyFill="1" applyBorder="1" applyAlignment="1">
      <alignment vertical="center"/>
    </xf>
    <xf numFmtId="0" fontId="23" fillId="48" borderId="2" xfId="0" applyFont="1" applyFill="1" applyBorder="1" applyAlignment="1">
      <alignment horizontal="left" vertical="center"/>
    </xf>
    <xf numFmtId="0" fontId="23" fillId="48" borderId="2" xfId="0" quotePrefix="1" applyFont="1" applyFill="1" applyBorder="1" applyAlignment="1">
      <alignment horizontal="left" vertical="center"/>
    </xf>
    <xf numFmtId="0" fontId="23" fillId="44" borderId="2" xfId="0" applyFont="1" applyFill="1" applyBorder="1" applyAlignment="1">
      <alignment vertical="center"/>
    </xf>
    <xf numFmtId="0" fontId="6" fillId="44" borderId="2" xfId="0" applyFont="1" applyFill="1" applyBorder="1" applyAlignment="1">
      <alignment horizontal="left" vertical="center" wrapText="1"/>
    </xf>
    <xf numFmtId="0" fontId="23" fillId="44" borderId="11" xfId="0" applyFont="1" applyFill="1" applyBorder="1" applyAlignment="1">
      <alignment vertical="center"/>
    </xf>
    <xf numFmtId="0" fontId="1" fillId="10" borderId="2" xfId="0" applyFont="1" applyFill="1" applyBorder="1" applyAlignment="1">
      <alignment vertical="center"/>
    </xf>
    <xf numFmtId="0" fontId="33" fillId="0" borderId="0" xfId="0" applyFont="1" applyAlignment="1">
      <alignment vertical="center"/>
    </xf>
    <xf numFmtId="0" fontId="1" fillId="10" borderId="133" xfId="0" applyFont="1" applyFill="1" applyBorder="1" applyAlignment="1">
      <alignment vertical="center"/>
    </xf>
    <xf numFmtId="0" fontId="23" fillId="10" borderId="2" xfId="0" applyFont="1" applyFill="1" applyBorder="1" applyAlignment="1">
      <alignment vertical="center" wrapText="1"/>
    </xf>
    <xf numFmtId="0" fontId="1" fillId="10" borderId="2" xfId="0" applyFont="1" applyFill="1" applyBorder="1" applyAlignment="1">
      <alignment vertical="center" wrapText="1"/>
    </xf>
    <xf numFmtId="0" fontId="1" fillId="10" borderId="2" xfId="0" applyFont="1" applyFill="1" applyBorder="1" applyAlignment="1">
      <alignment horizontal="left" vertical="center" wrapText="1"/>
    </xf>
    <xf numFmtId="0" fontId="6" fillId="10" borderId="2" xfId="0" applyFont="1" applyFill="1" applyBorder="1" applyAlignment="1">
      <alignment horizontal="left" vertical="center" wrapText="1"/>
    </xf>
    <xf numFmtId="0" fontId="21" fillId="10" borderId="2" xfId="0" applyFont="1" applyFill="1" applyBorder="1" applyAlignment="1">
      <alignment horizontal="left" vertical="center" wrapText="1"/>
    </xf>
    <xf numFmtId="0" fontId="23" fillId="49" borderId="22" xfId="0" applyFont="1" applyFill="1" applyBorder="1" applyAlignment="1">
      <alignment vertical="center"/>
    </xf>
    <xf numFmtId="0" fontId="23" fillId="10" borderId="22" xfId="0" applyFont="1" applyFill="1" applyBorder="1" applyAlignment="1">
      <alignment vertical="center" wrapText="1"/>
    </xf>
    <xf numFmtId="0" fontId="21" fillId="10" borderId="22" xfId="0" applyFont="1" applyFill="1" applyBorder="1" applyAlignment="1">
      <alignment vertical="center" wrapText="1"/>
    </xf>
    <xf numFmtId="0" fontId="6" fillId="50" borderId="2" xfId="0" applyFont="1" applyFill="1" applyBorder="1" applyAlignment="1">
      <alignment vertical="center"/>
    </xf>
    <xf numFmtId="0" fontId="1" fillId="50" borderId="2" xfId="0" applyFont="1" applyFill="1" applyBorder="1" applyAlignment="1">
      <alignment horizontal="left" vertical="center"/>
    </xf>
    <xf numFmtId="0" fontId="21" fillId="50" borderId="2" xfId="0" applyFont="1" applyFill="1" applyBorder="1" applyAlignment="1">
      <alignment horizontal="left" wrapText="1"/>
    </xf>
    <xf numFmtId="0" fontId="6" fillId="50" borderId="2" xfId="0" applyFont="1" applyFill="1" applyBorder="1" applyAlignment="1">
      <alignment horizontal="left" vertical="center"/>
    </xf>
    <xf numFmtId="0" fontId="6" fillId="51" borderId="2" xfId="0" applyFont="1" applyFill="1" applyBorder="1" applyAlignment="1">
      <alignment vertical="center"/>
    </xf>
    <xf numFmtId="0" fontId="50" fillId="51" borderId="2" xfId="0" quotePrefix="1" applyFont="1" applyFill="1" applyBorder="1" applyAlignment="1">
      <alignment horizontal="left" vertical="center"/>
    </xf>
    <xf numFmtId="0" fontId="1" fillId="51" borderId="2" xfId="0" applyFont="1" applyFill="1" applyBorder="1" applyAlignment="1">
      <alignment horizontal="left"/>
    </xf>
    <xf numFmtId="0" fontId="6" fillId="51" borderId="2" xfId="0" applyFont="1" applyFill="1" applyBorder="1" applyAlignment="1">
      <alignment horizontal="left" vertical="center"/>
    </xf>
    <xf numFmtId="0" fontId="6" fillId="52" borderId="2" xfId="0" applyFont="1" applyFill="1" applyBorder="1" applyAlignment="1">
      <alignment vertical="center"/>
    </xf>
    <xf numFmtId="0" fontId="1" fillId="52" borderId="2" xfId="0" applyFont="1" applyFill="1" applyBorder="1" applyAlignment="1">
      <alignment horizontal="left" vertical="center"/>
    </xf>
    <xf numFmtId="0" fontId="1" fillId="52" borderId="2" xfId="0" applyFont="1" applyFill="1" applyBorder="1" applyAlignment="1">
      <alignment horizontal="left"/>
    </xf>
    <xf numFmtId="0" fontId="6" fillId="52" borderId="2" xfId="0" applyFont="1" applyFill="1" applyBorder="1" applyAlignment="1">
      <alignment horizontal="left" vertical="center"/>
    </xf>
    <xf numFmtId="0" fontId="1" fillId="52" borderId="2" xfId="0" applyFont="1" applyFill="1" applyBorder="1" applyAlignment="1">
      <alignment vertical="center"/>
    </xf>
    <xf numFmtId="0" fontId="1" fillId="52" borderId="2" xfId="0" applyFont="1" applyFill="1" applyBorder="1"/>
    <xf numFmtId="0" fontId="6" fillId="50" borderId="2" xfId="0" applyFont="1" applyFill="1" applyBorder="1" applyAlignment="1">
      <alignment horizontal="left"/>
    </xf>
    <xf numFmtId="3" fontId="21" fillId="50" borderId="2" xfId="0" applyNumberFormat="1" applyFont="1" applyFill="1" applyBorder="1" applyAlignment="1">
      <alignment horizontal="left"/>
    </xf>
    <xf numFmtId="0" fontId="21" fillId="50" borderId="2" xfId="0" applyFont="1" applyFill="1" applyBorder="1" applyAlignment="1">
      <alignment horizontal="left"/>
    </xf>
    <xf numFmtId="0" fontId="6" fillId="52" borderId="2" xfId="0" applyFont="1" applyFill="1" applyBorder="1" applyAlignment="1">
      <alignment horizontal="left"/>
    </xf>
    <xf numFmtId="0" fontId="6" fillId="0" borderId="2" xfId="0" applyFont="1" applyBorder="1" applyAlignment="1">
      <alignment horizontal="left" vertical="center"/>
    </xf>
    <xf numFmtId="3" fontId="6" fillId="0" borderId="2" xfId="0" applyNumberFormat="1" applyFont="1" applyBorder="1" applyAlignment="1">
      <alignment horizontal="left" vertical="center"/>
    </xf>
    <xf numFmtId="0" fontId="1" fillId="0" borderId="128" xfId="0" applyFont="1" applyBorder="1" applyAlignment="1">
      <alignment horizontal="left"/>
    </xf>
    <xf numFmtId="0" fontId="23" fillId="0" borderId="132" xfId="0" applyFont="1" applyBorder="1" applyAlignment="1">
      <alignment horizontal="left"/>
    </xf>
    <xf numFmtId="0" fontId="6" fillId="0" borderId="138" xfId="0" applyFont="1" applyBorder="1" applyAlignment="1">
      <alignment horizontal="left"/>
    </xf>
    <xf numFmtId="0" fontId="23" fillId="47" borderId="2" xfId="0" applyFont="1" applyFill="1" applyBorder="1" applyAlignment="1">
      <alignment horizontal="left" vertical="center" wrapText="1"/>
    </xf>
    <xf numFmtId="0" fontId="23" fillId="47" borderId="19" xfId="0" applyFont="1" applyFill="1" applyBorder="1" applyAlignment="1">
      <alignment horizontal="left" vertical="center" wrapText="1"/>
    </xf>
    <xf numFmtId="0" fontId="23" fillId="48" borderId="22" xfId="0" applyFont="1" applyFill="1" applyBorder="1" applyAlignment="1">
      <alignment horizontal="left" vertical="center"/>
    </xf>
    <xf numFmtId="0" fontId="12" fillId="0" borderId="0" xfId="0" applyFont="1" applyAlignment="1">
      <alignment horizontal="left"/>
    </xf>
    <xf numFmtId="0" fontId="33" fillId="0" borderId="0" xfId="0" applyFont="1" applyAlignment="1">
      <alignment horizontal="left"/>
    </xf>
    <xf numFmtId="0" fontId="23" fillId="48" borderId="22" xfId="0" applyFont="1" applyFill="1" applyBorder="1" applyAlignment="1">
      <alignment horizontal="left" vertical="center" wrapText="1"/>
    </xf>
    <xf numFmtId="0" fontId="23" fillId="44" borderId="2" xfId="0" applyFont="1" applyFill="1" applyBorder="1" applyAlignment="1">
      <alignment horizontal="left" wrapText="1"/>
    </xf>
    <xf numFmtId="0" fontId="7" fillId="6" borderId="0" xfId="0" applyFont="1" applyFill="1" applyAlignment="1">
      <alignment horizontal="center" vertical="center"/>
    </xf>
    <xf numFmtId="3" fontId="1" fillId="0" borderId="2" xfId="3" applyNumberFormat="1" applyFont="1" applyFill="1" applyBorder="1" applyAlignment="1">
      <alignment horizontal="center" vertical="center" wrapText="1"/>
    </xf>
    <xf numFmtId="2" fontId="22" fillId="0" borderId="140" xfId="0" applyNumberFormat="1" applyFont="1" applyBorder="1" applyAlignment="1">
      <alignment horizontal="center" vertical="center"/>
    </xf>
    <xf numFmtId="2" fontId="22" fillId="0" borderId="42" xfId="0" applyNumberFormat="1" applyFont="1" applyBorder="1" applyAlignment="1">
      <alignment horizontal="center" vertical="center"/>
    </xf>
    <xf numFmtId="2" fontId="22" fillId="0" borderId="143" xfId="0" applyNumberFormat="1" applyFont="1" applyBorder="1" applyAlignment="1">
      <alignment horizontal="center" vertical="center"/>
    </xf>
    <xf numFmtId="0" fontId="22" fillId="0" borderId="0" xfId="0" applyFont="1" applyAlignment="1">
      <alignment horizontal="center" vertical="center" wrapText="1"/>
    </xf>
    <xf numFmtId="0" fontId="22" fillId="0" borderId="158" xfId="0" applyFont="1" applyBorder="1" applyAlignment="1">
      <alignment horizontal="center" vertical="center"/>
    </xf>
    <xf numFmtId="1" fontId="22" fillId="0" borderId="159" xfId="0" applyNumberFormat="1" applyFont="1" applyBorder="1" applyAlignment="1">
      <alignment horizontal="center" vertical="center"/>
    </xf>
    <xf numFmtId="1" fontId="22" fillId="0" borderId="160" xfId="0" applyNumberFormat="1" applyFont="1" applyBorder="1" applyAlignment="1">
      <alignment horizontal="center" vertical="center"/>
    </xf>
    <xf numFmtId="0" fontId="22" fillId="0" borderId="163" xfId="0" applyFont="1" applyBorder="1" applyAlignment="1">
      <alignment horizontal="center" vertical="center"/>
    </xf>
    <xf numFmtId="1" fontId="22" fillId="0" borderId="13" xfId="0" applyNumberFormat="1" applyFont="1" applyBorder="1" applyAlignment="1">
      <alignment horizontal="center" vertical="center"/>
    </xf>
    <xf numFmtId="1" fontId="22" fillId="0" borderId="164" xfId="0" applyNumberFormat="1" applyFont="1" applyBorder="1" applyAlignment="1">
      <alignment horizontal="center" vertical="center"/>
    </xf>
    <xf numFmtId="0" fontId="22" fillId="0" borderId="167" xfId="0" applyFont="1" applyBorder="1" applyAlignment="1">
      <alignment horizontal="center" vertical="center"/>
    </xf>
    <xf numFmtId="0" fontId="22" fillId="0" borderId="171" xfId="0" applyFont="1" applyBorder="1" applyAlignment="1">
      <alignment horizontal="center" vertical="center"/>
    </xf>
    <xf numFmtId="1" fontId="22" fillId="0" borderId="156" xfId="0" applyNumberFormat="1" applyFont="1" applyBorder="1" applyAlignment="1">
      <alignment horizontal="center" vertical="center"/>
    </xf>
    <xf numFmtId="1" fontId="22" fillId="0" borderId="157" xfId="0" applyNumberFormat="1" applyFont="1" applyBorder="1" applyAlignment="1">
      <alignment horizontal="center" vertical="center"/>
    </xf>
    <xf numFmtId="0" fontId="22" fillId="0" borderId="174" xfId="0" applyFont="1" applyBorder="1" applyAlignment="1">
      <alignment horizontal="center" vertical="center"/>
    </xf>
    <xf numFmtId="1" fontId="22" fillId="0" borderId="32" xfId="0" applyNumberFormat="1" applyFont="1" applyBorder="1" applyAlignment="1">
      <alignment horizontal="center" vertical="center"/>
    </xf>
    <xf numFmtId="1" fontId="22" fillId="0" borderId="162" xfId="0" applyNumberFormat="1" applyFont="1" applyBorder="1" applyAlignment="1">
      <alignment horizontal="center" vertical="center"/>
    </xf>
    <xf numFmtId="0" fontId="22" fillId="0" borderId="178" xfId="0" applyFont="1" applyBorder="1" applyAlignment="1">
      <alignment horizontal="center" vertical="center"/>
    </xf>
    <xf numFmtId="1" fontId="22" fillId="0" borderId="179" xfId="0" applyNumberFormat="1" applyFont="1" applyBorder="1" applyAlignment="1">
      <alignment horizontal="center" vertical="center"/>
    </xf>
    <xf numFmtId="1" fontId="22" fillId="0" borderId="180" xfId="0" applyNumberFormat="1" applyFont="1" applyBorder="1" applyAlignment="1">
      <alignment horizontal="center" vertical="center"/>
    </xf>
    <xf numFmtId="0" fontId="22" fillId="0" borderId="140" xfId="0" applyFont="1" applyBorder="1" applyAlignment="1">
      <alignment horizontal="center" vertical="center"/>
    </xf>
    <xf numFmtId="0" fontId="22" fillId="0" borderId="143" xfId="0" applyFont="1" applyBorder="1" applyAlignment="1">
      <alignment horizontal="center" vertical="center"/>
    </xf>
    <xf numFmtId="1" fontId="22" fillId="0" borderId="184" xfId="0" applyNumberFormat="1" applyFont="1" applyBorder="1" applyAlignment="1">
      <alignment horizontal="center" vertical="center"/>
    </xf>
    <xf numFmtId="1" fontId="22" fillId="0" borderId="185" xfId="0" applyNumberFormat="1" applyFont="1" applyBorder="1" applyAlignment="1">
      <alignment horizontal="center" vertical="center"/>
    </xf>
    <xf numFmtId="1" fontId="22" fillId="0" borderId="139" xfId="0" applyNumberFormat="1" applyFont="1" applyBorder="1" applyAlignment="1">
      <alignment horizontal="center" vertical="center"/>
    </xf>
    <xf numFmtId="1" fontId="22" fillId="0" borderId="187" xfId="0" applyNumberFormat="1" applyFont="1" applyBorder="1" applyAlignment="1">
      <alignment horizontal="center" vertical="center"/>
    </xf>
    <xf numFmtId="1" fontId="22" fillId="0" borderId="31" xfId="0" applyNumberFormat="1" applyFont="1" applyBorder="1" applyAlignment="1">
      <alignment horizontal="center" vertical="center"/>
    </xf>
    <xf numFmtId="1" fontId="22" fillId="0" borderId="190" xfId="0" applyNumberFormat="1" applyFont="1" applyBorder="1" applyAlignment="1">
      <alignment horizontal="center" vertical="center"/>
    </xf>
    <xf numFmtId="1" fontId="22" fillId="0" borderId="192" xfId="0" applyNumberFormat="1" applyFont="1" applyBorder="1" applyAlignment="1">
      <alignment horizontal="center" vertical="center"/>
    </xf>
    <xf numFmtId="1" fontId="22" fillId="0" borderId="191" xfId="0" applyNumberFormat="1" applyFont="1" applyBorder="1" applyAlignment="1">
      <alignment horizontal="center" vertical="center"/>
    </xf>
    <xf numFmtId="1" fontId="22" fillId="0" borderId="193" xfId="0" applyNumberFormat="1" applyFont="1" applyBorder="1" applyAlignment="1">
      <alignment horizontal="center" vertical="center"/>
    </xf>
    <xf numFmtId="1" fontId="22" fillId="0" borderId="186" xfId="0" applyNumberFormat="1" applyFont="1" applyBorder="1" applyAlignment="1">
      <alignment horizontal="center" vertical="center"/>
    </xf>
    <xf numFmtId="1" fontId="22" fillId="0" borderId="195" xfId="0" applyNumberFormat="1" applyFont="1" applyBorder="1" applyAlignment="1">
      <alignment horizontal="center" vertical="center"/>
    </xf>
    <xf numFmtId="1" fontId="22" fillId="0" borderId="176" xfId="0" applyNumberFormat="1" applyFont="1" applyBorder="1" applyAlignment="1">
      <alignment horizontal="center" vertical="center"/>
    </xf>
    <xf numFmtId="1" fontId="22" fillId="0" borderId="194" xfId="0" applyNumberFormat="1" applyFont="1" applyBorder="1" applyAlignment="1">
      <alignment horizontal="center" vertical="center"/>
    </xf>
    <xf numFmtId="0" fontId="22" fillId="0" borderId="196" xfId="0" applyFont="1" applyBorder="1" applyAlignment="1">
      <alignment horizontal="center" vertical="center"/>
    </xf>
    <xf numFmtId="1" fontId="22" fillId="0" borderId="169" xfId="0" applyNumberFormat="1" applyFont="1" applyBorder="1" applyAlignment="1">
      <alignment horizontal="center" vertical="center"/>
    </xf>
    <xf numFmtId="1" fontId="22" fillId="0" borderId="183" xfId="0" applyNumberFormat="1" applyFont="1" applyBorder="1" applyAlignment="1">
      <alignment horizontal="center" vertical="center"/>
    </xf>
    <xf numFmtId="0" fontId="22" fillId="0" borderId="34" xfId="0" applyFont="1" applyBorder="1" applyAlignment="1">
      <alignment horizontal="center" vertical="center"/>
    </xf>
    <xf numFmtId="0" fontId="22" fillId="0" borderId="198" xfId="0" applyFont="1" applyBorder="1" applyAlignment="1">
      <alignment horizontal="center" vertical="center"/>
    </xf>
    <xf numFmtId="0" fontId="22" fillId="0" borderId="200" xfId="0" applyFont="1" applyBorder="1" applyAlignment="1">
      <alignment horizontal="center" vertical="center"/>
    </xf>
    <xf numFmtId="0" fontId="22" fillId="0" borderId="205" xfId="0" applyFont="1" applyBorder="1" applyAlignment="1">
      <alignment horizontal="center" vertical="center"/>
    </xf>
    <xf numFmtId="165" fontId="48" fillId="0" borderId="100" xfId="0" applyNumberFormat="1" applyFont="1" applyBorder="1" applyAlignment="1">
      <alignment horizontal="center" vertical="center"/>
    </xf>
    <xf numFmtId="165" fontId="48" fillId="0" borderId="101" xfId="0" applyNumberFormat="1" applyFont="1" applyBorder="1" applyAlignment="1">
      <alignment horizontal="center" vertical="center"/>
    </xf>
    <xf numFmtId="165" fontId="48" fillId="0" borderId="40" xfId="0" applyNumberFormat="1" applyFont="1" applyBorder="1" applyAlignment="1">
      <alignment horizontal="center" vertical="center"/>
    </xf>
    <xf numFmtId="165" fontId="48" fillId="0" borderId="52" xfId="0" applyNumberFormat="1" applyFont="1" applyBorder="1" applyAlignment="1">
      <alignment horizontal="center" vertical="center"/>
    </xf>
    <xf numFmtId="165" fontId="48" fillId="0" borderId="103" xfId="0" applyNumberFormat="1" applyFont="1" applyBorder="1" applyAlignment="1">
      <alignment horizontal="center" vertical="center"/>
    </xf>
    <xf numFmtId="0" fontId="22" fillId="0" borderId="208" xfId="0" applyFont="1" applyBorder="1" applyAlignment="1">
      <alignment horizontal="center" vertical="center"/>
    </xf>
    <xf numFmtId="165" fontId="48" fillId="0" borderId="44" xfId="0" applyNumberFormat="1" applyFont="1" applyBorder="1" applyAlignment="1">
      <alignment horizontal="center" vertical="center"/>
    </xf>
    <xf numFmtId="165" fontId="48" fillId="0" borderId="116" xfId="0" applyNumberFormat="1" applyFont="1" applyBorder="1" applyAlignment="1">
      <alignment horizontal="center" vertical="center"/>
    </xf>
    <xf numFmtId="165" fontId="48" fillId="0" borderId="209" xfId="0" applyNumberFormat="1" applyFont="1" applyBorder="1" applyAlignment="1">
      <alignment horizontal="center" vertical="center"/>
    </xf>
    <xf numFmtId="165" fontId="48" fillId="0" borderId="36" xfId="0" applyNumberFormat="1" applyFont="1" applyBorder="1" applyAlignment="1">
      <alignment horizontal="center" vertical="center"/>
    </xf>
    <xf numFmtId="165" fontId="48" fillId="0" borderId="37" xfId="0" applyNumberFormat="1" applyFont="1" applyBorder="1" applyAlignment="1">
      <alignment horizontal="center" vertical="center"/>
    </xf>
    <xf numFmtId="165" fontId="48" fillId="0" borderId="41" xfId="0" applyNumberFormat="1" applyFont="1" applyBorder="1" applyAlignment="1">
      <alignment horizontal="center" vertical="center"/>
    </xf>
    <xf numFmtId="165" fontId="48" fillId="0" borderId="48" xfId="0" applyNumberFormat="1" applyFont="1" applyBorder="1" applyAlignment="1">
      <alignment horizontal="center" vertical="center"/>
    </xf>
    <xf numFmtId="165" fontId="48" fillId="0" borderId="49" xfId="0" applyNumberFormat="1" applyFont="1" applyBorder="1" applyAlignment="1">
      <alignment horizontal="center" vertical="center"/>
    </xf>
    <xf numFmtId="165" fontId="48" fillId="0" borderId="0" xfId="0" applyNumberFormat="1" applyFont="1" applyAlignment="1">
      <alignment horizontal="center" vertical="center"/>
    </xf>
    <xf numFmtId="0" fontId="24" fillId="10" borderId="210" xfId="0" applyFont="1" applyFill="1" applyBorder="1" applyAlignment="1">
      <alignment horizontal="center" vertical="center" wrapText="1"/>
    </xf>
    <xf numFmtId="0" fontId="19" fillId="10" borderId="211" xfId="0" applyFont="1" applyFill="1" applyBorder="1" applyAlignment="1">
      <alignment horizontal="center" vertical="center" wrapText="1"/>
    </xf>
    <xf numFmtId="0" fontId="19" fillId="53" borderId="4" xfId="0" applyFont="1" applyFill="1" applyBorder="1" applyAlignment="1">
      <alignment horizontal="center" vertical="center" wrapText="1"/>
    </xf>
    <xf numFmtId="0" fontId="19" fillId="53" borderId="57" xfId="0" applyFont="1" applyFill="1" applyBorder="1" applyAlignment="1">
      <alignment horizontal="center" vertical="center" wrapText="1"/>
    </xf>
    <xf numFmtId="0" fontId="19" fillId="53" borderId="212" xfId="0" applyFont="1" applyFill="1" applyBorder="1" applyAlignment="1">
      <alignment horizontal="center" vertical="center" wrapText="1"/>
    </xf>
    <xf numFmtId="0" fontId="19" fillId="53" borderId="1" xfId="0" applyFont="1" applyFill="1" applyBorder="1" applyAlignment="1">
      <alignment horizontal="center" vertical="center" wrapText="1"/>
    </xf>
    <xf numFmtId="0" fontId="23" fillId="0" borderId="21" xfId="0" applyFont="1" applyBorder="1" applyAlignment="1">
      <alignment horizontal="center" vertical="center"/>
    </xf>
    <xf numFmtId="165" fontId="64" fillId="0" borderId="2" xfId="0" applyNumberFormat="1" applyFont="1" applyBorder="1"/>
    <xf numFmtId="0" fontId="23" fillId="0" borderId="216" xfId="0" applyFont="1" applyBorder="1" applyAlignment="1">
      <alignment horizontal="center" vertical="center"/>
    </xf>
    <xf numFmtId="0" fontId="34" fillId="0" borderId="0" xfId="0" applyFont="1" applyAlignment="1">
      <alignment horizontal="center" vertical="center"/>
    </xf>
    <xf numFmtId="165" fontId="6" fillId="0" borderId="0" xfId="0" applyNumberFormat="1" applyFont="1"/>
    <xf numFmtId="0" fontId="19" fillId="10" borderId="2" xfId="0" applyFont="1" applyFill="1" applyBorder="1" applyAlignment="1">
      <alignment horizontal="center" vertical="center" wrapText="1"/>
    </xf>
    <xf numFmtId="165" fontId="23" fillId="0" borderId="220" xfId="0" applyNumberFormat="1" applyFont="1" applyBorder="1"/>
    <xf numFmtId="165" fontId="0" fillId="0" borderId="0" xfId="2" applyNumberFormat="1" applyFont="1" applyFill="1" applyBorder="1"/>
    <xf numFmtId="165" fontId="1" fillId="0" borderId="23" xfId="0" applyNumberFormat="1" applyFont="1" applyBorder="1" applyAlignment="1">
      <alignment horizontal="center" vertical="center"/>
    </xf>
    <xf numFmtId="0" fontId="19" fillId="53" borderId="221" xfId="0" applyFont="1" applyFill="1" applyBorder="1" applyAlignment="1">
      <alignment horizontal="center" vertical="center" wrapText="1"/>
    </xf>
    <xf numFmtId="0" fontId="19" fillId="0" borderId="0" xfId="0" applyFont="1" applyAlignment="1">
      <alignment horizontal="center" vertical="center" wrapText="1"/>
    </xf>
    <xf numFmtId="0" fontId="19" fillId="0" borderId="222" xfId="0" applyFont="1" applyBorder="1" applyAlignment="1">
      <alignment horizontal="center" vertical="center" wrapText="1"/>
    </xf>
    <xf numFmtId="0" fontId="19" fillId="0" borderId="223" xfId="0" applyFont="1" applyBorder="1" applyAlignment="1">
      <alignment horizontal="center" vertical="center" wrapText="1"/>
    </xf>
    <xf numFmtId="0" fontId="19" fillId="0" borderId="224" xfId="0" applyFont="1" applyBorder="1" applyAlignment="1">
      <alignment horizontal="center" vertical="center" wrapText="1"/>
    </xf>
    <xf numFmtId="165" fontId="64" fillId="0" borderId="225" xfId="0" applyNumberFormat="1" applyFont="1" applyBorder="1"/>
    <xf numFmtId="165" fontId="6" fillId="0" borderId="226" xfId="0" applyNumberFormat="1" applyFont="1" applyBorder="1"/>
    <xf numFmtId="165" fontId="64" fillId="0" borderId="227" xfId="0" applyNumberFormat="1" applyFont="1" applyBorder="1"/>
    <xf numFmtId="165" fontId="64" fillId="0" borderId="228" xfId="0" applyNumberFormat="1" applyFont="1" applyBorder="1"/>
    <xf numFmtId="0" fontId="6" fillId="0" borderId="228" xfId="0" applyFont="1" applyBorder="1"/>
    <xf numFmtId="165" fontId="6" fillId="0" borderId="229" xfId="0" applyNumberFormat="1" applyFont="1" applyBorder="1"/>
    <xf numFmtId="165" fontId="6" fillId="0" borderId="32" xfId="6" applyNumberFormat="1" applyFont="1" applyBorder="1" applyAlignment="1">
      <alignment horizontal="center" vertical="center"/>
    </xf>
    <xf numFmtId="165" fontId="1" fillId="0" borderId="32" xfId="6" applyNumberFormat="1" applyFont="1" applyBorder="1" applyAlignment="1">
      <alignment horizontal="center" vertical="center"/>
    </xf>
    <xf numFmtId="43" fontId="6" fillId="0" borderId="0" xfId="6" applyFont="1"/>
    <xf numFmtId="2" fontId="49" fillId="0" borderId="53" xfId="0" applyNumberFormat="1" applyFont="1" applyBorder="1" applyAlignment="1">
      <alignment horizontal="center" vertical="center"/>
    </xf>
    <xf numFmtId="2" fontId="49" fillId="0" borderId="41" xfId="0" applyNumberFormat="1" applyFont="1" applyBorder="1" applyAlignment="1">
      <alignment horizontal="center" vertical="center"/>
    </xf>
    <xf numFmtId="165" fontId="1" fillId="0" borderId="32" xfId="0" applyNumberFormat="1" applyFont="1" applyBorder="1" applyAlignment="1">
      <alignment horizontal="center" vertical="center"/>
    </xf>
    <xf numFmtId="165" fontId="23" fillId="0" borderId="60" xfId="0" applyNumberFormat="1" applyFont="1" applyBorder="1" applyAlignment="1">
      <alignment horizontal="center" vertical="center"/>
    </xf>
    <xf numFmtId="165" fontId="23" fillId="0" borderId="22" xfId="0" applyNumberFormat="1" applyFont="1" applyBorder="1" applyAlignment="1">
      <alignment horizontal="center" vertical="center"/>
    </xf>
    <xf numFmtId="165" fontId="23" fillId="0" borderId="214" xfId="0" applyNumberFormat="1" applyFont="1" applyBorder="1" applyAlignment="1">
      <alignment horizontal="center" vertical="center"/>
    </xf>
    <xf numFmtId="165" fontId="23" fillId="0" borderId="148" xfId="0" applyNumberFormat="1" applyFont="1" applyBorder="1" applyAlignment="1">
      <alignment horizontal="center" vertical="center"/>
    </xf>
    <xf numFmtId="165" fontId="23" fillId="0" borderId="217" xfId="0" applyNumberFormat="1" applyFont="1" applyBorder="1" applyAlignment="1">
      <alignment horizontal="center" vertical="center"/>
    </xf>
    <xf numFmtId="165" fontId="23" fillId="0" borderId="79" xfId="0" applyNumberFormat="1" applyFont="1" applyBorder="1" applyAlignment="1">
      <alignment horizontal="center" vertical="center"/>
    </xf>
    <xf numFmtId="165" fontId="0" fillId="0" borderId="28" xfId="0" applyNumberFormat="1" applyBorder="1"/>
    <xf numFmtId="2" fontId="65" fillId="0" borderId="19" xfId="0" applyNumberFormat="1" applyFont="1" applyBorder="1" applyAlignment="1">
      <alignment horizontal="center" vertical="center"/>
    </xf>
    <xf numFmtId="2" fontId="65" fillId="0" borderId="61" xfId="0" applyNumberFormat="1" applyFont="1" applyBorder="1" applyAlignment="1">
      <alignment horizontal="center" vertical="center"/>
    </xf>
    <xf numFmtId="2" fontId="65" fillId="0" borderId="2" xfId="0" applyNumberFormat="1" applyFont="1" applyBorder="1" applyAlignment="1">
      <alignment horizontal="center" vertical="center"/>
    </xf>
    <xf numFmtId="2" fontId="65" fillId="0" borderId="28" xfId="0" applyNumberFormat="1" applyFont="1" applyBorder="1" applyAlignment="1">
      <alignment horizontal="center" vertical="center"/>
    </xf>
    <xf numFmtId="0" fontId="8" fillId="0" borderId="0" xfId="5" applyBorder="1" applyAlignment="1">
      <alignment vertical="center"/>
    </xf>
    <xf numFmtId="0" fontId="1" fillId="0" borderId="0" xfId="1" applyAlignment="1">
      <alignment vertical="center" wrapText="1"/>
    </xf>
    <xf numFmtId="0" fontId="1" fillId="0" borderId="0" xfId="0" applyFont="1" applyAlignment="1">
      <alignment horizontal="center" vertical="center" wrapText="1"/>
    </xf>
    <xf numFmtId="0" fontId="6" fillId="0" borderId="0" xfId="0" applyFont="1" applyAlignment="1">
      <alignment horizontal="left" wrapText="1"/>
    </xf>
    <xf numFmtId="0" fontId="64" fillId="0" borderId="0" xfId="0" applyFont="1" applyAlignment="1">
      <alignment horizontal="center" vertical="center" wrapText="1"/>
    </xf>
    <xf numFmtId="0" fontId="7" fillId="10" borderId="2" xfId="0" applyFont="1" applyFill="1" applyBorder="1" applyAlignment="1">
      <alignment horizontal="center" vertical="center" wrapText="1"/>
    </xf>
    <xf numFmtId="2" fontId="6" fillId="0" borderId="2" xfId="0" applyNumberFormat="1" applyFont="1" applyBorder="1" applyAlignment="1">
      <alignment horizontal="center" vertical="center" wrapText="1"/>
    </xf>
    <xf numFmtId="0" fontId="6" fillId="0" borderId="230" xfId="0" applyFont="1" applyBorder="1"/>
    <xf numFmtId="43" fontId="7" fillId="0" borderId="2" xfId="6" applyFont="1" applyBorder="1" applyAlignment="1">
      <alignment horizontal="center" vertical="center"/>
    </xf>
    <xf numFmtId="43" fontId="6" fillId="0" borderId="2" xfId="6" applyFont="1" applyBorder="1" applyAlignment="1">
      <alignment horizontal="center" vertical="center"/>
    </xf>
    <xf numFmtId="0" fontId="6" fillId="0" borderId="0" xfId="56" applyFont="1"/>
    <xf numFmtId="0" fontId="23" fillId="0" borderId="0" xfId="56" applyFont="1" applyAlignment="1">
      <alignment vertical="center" wrapText="1"/>
    </xf>
    <xf numFmtId="165" fontId="23" fillId="0" borderId="0" xfId="56" applyNumberFormat="1" applyFont="1" applyAlignment="1">
      <alignment horizontal="left" vertical="center" wrapText="1"/>
    </xf>
    <xf numFmtId="0" fontId="23" fillId="0" borderId="0" xfId="56" applyFont="1" applyAlignment="1">
      <alignment vertical="center"/>
    </xf>
    <xf numFmtId="0" fontId="64" fillId="0" borderId="0" xfId="56" applyFont="1" applyAlignment="1">
      <alignment vertical="center" wrapText="1"/>
    </xf>
    <xf numFmtId="168" fontId="23" fillId="0" borderId="0" xfId="56" applyNumberFormat="1" applyFont="1" applyAlignment="1">
      <alignment horizontal="left" vertical="center" wrapText="1"/>
    </xf>
    <xf numFmtId="0" fontId="64" fillId="0" borderId="0" xfId="56" applyFont="1" applyAlignment="1">
      <alignment vertical="center"/>
    </xf>
    <xf numFmtId="0" fontId="23" fillId="0" borderId="0" xfId="56" applyFont="1" applyAlignment="1">
      <alignment horizontal="left" vertical="center" wrapText="1"/>
    </xf>
    <xf numFmtId="167" fontId="23" fillId="0" borderId="0" xfId="56" applyNumberFormat="1" applyFont="1" applyAlignment="1">
      <alignment horizontal="left" vertical="center" wrapText="1"/>
    </xf>
    <xf numFmtId="0" fontId="6" fillId="0" borderId="0" xfId="56" applyFont="1" applyAlignment="1">
      <alignment horizontal="left"/>
    </xf>
    <xf numFmtId="0" fontId="66" fillId="0" borderId="0" xfId="56"/>
    <xf numFmtId="0" fontId="8" fillId="0" borderId="0" xfId="5" applyAlignment="1">
      <alignment horizontal="left" vertical="top"/>
    </xf>
    <xf numFmtId="0" fontId="6" fillId="0" borderId="0" xfId="56" applyFont="1" applyAlignment="1">
      <alignment wrapText="1"/>
    </xf>
    <xf numFmtId="0" fontId="66" fillId="0" borderId="0" xfId="56" applyAlignment="1">
      <alignment horizontal="left" vertical="center"/>
    </xf>
    <xf numFmtId="0" fontId="6" fillId="0" borderId="0" xfId="56" applyFont="1" applyAlignment="1">
      <alignment horizontal="left" vertical="center"/>
    </xf>
    <xf numFmtId="2" fontId="6" fillId="0" borderId="33" xfId="0" applyNumberFormat="1" applyFont="1" applyBorder="1" applyAlignment="1">
      <alignment horizontal="center" vertical="center"/>
    </xf>
    <xf numFmtId="0" fontId="68" fillId="0" borderId="0" xfId="5" applyFont="1" applyAlignment="1">
      <alignment horizontal="left"/>
    </xf>
    <xf numFmtId="1" fontId="1" fillId="0" borderId="220" xfId="7" applyNumberFormat="1" applyFont="1" applyBorder="1" applyAlignment="1">
      <alignment horizontal="center" vertical="center"/>
    </xf>
    <xf numFmtId="1" fontId="1" fillId="0" borderId="33" xfId="7" applyNumberFormat="1" applyFont="1" applyBorder="1" applyAlignment="1">
      <alignment horizontal="center" vertical="center"/>
    </xf>
    <xf numFmtId="0" fontId="20" fillId="6" borderId="220" xfId="0" applyFont="1" applyFill="1" applyBorder="1" applyAlignment="1">
      <alignment horizontal="center" vertical="center" wrapText="1"/>
    </xf>
    <xf numFmtId="0" fontId="20" fillId="6" borderId="3" xfId="0" applyFont="1" applyFill="1" applyBorder="1" applyAlignment="1">
      <alignment horizontal="center" vertical="center" wrapText="1"/>
    </xf>
    <xf numFmtId="1" fontId="1" fillId="0" borderId="241" xfId="7" applyNumberFormat="1" applyFont="1" applyBorder="1" applyAlignment="1">
      <alignment horizontal="center" vertical="center"/>
    </xf>
    <xf numFmtId="0" fontId="24" fillId="10" borderId="87" xfId="0" applyFont="1" applyFill="1" applyBorder="1" applyAlignment="1">
      <alignment horizontal="center" wrapText="1"/>
    </xf>
    <xf numFmtId="0" fontId="1" fillId="0" borderId="32" xfId="3" applyFont="1" applyFill="1" applyBorder="1" applyAlignment="1">
      <alignment horizontal="center" vertical="center" wrapText="1"/>
    </xf>
    <xf numFmtId="0" fontId="67" fillId="5" borderId="128" xfId="56" applyFont="1" applyFill="1" applyBorder="1" applyAlignment="1">
      <alignment vertical="center" wrapText="1"/>
    </xf>
    <xf numFmtId="0" fontId="51" fillId="7" borderId="14" xfId="56" applyFont="1" applyFill="1" applyBorder="1" applyAlignment="1">
      <alignment horizontal="left" vertical="center"/>
    </xf>
    <xf numFmtId="0" fontId="51" fillId="7" borderId="0" xfId="56" applyFont="1" applyFill="1" applyAlignment="1">
      <alignment horizontal="left" vertical="center"/>
    </xf>
    <xf numFmtId="0" fontId="21" fillId="7" borderId="0" xfId="56" applyFont="1" applyFill="1" applyAlignment="1">
      <alignment horizontal="left" vertical="center"/>
    </xf>
    <xf numFmtId="0" fontId="21" fillId="7" borderId="18" xfId="56" applyFont="1" applyFill="1" applyBorder="1" applyAlignment="1">
      <alignment horizontal="left" vertical="center"/>
    </xf>
    <xf numFmtId="3" fontId="21" fillId="0" borderId="234" xfId="56" applyNumberFormat="1" applyFont="1" applyBorder="1" applyAlignment="1">
      <alignment horizontal="center" vertical="center" wrapText="1"/>
    </xf>
    <xf numFmtId="0" fontId="21" fillId="7" borderId="22" xfId="56" applyFont="1" applyFill="1" applyBorder="1" applyAlignment="1">
      <alignment horizontal="left" vertical="center"/>
    </xf>
    <xf numFmtId="0" fontId="70" fillId="0" borderId="2" xfId="0" applyFont="1" applyBorder="1" applyAlignment="1">
      <alignment vertical="center" wrapText="1"/>
    </xf>
    <xf numFmtId="2" fontId="21" fillId="8" borderId="235" xfId="56" applyNumberFormat="1" applyFont="1" applyFill="1" applyBorder="1" applyAlignment="1">
      <alignment horizontal="center" vertical="center" wrapText="1"/>
    </xf>
    <xf numFmtId="0" fontId="7" fillId="6" borderId="243" xfId="0" applyFont="1" applyFill="1" applyBorder="1" applyAlignment="1">
      <alignment horizontal="center" vertical="center"/>
    </xf>
    <xf numFmtId="0" fontId="7" fillId="10" borderId="244" xfId="0" applyFont="1" applyFill="1" applyBorder="1" applyAlignment="1">
      <alignment horizontal="center" vertical="center"/>
    </xf>
    <xf numFmtId="0" fontId="7" fillId="6" borderId="64" xfId="0" applyFont="1" applyFill="1" applyBorder="1" applyAlignment="1">
      <alignment horizontal="center" vertical="center"/>
    </xf>
    <xf numFmtId="0" fontId="7" fillId="10" borderId="64" xfId="0" applyFont="1" applyFill="1" applyBorder="1" applyAlignment="1">
      <alignment horizontal="center" vertical="center" wrapText="1"/>
    </xf>
    <xf numFmtId="0" fontId="32" fillId="45" borderId="230" xfId="0" applyFont="1" applyFill="1" applyBorder="1" applyAlignment="1">
      <alignment horizontal="left" vertical="center"/>
    </xf>
    <xf numFmtId="0" fontId="32" fillId="45" borderId="249" xfId="0" applyFont="1" applyFill="1" applyBorder="1" applyAlignment="1">
      <alignment horizontal="left" vertical="center"/>
    </xf>
    <xf numFmtId="0" fontId="6" fillId="4" borderId="107" xfId="0" applyFont="1" applyFill="1" applyBorder="1" applyAlignment="1">
      <alignment vertical="center" wrapText="1"/>
    </xf>
    <xf numFmtId="0" fontId="6" fillId="4" borderId="108" xfId="0" applyFont="1" applyFill="1" applyBorder="1" applyAlignment="1">
      <alignment vertical="center" wrapText="1"/>
    </xf>
    <xf numFmtId="0" fontId="6" fillId="4" borderId="109" xfId="0" applyFont="1" applyFill="1" applyBorder="1" applyAlignment="1">
      <alignment vertical="center" wrapText="1"/>
    </xf>
    <xf numFmtId="0" fontId="6" fillId="4" borderId="110" xfId="0" applyFont="1" applyFill="1" applyBorder="1" applyAlignment="1">
      <alignment vertical="center" wrapText="1"/>
    </xf>
    <xf numFmtId="0" fontId="6" fillId="4" borderId="111" xfId="0" applyFont="1" applyFill="1" applyBorder="1" applyAlignment="1">
      <alignment vertical="center" wrapText="1"/>
    </xf>
    <xf numFmtId="0" fontId="6" fillId="4" borderId="112" xfId="0" applyFont="1" applyFill="1" applyBorder="1" applyAlignment="1">
      <alignment vertical="center" wrapText="1"/>
    </xf>
    <xf numFmtId="0" fontId="67" fillId="6" borderId="64" xfId="0" applyFont="1" applyFill="1" applyBorder="1" applyAlignment="1">
      <alignment horizontal="center" vertical="center" wrapText="1"/>
    </xf>
    <xf numFmtId="0" fontId="6" fillId="0" borderId="34" xfId="0" applyFont="1" applyBorder="1" applyAlignment="1">
      <alignment horizontal="center" vertical="center" wrapText="1"/>
    </xf>
    <xf numFmtId="0" fontId="6" fillId="0" borderId="220" xfId="0" applyFont="1" applyBorder="1" applyAlignment="1">
      <alignment horizontal="center" vertical="center"/>
    </xf>
    <xf numFmtId="0" fontId="67" fillId="10" borderId="2" xfId="0" applyFont="1" applyFill="1" applyBorder="1" applyAlignment="1">
      <alignment horizontal="center" vertical="center" wrapText="1"/>
    </xf>
    <xf numFmtId="1" fontId="21" fillId="0" borderId="2" xfId="0" applyNumberFormat="1" applyFont="1" applyBorder="1" applyAlignment="1">
      <alignment horizontal="center" vertical="center" wrapText="1"/>
    </xf>
    <xf numFmtId="0" fontId="6" fillId="0" borderId="62" xfId="0" applyFont="1" applyBorder="1" applyAlignment="1">
      <alignment horizontal="center" vertical="center"/>
    </xf>
    <xf numFmtId="0" fontId="6" fillId="7" borderId="32" xfId="0" applyFont="1" applyFill="1" applyBorder="1" applyAlignment="1">
      <alignment horizontal="center" vertical="center"/>
    </xf>
    <xf numFmtId="0" fontId="1" fillId="7" borderId="32" xfId="0" applyFont="1" applyFill="1" applyBorder="1" applyAlignment="1">
      <alignment horizontal="center" vertical="center" wrapText="1"/>
    </xf>
    <xf numFmtId="168" fontId="1" fillId="7" borderId="32" xfId="0" applyNumberFormat="1" applyFont="1" applyFill="1" applyBorder="1" applyAlignment="1">
      <alignment horizontal="center" vertical="center"/>
    </xf>
    <xf numFmtId="0" fontId="6" fillId="5" borderId="32" xfId="0" applyFont="1" applyFill="1" applyBorder="1" applyAlignment="1">
      <alignment horizontal="center" vertical="center"/>
    </xf>
    <xf numFmtId="0" fontId="1" fillId="5" borderId="32" xfId="0" applyFont="1" applyFill="1" applyBorder="1" applyAlignment="1">
      <alignment horizontal="center" vertical="center"/>
    </xf>
    <xf numFmtId="0" fontId="6" fillId="3" borderId="32" xfId="0" applyFont="1" applyFill="1" applyBorder="1" applyAlignment="1">
      <alignment horizontal="center" vertical="center"/>
    </xf>
    <xf numFmtId="0" fontId="1" fillId="3" borderId="32" xfId="0" applyFont="1" applyFill="1" applyBorder="1" applyAlignment="1">
      <alignment horizontal="center" vertical="center"/>
    </xf>
    <xf numFmtId="0" fontId="21" fillId="12" borderId="32" xfId="0" applyFont="1" applyFill="1" applyBorder="1" applyAlignment="1">
      <alignment horizontal="center" vertical="center"/>
    </xf>
    <xf numFmtId="0" fontId="21" fillId="61" borderId="32" xfId="0" applyFont="1" applyFill="1" applyBorder="1" applyAlignment="1">
      <alignment horizontal="center" vertical="center"/>
    </xf>
    <xf numFmtId="0" fontId="6" fillId="62" borderId="32" xfId="0" applyFont="1" applyFill="1" applyBorder="1" applyAlignment="1">
      <alignment horizontal="center" vertical="center"/>
    </xf>
    <xf numFmtId="0" fontId="1" fillId="62" borderId="32" xfId="0" applyFont="1" applyFill="1" applyBorder="1" applyAlignment="1">
      <alignment horizontal="center" vertical="center"/>
    </xf>
    <xf numFmtId="0" fontId="1" fillId="7" borderId="32" xfId="0" applyFont="1" applyFill="1" applyBorder="1" applyAlignment="1">
      <alignment horizontal="center" vertical="center"/>
    </xf>
    <xf numFmtId="0" fontId="23" fillId="59" borderId="32" xfId="0" applyFont="1" applyFill="1" applyBorder="1" applyAlignment="1">
      <alignment horizontal="center"/>
    </xf>
    <xf numFmtId="0" fontId="1" fillId="62" borderId="32" xfId="0" applyFont="1" applyFill="1" applyBorder="1" applyAlignment="1">
      <alignment horizontal="center"/>
    </xf>
    <xf numFmtId="0" fontId="1" fillId="5" borderId="32" xfId="0" applyFont="1" applyFill="1" applyBorder="1" applyAlignment="1">
      <alignment horizontal="center" vertical="center" wrapText="1"/>
    </xf>
    <xf numFmtId="168" fontId="21" fillId="61" borderId="32" xfId="0" applyNumberFormat="1" applyFont="1" applyFill="1" applyBorder="1" applyAlignment="1">
      <alignment horizontal="center" vertical="center"/>
    </xf>
    <xf numFmtId="0" fontId="6" fillId="5" borderId="32" xfId="0" applyFont="1" applyFill="1" applyBorder="1" applyAlignment="1">
      <alignment horizontal="center" vertical="center" wrapText="1"/>
    </xf>
    <xf numFmtId="0" fontId="7" fillId="6" borderId="26" xfId="0" applyFont="1" applyFill="1" applyBorder="1" applyAlignment="1">
      <alignment horizontal="center" vertical="center" wrapText="1"/>
    </xf>
    <xf numFmtId="168" fontId="21" fillId="60" borderId="87" xfId="0" applyNumberFormat="1" applyFont="1" applyFill="1" applyBorder="1"/>
    <xf numFmtId="2" fontId="1" fillId="0" borderId="32" xfId="0" applyNumberFormat="1" applyFont="1" applyBorder="1" applyAlignment="1">
      <alignment horizontal="center" vertical="center"/>
    </xf>
    <xf numFmtId="2" fontId="1" fillId="7" borderId="32" xfId="0" applyNumberFormat="1" applyFont="1" applyFill="1" applyBorder="1" applyAlignment="1">
      <alignment horizontal="center" vertical="center"/>
    </xf>
    <xf numFmtId="2" fontId="1" fillId="5" borderId="32" xfId="0" applyNumberFormat="1" applyFont="1" applyFill="1" applyBorder="1" applyAlignment="1">
      <alignment horizontal="center" vertical="center"/>
    </xf>
    <xf numFmtId="2" fontId="1" fillId="3" borderId="32" xfId="0" applyNumberFormat="1" applyFont="1" applyFill="1" applyBorder="1" applyAlignment="1">
      <alignment horizontal="center" vertical="center"/>
    </xf>
    <xf numFmtId="2" fontId="71" fillId="61" borderId="32" xfId="0" applyNumberFormat="1" applyFont="1" applyFill="1" applyBorder="1" applyAlignment="1">
      <alignment horizontal="center" vertical="center"/>
    </xf>
    <xf numFmtId="2" fontId="21" fillId="61" borderId="32" xfId="0" applyNumberFormat="1" applyFont="1" applyFill="1" applyBorder="1" applyAlignment="1">
      <alignment horizontal="center" vertical="center"/>
    </xf>
    <xf numFmtId="2" fontId="1" fillId="62" borderId="32" xfId="0" applyNumberFormat="1" applyFont="1" applyFill="1" applyBorder="1" applyAlignment="1">
      <alignment horizontal="center" vertical="center"/>
    </xf>
    <xf numFmtId="0" fontId="67" fillId="10" borderId="234" xfId="0" applyFont="1" applyFill="1" applyBorder="1" applyAlignment="1">
      <alignment horizontal="center" vertical="center" wrapText="1"/>
    </xf>
    <xf numFmtId="0" fontId="21" fillId="0" borderId="220" xfId="0" applyFont="1" applyBorder="1" applyAlignment="1">
      <alignment horizontal="center" vertical="center"/>
    </xf>
    <xf numFmtId="0" fontId="6" fillId="0" borderId="220" xfId="0" applyFont="1" applyBorder="1" applyAlignment="1">
      <alignment horizontal="center" vertical="center" wrapText="1"/>
    </xf>
    <xf numFmtId="0" fontId="21" fillId="0" borderId="23" xfId="0" applyFont="1" applyBorder="1" applyAlignment="1">
      <alignment horizontal="center" vertical="center" wrapText="1"/>
    </xf>
    <xf numFmtId="3" fontId="21" fillId="0" borderId="2" xfId="0" applyNumberFormat="1" applyFont="1" applyBorder="1" applyAlignment="1">
      <alignment horizontal="center" vertical="center" wrapText="1"/>
    </xf>
    <xf numFmtId="169" fontId="21" fillId="0" borderId="2" xfId="0" applyNumberFormat="1" applyFont="1" applyBorder="1" applyAlignment="1">
      <alignment horizontal="center" vertical="center" wrapText="1"/>
    </xf>
    <xf numFmtId="0" fontId="21" fillId="0" borderId="2" xfId="0" applyFont="1" applyBorder="1" applyAlignment="1">
      <alignment horizontal="center" vertical="center" wrapText="1"/>
    </xf>
    <xf numFmtId="2" fontId="19" fillId="0" borderId="2" xfId="0" applyNumberFormat="1" applyFont="1" applyBorder="1" applyAlignment="1">
      <alignment horizontal="center" vertical="center" wrapText="1"/>
    </xf>
    <xf numFmtId="0" fontId="67" fillId="55" borderId="234" xfId="56" applyFont="1" applyFill="1" applyBorder="1" applyAlignment="1">
      <alignment horizontal="center" vertical="center" wrapText="1"/>
    </xf>
    <xf numFmtId="0" fontId="67" fillId="55" borderId="12" xfId="56" applyFont="1" applyFill="1" applyBorder="1" applyAlignment="1">
      <alignment vertical="center" wrapText="1"/>
    </xf>
    <xf numFmtId="0" fontId="21" fillId="0" borderId="234" xfId="56" applyFont="1" applyBorder="1" applyAlignment="1">
      <alignment horizontal="center" vertical="center" wrapText="1"/>
    </xf>
    <xf numFmtId="165" fontId="21" fillId="56" borderId="234" xfId="56" applyNumberFormat="1" applyFont="1" applyFill="1" applyBorder="1" applyAlignment="1">
      <alignment horizontal="center" vertical="center" wrapText="1"/>
    </xf>
    <xf numFmtId="3" fontId="21" fillId="0" borderId="236" xfId="56" applyNumberFormat="1" applyFont="1" applyBorder="1" applyAlignment="1">
      <alignment horizontal="center" vertical="center" wrapText="1"/>
    </xf>
    <xf numFmtId="0" fontId="21" fillId="58" borderId="0" xfId="56" applyFont="1" applyFill="1" applyAlignment="1">
      <alignment horizontal="left" vertical="center"/>
    </xf>
    <xf numFmtId="0" fontId="21" fillId="58" borderId="128" xfId="56" applyFont="1" applyFill="1" applyBorder="1" applyAlignment="1">
      <alignment horizontal="left" vertical="center"/>
    </xf>
    <xf numFmtId="0" fontId="21" fillId="58" borderId="240" xfId="56" applyFont="1" applyFill="1" applyBorder="1" applyAlignment="1">
      <alignment horizontal="left" vertical="center"/>
    </xf>
    <xf numFmtId="0" fontId="21" fillId="58" borderId="255" xfId="56" applyFont="1" applyFill="1" applyBorder="1" applyAlignment="1">
      <alignment horizontal="left" vertical="center"/>
    </xf>
    <xf numFmtId="0" fontId="21" fillId="58" borderId="230" xfId="56" applyFont="1" applyFill="1" applyBorder="1" applyAlignment="1">
      <alignment horizontal="left" vertical="center"/>
    </xf>
    <xf numFmtId="0" fontId="21" fillId="58" borderId="256" xfId="56" applyFont="1" applyFill="1" applyBorder="1" applyAlignment="1">
      <alignment horizontal="left" vertical="center"/>
    </xf>
    <xf numFmtId="0" fontId="21" fillId="58" borderId="257" xfId="56" applyFont="1" applyFill="1" applyBorder="1" applyAlignment="1">
      <alignment horizontal="left" vertical="center"/>
    </xf>
    <xf numFmtId="0" fontId="21" fillId="58" borderId="258" xfId="56" applyFont="1" applyFill="1" applyBorder="1" applyAlignment="1">
      <alignment horizontal="left" vertical="center"/>
    </xf>
    <xf numFmtId="0" fontId="21" fillId="58" borderId="259" xfId="56" applyFont="1" applyFill="1" applyBorder="1" applyAlignment="1">
      <alignment horizontal="left" vertical="center"/>
    </xf>
    <xf numFmtId="0" fontId="51" fillId="63" borderId="0" xfId="56" applyFont="1" applyFill="1" applyAlignment="1">
      <alignment horizontal="left" vertical="center"/>
    </xf>
    <xf numFmtId="37" fontId="21" fillId="63" borderId="13" xfId="6" applyNumberFormat="1" applyFont="1" applyFill="1" applyBorder="1" applyAlignment="1">
      <alignment horizontal="left" vertical="center"/>
    </xf>
    <xf numFmtId="37" fontId="21" fillId="63" borderId="17" xfId="6" applyNumberFormat="1" applyFont="1" applyFill="1" applyBorder="1" applyAlignment="1">
      <alignment horizontal="left" vertical="center"/>
    </xf>
    <xf numFmtId="37" fontId="21" fillId="63" borderId="20" xfId="6" applyNumberFormat="1" applyFont="1" applyFill="1" applyBorder="1" applyAlignment="1">
      <alignment horizontal="left" vertical="center"/>
    </xf>
    <xf numFmtId="0" fontId="72" fillId="5" borderId="240" xfId="56" applyFont="1" applyFill="1" applyBorder="1" applyAlignment="1">
      <alignment vertical="center" wrapText="1"/>
    </xf>
    <xf numFmtId="0" fontId="72" fillId="57" borderId="13" xfId="56" applyFont="1" applyFill="1" applyBorder="1" applyAlignment="1">
      <alignment vertical="center" wrapText="1"/>
    </xf>
    <xf numFmtId="0" fontId="72" fillId="57" borderId="14" xfId="56" applyFont="1" applyFill="1" applyBorder="1" applyAlignment="1">
      <alignment vertical="center" wrapText="1"/>
    </xf>
    <xf numFmtId="0" fontId="67" fillId="57" borderId="14" xfId="56" applyFont="1" applyFill="1" applyBorder="1" applyAlignment="1">
      <alignment vertical="center" wrapText="1"/>
    </xf>
    <xf numFmtId="0" fontId="72" fillId="57" borderId="14" xfId="56" applyFont="1" applyFill="1" applyBorder="1" applyAlignment="1">
      <alignment horizontal="left" vertical="center" wrapText="1"/>
    </xf>
    <xf numFmtId="0" fontId="72" fillId="57" borderId="15" xfId="56" applyFont="1" applyFill="1" applyBorder="1" applyAlignment="1">
      <alignment vertical="center" wrapText="1"/>
    </xf>
    <xf numFmtId="168" fontId="21" fillId="0" borderId="32" xfId="0" applyNumberFormat="1" applyFont="1" applyBorder="1" applyAlignment="1">
      <alignment horizontal="center" vertical="center"/>
    </xf>
    <xf numFmtId="0" fontId="21" fillId="0" borderId="220" xfId="0" applyFont="1" applyBorder="1" applyAlignment="1">
      <alignment horizontal="left" vertical="center" wrapText="1"/>
    </xf>
    <xf numFmtId="0" fontId="33" fillId="0" borderId="0" xfId="0" applyFont="1"/>
    <xf numFmtId="0" fontId="21" fillId="0" borderId="0" xfId="0" applyFont="1" applyAlignment="1">
      <alignment horizontal="right"/>
    </xf>
    <xf numFmtId="168" fontId="21" fillId="0" borderId="220" xfId="0" applyNumberFormat="1" applyFont="1" applyBorder="1" applyAlignment="1">
      <alignment horizontal="center" vertical="center"/>
    </xf>
    <xf numFmtId="9" fontId="1" fillId="0" borderId="0" xfId="2" applyFont="1" applyFill="1" applyBorder="1" applyAlignment="1">
      <alignment vertical="center"/>
    </xf>
    <xf numFmtId="0" fontId="24" fillId="0" borderId="0" xfId="0" applyFont="1" applyAlignment="1">
      <alignment vertical="center"/>
    </xf>
    <xf numFmtId="0" fontId="6" fillId="0" borderId="0" xfId="4" applyAlignment="1">
      <alignment vertical="center"/>
    </xf>
    <xf numFmtId="9" fontId="1" fillId="0" borderId="0" xfId="0" applyNumberFormat="1" applyFont="1"/>
    <xf numFmtId="10" fontId="6" fillId="0" borderId="0" xfId="4" applyNumberFormat="1" applyAlignment="1">
      <alignment horizontal="center" vertical="center"/>
    </xf>
    <xf numFmtId="10" fontId="6" fillId="0" borderId="0" xfId="0" applyNumberFormat="1" applyFont="1"/>
    <xf numFmtId="0" fontId="21" fillId="0" borderId="254" xfId="0" applyFont="1" applyBorder="1" applyAlignment="1">
      <alignment horizontal="left" vertical="center" wrapText="1"/>
    </xf>
    <xf numFmtId="0" fontId="6" fillId="0" borderId="0" xfId="0" applyFont="1" applyAlignment="1">
      <alignment horizontal="center"/>
    </xf>
    <xf numFmtId="0" fontId="6" fillId="0" borderId="32" xfId="0" applyFont="1" applyBorder="1" applyAlignment="1">
      <alignment horizontal="center" vertical="center"/>
    </xf>
    <xf numFmtId="0" fontId="6" fillId="0" borderId="32" xfId="0" applyFont="1" applyBorder="1" applyAlignment="1">
      <alignment horizontal="center" vertical="center" wrapText="1"/>
    </xf>
    <xf numFmtId="0" fontId="1" fillId="0" borderId="32" xfId="0" applyFont="1" applyBorder="1" applyAlignment="1">
      <alignment horizontal="center" vertical="center"/>
    </xf>
    <xf numFmtId="0" fontId="6" fillId="0" borderId="0" xfId="0" applyFont="1" applyAlignment="1">
      <alignment horizontal="left" vertical="center"/>
    </xf>
    <xf numFmtId="0" fontId="6" fillId="0" borderId="0" xfId="0" applyFont="1" applyAlignment="1">
      <alignment vertical="center" wrapText="1"/>
    </xf>
    <xf numFmtId="0" fontId="21" fillId="0" borderId="0" xfId="0" applyFont="1" applyAlignment="1">
      <alignment horizontal="left" vertical="center" wrapText="1"/>
    </xf>
    <xf numFmtId="0" fontId="23" fillId="44" borderId="2" xfId="0" applyFont="1" applyFill="1" applyBorder="1" applyAlignment="1">
      <alignment horizontal="left" vertical="center"/>
    </xf>
    <xf numFmtId="0" fontId="23" fillId="10" borderId="2" xfId="0" applyFont="1" applyFill="1" applyBorder="1" applyAlignment="1">
      <alignment vertical="center"/>
    </xf>
    <xf numFmtId="0" fontId="6" fillId="0" borderId="12" xfId="0" applyFont="1" applyBorder="1" applyAlignment="1">
      <alignment horizontal="center" vertical="center" wrapText="1"/>
    </xf>
    <xf numFmtId="0" fontId="7" fillId="6" borderId="40" xfId="0" applyFont="1" applyFill="1" applyBorder="1" applyAlignment="1">
      <alignment horizontal="center" vertical="center" wrapText="1"/>
    </xf>
    <xf numFmtId="0" fontId="6" fillId="0" borderId="2" xfId="0" applyFont="1" applyBorder="1" applyAlignment="1">
      <alignment horizontal="center" vertical="center"/>
    </xf>
    <xf numFmtId="0" fontId="1" fillId="0" borderId="40" xfId="0" applyFont="1" applyBorder="1" applyAlignment="1">
      <alignment horizontal="center" vertical="center" wrapText="1"/>
    </xf>
    <xf numFmtId="0" fontId="6" fillId="0" borderId="40" xfId="0" applyFont="1" applyBorder="1" applyAlignment="1">
      <alignment horizontal="center" vertical="center" wrapText="1"/>
    </xf>
    <xf numFmtId="0" fontId="21" fillId="0" borderId="237" xfId="0" applyFont="1" applyBorder="1" applyAlignment="1">
      <alignment horizontal="center" vertical="center" wrapText="1"/>
    </xf>
    <xf numFmtId="0" fontId="7" fillId="6" borderId="12" xfId="0" applyFont="1" applyFill="1" applyBorder="1" applyAlignment="1">
      <alignment horizontal="center" vertical="center"/>
    </xf>
    <xf numFmtId="0" fontId="19" fillId="6" borderId="2" xfId="0" applyFont="1" applyFill="1" applyBorder="1" applyAlignment="1">
      <alignment horizontal="center" vertical="center" wrapText="1"/>
    </xf>
    <xf numFmtId="9" fontId="6" fillId="0" borderId="32" xfId="2" applyFont="1" applyFill="1" applyBorder="1" applyAlignment="1">
      <alignment horizontal="center" vertical="center"/>
    </xf>
    <xf numFmtId="0" fontId="24" fillId="6" borderId="32" xfId="0" applyFont="1" applyFill="1" applyBorder="1" applyAlignment="1">
      <alignment horizontal="center" vertical="center"/>
    </xf>
    <xf numFmtId="0" fontId="21" fillId="0" borderId="220" xfId="0" applyFont="1" applyBorder="1" applyAlignment="1">
      <alignment horizontal="center" vertical="center" wrapText="1"/>
    </xf>
    <xf numFmtId="0" fontId="21" fillId="0" borderId="241" xfId="0" applyFont="1" applyBorder="1" applyAlignment="1">
      <alignment horizontal="center" vertical="center" wrapText="1"/>
    </xf>
    <xf numFmtId="1" fontId="22" fillId="0" borderId="96" xfId="0" applyNumberFormat="1" applyFont="1" applyBorder="1" applyAlignment="1">
      <alignment horizontal="center" vertical="center"/>
    </xf>
    <xf numFmtId="1" fontId="22" fillId="0" borderId="201" xfId="0" applyNumberFormat="1" applyFont="1" applyBorder="1" applyAlignment="1">
      <alignment horizontal="center" vertical="center"/>
    </xf>
    <xf numFmtId="0" fontId="33" fillId="0" borderId="0" xfId="0" applyFont="1"/>
    <xf numFmtId="0" fontId="56" fillId="0" borderId="0" xfId="0" applyFont="1" applyAlignment="1">
      <alignment horizontal="left" vertical="center"/>
    </xf>
    <xf numFmtId="0" fontId="23" fillId="48" borderId="16" xfId="0" applyFont="1" applyFill="1" applyBorder="1" applyAlignment="1">
      <alignment vertical="center"/>
    </xf>
    <xf numFmtId="0" fontId="23" fillId="48" borderId="19" xfId="0" applyFont="1" applyFill="1" applyBorder="1" applyAlignment="1">
      <alignment vertical="center"/>
    </xf>
    <xf numFmtId="0" fontId="23" fillId="10" borderId="2" xfId="0" applyFont="1" applyFill="1" applyBorder="1" applyAlignment="1">
      <alignment vertical="center"/>
    </xf>
    <xf numFmtId="0" fontId="23" fillId="44" borderId="2" xfId="0" applyFont="1" applyFill="1" applyBorder="1" applyAlignment="1">
      <alignment horizontal="left" vertical="center"/>
    </xf>
    <xf numFmtId="0" fontId="23" fillId="49" borderId="16" xfId="0" applyFont="1" applyFill="1" applyBorder="1" applyAlignment="1">
      <alignment vertical="center"/>
    </xf>
    <xf numFmtId="0" fontId="23" fillId="49" borderId="19" xfId="0" applyFont="1" applyFill="1" applyBorder="1" applyAlignment="1">
      <alignment vertical="center"/>
    </xf>
    <xf numFmtId="0" fontId="23" fillId="10" borderId="2" xfId="0" applyFont="1" applyFill="1" applyBorder="1" applyAlignment="1">
      <alignment horizontal="left" vertical="center"/>
    </xf>
    <xf numFmtId="0" fontId="56" fillId="45" borderId="10" xfId="0" applyFont="1" applyFill="1" applyBorder="1" applyAlignment="1">
      <alignment horizontal="center" vertical="center" wrapText="1"/>
    </xf>
    <xf numFmtId="0" fontId="6" fillId="51" borderId="12" xfId="0" applyFont="1" applyFill="1" applyBorder="1" applyAlignment="1">
      <alignment horizontal="left" vertical="center"/>
    </xf>
    <xf numFmtId="0" fontId="6" fillId="51" borderId="16" xfId="0" applyFont="1" applyFill="1" applyBorder="1" applyAlignment="1">
      <alignment horizontal="left" vertical="center"/>
    </xf>
    <xf numFmtId="0" fontId="6" fillId="51" borderId="19" xfId="0" applyFont="1" applyFill="1" applyBorder="1" applyAlignment="1">
      <alignment horizontal="left" vertical="center"/>
    </xf>
    <xf numFmtId="0" fontId="18" fillId="0" borderId="21" xfId="0" applyFont="1" applyBorder="1" applyAlignment="1">
      <alignment horizontal="left" vertical="center"/>
    </xf>
    <xf numFmtId="0" fontId="34" fillId="9" borderId="3" xfId="1" applyFont="1" applyFill="1" applyBorder="1" applyAlignment="1">
      <alignment horizontal="center" vertical="center" wrapText="1"/>
    </xf>
    <xf numFmtId="0" fontId="34" fillId="9" borderId="10" xfId="1" applyFont="1" applyFill="1" applyBorder="1" applyAlignment="1">
      <alignment horizontal="center" vertical="center" wrapText="1"/>
    </xf>
    <xf numFmtId="0" fontId="6" fillId="0" borderId="0" xfId="0" applyFont="1" applyAlignment="1">
      <alignment horizontal="left" vertical="center"/>
    </xf>
    <xf numFmtId="0" fontId="34" fillId="9" borderId="0" xfId="0" applyFont="1" applyFill="1" applyAlignment="1">
      <alignment horizontal="center" vertical="center"/>
    </xf>
    <xf numFmtId="0" fontId="6" fillId="0" borderId="0" xfId="0" applyFont="1" applyAlignment="1">
      <alignment vertical="center" wrapText="1"/>
    </xf>
    <xf numFmtId="0" fontId="21" fillId="0" borderId="0" xfId="0" applyFont="1" applyAlignment="1">
      <alignment horizontal="left" vertical="center" wrapText="1"/>
    </xf>
    <xf numFmtId="0" fontId="6" fillId="0" borderId="0" xfId="0" applyFont="1" applyAlignment="1">
      <alignment horizontal="left" vertical="center" wrapText="1"/>
    </xf>
    <xf numFmtId="0" fontId="69" fillId="9" borderId="0" xfId="0" applyFont="1" applyFill="1" applyAlignment="1">
      <alignment horizontal="center" vertical="center"/>
    </xf>
    <xf numFmtId="167" fontId="1" fillId="0" borderId="81" xfId="0" applyNumberFormat="1" applyFont="1" applyBorder="1" applyAlignment="1">
      <alignment horizontal="center" vertical="center" wrapText="1"/>
    </xf>
    <xf numFmtId="167" fontId="1" fillId="0" borderId="82" xfId="0" applyNumberFormat="1" applyFont="1" applyBorder="1" applyAlignment="1">
      <alignment horizontal="center" vertical="center" wrapText="1"/>
    </xf>
    <xf numFmtId="167" fontId="1" fillId="0" borderId="80" xfId="0" applyNumberFormat="1" applyFont="1" applyBorder="1" applyAlignment="1">
      <alignment horizontal="center" vertical="center" wrapText="1"/>
    </xf>
    <xf numFmtId="0" fontId="7" fillId="6" borderId="81" xfId="0" applyFont="1" applyFill="1" applyBorder="1" applyAlignment="1">
      <alignment horizontal="center" vertical="center" wrapText="1"/>
    </xf>
    <xf numFmtId="0" fontId="7" fillId="6" borderId="82" xfId="0" applyFont="1" applyFill="1" applyBorder="1" applyAlignment="1">
      <alignment horizontal="center" vertical="center" wrapText="1"/>
    </xf>
    <xf numFmtId="0" fontId="7" fillId="6" borderId="80" xfId="0" applyFont="1" applyFill="1" applyBorder="1" applyAlignment="1">
      <alignment horizontal="center" vertical="center" wrapText="1"/>
    </xf>
    <xf numFmtId="0" fontId="21" fillId="0" borderId="250" xfId="0" applyFont="1" applyBorder="1" applyAlignment="1">
      <alignment horizontal="center" vertical="center"/>
    </xf>
    <xf numFmtId="0" fontId="21" fillId="0" borderId="251" xfId="0" applyFont="1" applyBorder="1" applyAlignment="1">
      <alignment horizontal="center" vertical="center"/>
    </xf>
    <xf numFmtId="0" fontId="21" fillId="0" borderId="252" xfId="0" applyFont="1" applyBorder="1" applyAlignment="1">
      <alignment horizontal="center" vertical="center"/>
    </xf>
    <xf numFmtId="164" fontId="21" fillId="0" borderId="253" xfId="0" applyNumberFormat="1" applyFont="1" applyBorder="1" applyAlignment="1">
      <alignment horizontal="left" vertical="center"/>
    </xf>
    <xf numFmtId="164" fontId="21" fillId="0" borderId="174" xfId="0" applyNumberFormat="1" applyFont="1" applyBorder="1" applyAlignment="1">
      <alignment horizontal="left" vertical="center"/>
    </xf>
    <xf numFmtId="164" fontId="21" fillId="0" borderId="254" xfId="0" applyNumberFormat="1" applyFont="1" applyBorder="1" applyAlignment="1">
      <alignment horizontal="left" vertical="center"/>
    </xf>
    <xf numFmtId="0" fontId="21" fillId="0" borderId="261" xfId="0" applyFont="1" applyBorder="1" applyAlignment="1">
      <alignment horizontal="center" vertical="center"/>
    </xf>
    <xf numFmtId="0" fontId="21" fillId="0" borderId="263" xfId="0" applyFont="1" applyBorder="1" applyAlignment="1">
      <alignment horizontal="center" vertical="center"/>
    </xf>
    <xf numFmtId="0" fontId="21" fillId="0" borderId="265" xfId="0" applyFont="1" applyBorder="1" applyAlignment="1">
      <alignment horizontal="center" vertical="center"/>
    </xf>
    <xf numFmtId="0" fontId="21" fillId="0" borderId="267" xfId="0" applyFont="1" applyBorder="1" applyAlignment="1">
      <alignment horizontal="center" vertical="center"/>
    </xf>
    <xf numFmtId="0" fontId="21" fillId="0" borderId="95" xfId="0" applyFont="1" applyBorder="1" applyAlignment="1">
      <alignment horizontal="center" vertical="center"/>
    </xf>
    <xf numFmtId="0" fontId="21" fillId="0" borderId="260" xfId="0" applyFont="1" applyBorder="1" applyAlignment="1">
      <alignment horizontal="center" vertical="center"/>
    </xf>
    <xf numFmtId="0" fontId="21" fillId="0" borderId="267" xfId="0" applyFont="1" applyBorder="1" applyAlignment="1">
      <alignment horizontal="center" vertical="center" wrapText="1"/>
    </xf>
    <xf numFmtId="0" fontId="21" fillId="0" borderId="95" xfId="0" applyFont="1" applyBorder="1" applyAlignment="1">
      <alignment horizontal="center" vertical="center" wrapText="1"/>
    </xf>
    <xf numFmtId="0" fontId="21" fillId="0" borderId="260" xfId="0" applyFont="1" applyBorder="1" applyAlignment="1">
      <alignment horizontal="center" vertical="center" wrapText="1"/>
    </xf>
    <xf numFmtId="0" fontId="21" fillId="0" borderId="262" xfId="0" applyFont="1" applyBorder="1" applyAlignment="1">
      <alignment horizontal="center" vertical="center" wrapText="1"/>
    </xf>
    <xf numFmtId="0" fontId="21" fillId="0" borderId="264" xfId="0" applyFont="1" applyBorder="1" applyAlignment="1">
      <alignment horizontal="center" vertical="center" wrapText="1"/>
    </xf>
    <xf numFmtId="0" fontId="21" fillId="0" borderId="266" xfId="0" applyFont="1" applyBorder="1" applyAlignment="1">
      <alignment horizontal="center" vertical="center" wrapText="1"/>
    </xf>
    <xf numFmtId="0" fontId="21" fillId="0" borderId="268" xfId="0" applyFont="1" applyBorder="1" applyAlignment="1">
      <alignment horizontal="center" vertical="center"/>
    </xf>
    <xf numFmtId="0" fontId="6" fillId="0" borderId="32" xfId="0" applyFont="1" applyBorder="1" applyAlignment="1">
      <alignment horizontal="center" vertical="center" wrapText="1"/>
    </xf>
    <xf numFmtId="0" fontId="6" fillId="0" borderId="32" xfId="0" applyFont="1" applyBorder="1" applyAlignment="1">
      <alignment horizontal="center" vertical="center"/>
    </xf>
    <xf numFmtId="0" fontId="1" fillId="0" borderId="32" xfId="0" applyFont="1" applyBorder="1" applyAlignment="1">
      <alignment horizontal="center" vertical="center" wrapText="1"/>
    </xf>
    <xf numFmtId="0" fontId="6" fillId="0" borderId="0" xfId="0" applyFont="1" applyAlignment="1">
      <alignment horizontal="center"/>
    </xf>
    <xf numFmtId="0" fontId="34" fillId="9" borderId="0" xfId="0" applyFont="1" applyFill="1" applyAlignment="1">
      <alignment horizontal="center" vertical="center" wrapText="1"/>
    </xf>
    <xf numFmtId="0" fontId="1" fillId="0" borderId="32" xfId="0" applyFont="1" applyBorder="1" applyAlignment="1">
      <alignment horizontal="center" vertical="center"/>
    </xf>
    <xf numFmtId="0" fontId="21" fillId="0" borderId="262" xfId="0" applyFont="1" applyBorder="1" applyAlignment="1">
      <alignment horizontal="center" vertical="center"/>
    </xf>
    <xf numFmtId="0" fontId="21" fillId="0" borderId="264" xfId="0" applyFont="1" applyBorder="1" applyAlignment="1">
      <alignment horizontal="center" vertical="center"/>
    </xf>
    <xf numFmtId="0" fontId="21" fillId="0" borderId="266" xfId="0" applyFont="1" applyBorder="1" applyAlignment="1">
      <alignment horizontal="center" vertical="center"/>
    </xf>
    <xf numFmtId="167" fontId="21" fillId="0" borderId="253" xfId="0" applyNumberFormat="1" applyFont="1" applyBorder="1" applyAlignment="1">
      <alignment horizontal="center" vertical="center" wrapText="1"/>
    </xf>
    <xf numFmtId="167" fontId="21" fillId="0" borderId="174" xfId="0" applyNumberFormat="1" applyFont="1" applyBorder="1" applyAlignment="1">
      <alignment horizontal="center" vertical="center" wrapText="1"/>
    </xf>
    <xf numFmtId="167" fontId="21" fillId="0" borderId="254" xfId="0" applyNumberFormat="1" applyFont="1" applyBorder="1" applyAlignment="1">
      <alignment horizontal="center" vertical="center" wrapText="1"/>
    </xf>
    <xf numFmtId="0" fontId="21" fillId="0" borderId="220" xfId="0" applyFont="1" applyBorder="1" applyAlignment="1">
      <alignment horizontal="center" vertical="center" wrapText="1"/>
    </xf>
    <xf numFmtId="0" fontId="21" fillId="64" borderId="220" xfId="0" applyFont="1" applyFill="1" applyBorder="1" applyAlignment="1">
      <alignment horizontal="center" vertical="center" wrapText="1"/>
    </xf>
    <xf numFmtId="0" fontId="6" fillId="0" borderId="245" xfId="0" applyFont="1" applyBorder="1" applyAlignment="1">
      <alignment horizontal="center" vertical="center" wrapText="1"/>
    </xf>
    <xf numFmtId="0" fontId="6" fillId="0" borderId="247" xfId="0" applyFont="1" applyBorder="1" applyAlignment="1">
      <alignment horizontal="center" vertical="center" wrapText="1"/>
    </xf>
    <xf numFmtId="0" fontId="6" fillId="0" borderId="246" xfId="0" applyFont="1" applyBorder="1" applyAlignment="1">
      <alignment horizontal="center" vertical="center" wrapText="1"/>
    </xf>
    <xf numFmtId="0" fontId="6" fillId="0" borderId="248" xfId="0" applyFont="1" applyBorder="1" applyAlignment="1">
      <alignment horizontal="center" vertical="center" wrapText="1"/>
    </xf>
    <xf numFmtId="0" fontId="34" fillId="11" borderId="2" xfId="0" applyFont="1" applyFill="1" applyBorder="1" applyAlignment="1">
      <alignment horizontal="center" vertical="center"/>
    </xf>
    <xf numFmtId="0" fontId="34" fillId="11" borderId="242" xfId="0" applyFont="1" applyFill="1" applyBorder="1" applyAlignment="1">
      <alignment horizontal="center" vertical="center"/>
    </xf>
    <xf numFmtId="0" fontId="21" fillId="0" borderId="253" xfId="0" applyFont="1" applyBorder="1" applyAlignment="1">
      <alignment horizontal="center" vertical="center" wrapText="1"/>
    </xf>
    <xf numFmtId="0" fontId="21" fillId="0" borderId="237" xfId="0" applyFont="1" applyBorder="1" applyAlignment="1">
      <alignment horizontal="center" vertical="center" wrapText="1"/>
    </xf>
    <xf numFmtId="0" fontId="21" fillId="0" borderId="269" xfId="0" applyFont="1" applyBorder="1" applyAlignment="1">
      <alignment horizontal="center" vertical="center" wrapText="1"/>
    </xf>
    <xf numFmtId="0" fontId="21" fillId="0" borderId="256" xfId="0" applyFont="1" applyBorder="1" applyAlignment="1">
      <alignment horizontal="center" vertical="center" wrapText="1"/>
    </xf>
    <xf numFmtId="0" fontId="21" fillId="0" borderId="241" xfId="0" applyFont="1" applyBorder="1" applyAlignment="1">
      <alignment horizontal="center" vertical="center" wrapText="1"/>
    </xf>
    <xf numFmtId="0" fontId="6" fillId="0" borderId="220" xfId="5" applyFont="1" applyBorder="1" applyAlignment="1">
      <alignment horizontal="center" vertical="center" wrapText="1"/>
    </xf>
    <xf numFmtId="0" fontId="6" fillId="0" borderId="220" xfId="0" applyFont="1" applyBorder="1" applyAlignment="1">
      <alignment horizontal="center" vertical="center"/>
    </xf>
    <xf numFmtId="0" fontId="6" fillId="0" borderId="12"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9"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9" xfId="0" applyFont="1" applyBorder="1" applyAlignment="1">
      <alignment horizontal="center" vertical="center" wrapText="1"/>
    </xf>
    <xf numFmtId="0" fontId="34" fillId="9" borderId="21" xfId="0" applyFont="1" applyFill="1" applyBorder="1" applyAlignment="1">
      <alignment horizontal="center" vertical="center" wrapText="1"/>
    </xf>
    <xf numFmtId="0" fontId="6" fillId="0" borderId="12" xfId="0" applyFont="1" applyBorder="1" applyAlignment="1">
      <alignment horizontal="center" vertical="center"/>
    </xf>
    <xf numFmtId="0" fontId="6" fillId="0" borderId="19" xfId="0" applyFont="1" applyBorder="1" applyAlignment="1">
      <alignment horizontal="center" vertical="center"/>
    </xf>
    <xf numFmtId="0" fontId="6" fillId="0" borderId="12" xfId="0" applyFont="1" applyBorder="1" applyAlignment="1">
      <alignment horizontal="left" vertical="center" wrapText="1"/>
    </xf>
    <xf numFmtId="0" fontId="6" fillId="0" borderId="16" xfId="0" applyFont="1" applyBorder="1" applyAlignment="1">
      <alignment horizontal="left" vertical="center" wrapText="1"/>
    </xf>
    <xf numFmtId="0" fontId="6" fillId="0" borderId="19" xfId="0" applyFont="1" applyBorder="1" applyAlignment="1">
      <alignment horizontal="left" vertical="center" wrapText="1"/>
    </xf>
    <xf numFmtId="0" fontId="21" fillId="0" borderId="0" xfId="0" applyFont="1" applyAlignment="1">
      <alignment horizontal="left" vertical="top" wrapText="1"/>
    </xf>
    <xf numFmtId="0" fontId="6" fillId="0" borderId="0" xfId="0" applyFont="1" applyAlignment="1">
      <alignment horizontal="left" vertical="top" wrapText="1"/>
    </xf>
    <xf numFmtId="0" fontId="0" fillId="0" borderId="2" xfId="0" applyBorder="1" applyAlignment="1">
      <alignment horizontal="center" vertical="center" wrapText="1"/>
    </xf>
    <xf numFmtId="0" fontId="23" fillId="0" borderId="2" xfId="0" applyFont="1" applyBorder="1" applyAlignment="1">
      <alignment horizontal="center" vertical="center"/>
    </xf>
    <xf numFmtId="0" fontId="23" fillId="0" borderId="2" xfId="0" applyFont="1" applyBorder="1" applyAlignment="1">
      <alignment horizontal="center" vertical="center" wrapText="1"/>
    </xf>
    <xf numFmtId="0" fontId="24" fillId="10" borderId="88" xfId="0" applyFont="1" applyFill="1" applyBorder="1" applyAlignment="1">
      <alignment horizontal="center" vertical="center"/>
    </xf>
    <xf numFmtId="0" fontId="24" fillId="10" borderId="89" xfId="0" applyFont="1" applyFill="1" applyBorder="1" applyAlignment="1">
      <alignment horizontal="center" vertical="center"/>
    </xf>
    <xf numFmtId="0" fontId="23" fillId="0" borderId="91" xfId="0" applyFont="1" applyBorder="1" applyAlignment="1">
      <alignment horizontal="center" vertical="center"/>
    </xf>
    <xf numFmtId="0" fontId="23" fillId="0" borderId="92" xfId="0" applyFont="1" applyBorder="1" applyAlignment="1">
      <alignment horizontal="center" vertical="center"/>
    </xf>
    <xf numFmtId="0" fontId="34" fillId="11" borderId="93" xfId="0" applyFont="1" applyFill="1" applyBorder="1" applyAlignment="1">
      <alignment horizontal="center" vertical="center" wrapText="1"/>
    </xf>
    <xf numFmtId="165" fontId="6" fillId="7" borderId="20" xfId="0" applyNumberFormat="1" applyFont="1" applyFill="1" applyBorder="1" applyAlignment="1">
      <alignment horizontal="center"/>
    </xf>
    <xf numFmtId="165" fontId="6" fillId="7" borderId="22" xfId="0" applyNumberFormat="1" applyFont="1" applyFill="1" applyBorder="1" applyAlignment="1">
      <alignment horizontal="center"/>
    </xf>
    <xf numFmtId="165" fontId="6" fillId="7" borderId="32" xfId="0" applyNumberFormat="1" applyFont="1" applyFill="1" applyBorder="1" applyAlignment="1">
      <alignment horizontal="center"/>
    </xf>
    <xf numFmtId="0" fontId="59" fillId="11" borderId="93" xfId="0" applyFont="1" applyFill="1" applyBorder="1" applyAlignment="1">
      <alignment horizontal="center" vertical="center" wrapText="1"/>
    </xf>
    <xf numFmtId="0" fontId="23" fillId="0" borderId="32" xfId="0" applyFont="1" applyBorder="1" applyAlignment="1">
      <alignment horizontal="center" vertical="center" wrapText="1"/>
    </xf>
    <xf numFmtId="0" fontId="6" fillId="0" borderId="16" xfId="0" applyFont="1" applyBorder="1" applyAlignment="1">
      <alignment horizontal="center" vertical="center"/>
    </xf>
    <xf numFmtId="0" fontId="6" fillId="0" borderId="2" xfId="0" applyFont="1" applyBorder="1" applyAlignment="1">
      <alignment horizontal="center" vertical="center"/>
    </xf>
    <xf numFmtId="0" fontId="1" fillId="0" borderId="23" xfId="0" applyFont="1" applyBorder="1" applyAlignment="1">
      <alignment horizontal="center" vertical="center" wrapText="1"/>
    </xf>
    <xf numFmtId="0" fontId="1" fillId="0" borderId="40" xfId="0" applyFont="1" applyBorder="1" applyAlignment="1">
      <alignment horizontal="center" vertical="center" wrapText="1"/>
    </xf>
    <xf numFmtId="0" fontId="6" fillId="0" borderId="40" xfId="0" applyFont="1" applyBorder="1" applyAlignment="1">
      <alignment horizontal="center" vertical="center" wrapText="1"/>
    </xf>
    <xf numFmtId="0" fontId="34" fillId="9" borderId="40" xfId="0" applyFont="1" applyFill="1" applyBorder="1" applyAlignment="1">
      <alignment horizontal="center" vertical="center" wrapText="1"/>
    </xf>
    <xf numFmtId="0" fontId="7" fillId="6" borderId="40" xfId="0" applyFont="1" applyFill="1" applyBorder="1" applyAlignment="1">
      <alignment horizontal="center" vertical="center"/>
    </xf>
    <xf numFmtId="0" fontId="7" fillId="6" borderId="40" xfId="0" applyFont="1" applyFill="1" applyBorder="1" applyAlignment="1">
      <alignment horizontal="center" vertical="center" wrapText="1"/>
    </xf>
    <xf numFmtId="0" fontId="34" fillId="9" borderId="17" xfId="0" applyFont="1" applyFill="1" applyBorder="1" applyAlignment="1">
      <alignment horizontal="center" vertical="center" wrapText="1"/>
    </xf>
    <xf numFmtId="0" fontId="34" fillId="9" borderId="20" xfId="0" applyFont="1" applyFill="1" applyBorder="1" applyAlignment="1">
      <alignment horizontal="center" vertical="center" wrapText="1"/>
    </xf>
    <xf numFmtId="0" fontId="34" fillId="54" borderId="233" xfId="56" applyFont="1" applyFill="1" applyBorder="1" applyAlignment="1">
      <alignment horizontal="center" vertical="center" wrapText="1"/>
    </xf>
    <xf numFmtId="0" fontId="34" fillId="54" borderId="0" xfId="56" applyFont="1" applyFill="1" applyAlignment="1">
      <alignment horizontal="center" vertical="center" wrapText="1"/>
    </xf>
    <xf numFmtId="0" fontId="67" fillId="55" borderId="2" xfId="56" applyFont="1" applyFill="1" applyBorder="1" applyAlignment="1">
      <alignment horizontal="center" vertical="center" wrapText="1"/>
    </xf>
    <xf numFmtId="0" fontId="21" fillId="0" borderId="238" xfId="0" applyFont="1" applyBorder="1" applyAlignment="1">
      <alignment horizontal="center" vertical="center" wrapText="1"/>
    </xf>
    <xf numFmtId="0" fontId="21" fillId="0" borderId="239" xfId="0" applyFont="1" applyBorder="1" applyAlignment="1">
      <alignment horizontal="center" vertical="center" wrapText="1"/>
    </xf>
    <xf numFmtId="0" fontId="6" fillId="0" borderId="231" xfId="0" applyFont="1" applyBorder="1" applyAlignment="1">
      <alignment horizontal="center" vertical="center" wrapText="1"/>
    </xf>
    <xf numFmtId="0" fontId="6" fillId="0" borderId="232" xfId="0" applyFont="1" applyBorder="1" applyAlignment="1">
      <alignment horizontal="center" vertical="center" wrapText="1"/>
    </xf>
    <xf numFmtId="43" fontId="7" fillId="0" borderId="3" xfId="6" applyFont="1" applyBorder="1" applyAlignment="1">
      <alignment horizontal="left" vertical="center"/>
    </xf>
    <xf numFmtId="43" fontId="7" fillId="0" borderId="10" xfId="6" applyFont="1" applyBorder="1" applyAlignment="1">
      <alignment horizontal="left" vertical="center"/>
    </xf>
    <xf numFmtId="43" fontId="7" fillId="0" borderId="11" xfId="6" applyFont="1" applyBorder="1" applyAlignment="1">
      <alignment horizontal="left" vertical="center"/>
    </xf>
    <xf numFmtId="43" fontId="21" fillId="0" borderId="16" xfId="6" applyFont="1" applyBorder="1" applyAlignment="1">
      <alignment horizontal="center" vertical="center" wrapText="1"/>
    </xf>
    <xf numFmtId="43" fontId="21" fillId="0" borderId="19" xfId="6" applyFont="1" applyBorder="1" applyAlignment="1">
      <alignment horizontal="center" vertical="center" wrapText="1"/>
    </xf>
    <xf numFmtId="0" fontId="34" fillId="9" borderId="98" xfId="0" applyFont="1" applyFill="1" applyBorder="1" applyAlignment="1">
      <alignment horizontal="center" vertical="center"/>
    </xf>
    <xf numFmtId="0" fontId="34" fillId="9" borderId="86" xfId="0" applyFont="1" applyFill="1" applyBorder="1" applyAlignment="1">
      <alignment horizontal="center" vertical="center"/>
    </xf>
    <xf numFmtId="0" fontId="6" fillId="7" borderId="32" xfId="0" applyFont="1" applyFill="1" applyBorder="1" applyAlignment="1">
      <alignment horizontal="left" vertical="center"/>
    </xf>
    <xf numFmtId="0" fontId="34" fillId="9" borderId="32" xfId="0" applyFont="1" applyFill="1" applyBorder="1" applyAlignment="1">
      <alignment horizontal="center" vertical="center"/>
    </xf>
    <xf numFmtId="0" fontId="24" fillId="6" borderId="33" xfId="0" applyFont="1" applyFill="1" applyBorder="1" applyAlignment="1">
      <alignment horizontal="center" vertical="center" wrapText="1"/>
    </xf>
    <xf numFmtId="0" fontId="24" fillId="6" borderId="34" xfId="0" applyFont="1" applyFill="1" applyBorder="1" applyAlignment="1">
      <alignment horizontal="center" vertical="center" wrapText="1"/>
    </xf>
    <xf numFmtId="0" fontId="22" fillId="0" borderId="191" xfId="0" applyFont="1" applyBorder="1" applyAlignment="1">
      <alignment horizontal="center" vertical="center" wrapText="1"/>
    </xf>
    <xf numFmtId="0" fontId="22" fillId="0" borderId="186" xfId="0" applyFont="1" applyBorder="1" applyAlignment="1">
      <alignment horizontal="center" vertical="center" wrapText="1"/>
    </xf>
    <xf numFmtId="0" fontId="22" fillId="0" borderId="207" xfId="0" applyFont="1" applyBorder="1" applyAlignment="1">
      <alignment horizontal="center" vertical="center" wrapText="1"/>
    </xf>
    <xf numFmtId="0" fontId="22" fillId="0" borderId="146" xfId="0" applyFont="1" applyBorder="1" applyAlignment="1">
      <alignment horizontal="center" vertical="center" wrapText="1"/>
    </xf>
    <xf numFmtId="0" fontId="22" fillId="0" borderId="147" xfId="0" applyFont="1" applyBorder="1" applyAlignment="1">
      <alignment horizontal="center" vertical="center" wrapText="1"/>
    </xf>
    <xf numFmtId="0" fontId="22" fillId="0" borderId="148" xfId="0" applyFont="1" applyBorder="1" applyAlignment="1">
      <alignment horizontal="center" vertical="center" wrapText="1"/>
    </xf>
    <xf numFmtId="0" fontId="22" fillId="0" borderId="1" xfId="0" applyFont="1" applyBorder="1" applyAlignment="1">
      <alignment horizontal="center" vertical="center"/>
    </xf>
    <xf numFmtId="0" fontId="22" fillId="0" borderId="2" xfId="0" applyFont="1" applyBorder="1" applyAlignment="1">
      <alignment horizontal="center" vertical="center"/>
    </xf>
    <xf numFmtId="0" fontId="22" fillId="0" borderId="28" xfId="0" applyFont="1" applyBorder="1" applyAlignment="1">
      <alignment horizontal="center" vertical="center"/>
    </xf>
    <xf numFmtId="0" fontId="22" fillId="0" borderId="144" xfId="0" applyFont="1" applyBorder="1" applyAlignment="1">
      <alignment horizontal="center" vertical="center" wrapText="1"/>
    </xf>
    <xf numFmtId="0" fontId="22" fillId="0" borderId="16" xfId="0" applyFont="1" applyBorder="1" applyAlignment="1">
      <alignment horizontal="center" vertical="center" wrapText="1"/>
    </xf>
    <xf numFmtId="0" fontId="22" fillId="0" borderId="145" xfId="0" applyFont="1" applyBorder="1" applyAlignment="1">
      <alignment horizontal="center" vertical="center" wrapText="1"/>
    </xf>
    <xf numFmtId="0" fontId="22" fillId="0" borderId="168" xfId="0" applyFont="1" applyBorder="1" applyAlignment="1">
      <alignment horizontal="center" vertical="center" wrapText="1"/>
    </xf>
    <xf numFmtId="0" fontId="22" fillId="0" borderId="172" xfId="0" applyFont="1" applyBorder="1" applyAlignment="1">
      <alignment horizontal="center" vertical="center" wrapText="1"/>
    </xf>
    <xf numFmtId="0" fontId="22" fillId="0" borderId="175" xfId="0" applyFont="1" applyBorder="1" applyAlignment="1">
      <alignment horizontal="center" vertical="center" wrapText="1"/>
    </xf>
    <xf numFmtId="0" fontId="22" fillId="0" borderId="169" xfId="0" applyFont="1" applyBorder="1" applyAlignment="1">
      <alignment horizontal="center" vertical="center"/>
    </xf>
    <xf numFmtId="0" fontId="22" fillId="0" borderId="32" xfId="0" applyFont="1" applyBorder="1" applyAlignment="1">
      <alignment horizontal="center" vertical="center"/>
    </xf>
    <xf numFmtId="0" fontId="22" fillId="0" borderId="176" xfId="0" applyFont="1" applyBorder="1" applyAlignment="1">
      <alignment horizontal="center" vertical="center"/>
    </xf>
    <xf numFmtId="0" fontId="22" fillId="0" borderId="169" xfId="0" applyFont="1" applyBorder="1" applyAlignment="1">
      <alignment horizontal="center" vertical="center" wrapText="1"/>
    </xf>
    <xf numFmtId="0" fontId="22" fillId="0" borderId="95" xfId="0" applyFont="1" applyBorder="1" applyAlignment="1">
      <alignment horizontal="center" vertical="center" wrapText="1"/>
    </xf>
    <xf numFmtId="0" fontId="22" fillId="0" borderId="197" xfId="0" applyFont="1" applyBorder="1" applyAlignment="1">
      <alignment horizontal="center" vertical="center" wrapText="1"/>
    </xf>
    <xf numFmtId="0" fontId="22" fillId="0" borderId="170" xfId="0" applyFont="1" applyBorder="1" applyAlignment="1">
      <alignment horizontal="center" vertical="center" wrapText="1"/>
    </xf>
    <xf numFmtId="0" fontId="22" fillId="0" borderId="173" xfId="0" applyFont="1" applyBorder="1" applyAlignment="1">
      <alignment horizontal="center" vertical="center" wrapText="1"/>
    </xf>
    <xf numFmtId="0" fontId="22" fillId="0" borderId="177" xfId="0" applyFont="1" applyBorder="1" applyAlignment="1">
      <alignment horizontal="center" vertical="center" wrapText="1"/>
    </xf>
    <xf numFmtId="0" fontId="22" fillId="0" borderId="199" xfId="0" applyFont="1" applyBorder="1" applyAlignment="1">
      <alignment horizontal="center" vertical="center" wrapText="1"/>
    </xf>
    <xf numFmtId="0" fontId="22" fillId="0" borderId="161" xfId="0" applyFont="1" applyBorder="1" applyAlignment="1">
      <alignment horizontal="center" vertical="center" wrapText="1"/>
    </xf>
    <xf numFmtId="0" fontId="22" fillId="0" borderId="202" xfId="0" applyFont="1" applyBorder="1" applyAlignment="1">
      <alignment horizontal="center" vertical="center" wrapText="1"/>
    </xf>
    <xf numFmtId="0" fontId="22" fillId="0" borderId="96" xfId="0" applyFont="1" applyBorder="1" applyAlignment="1">
      <alignment horizontal="center" vertical="center"/>
    </xf>
    <xf numFmtId="0" fontId="22" fillId="0" borderId="179" xfId="0" applyFont="1" applyBorder="1" applyAlignment="1">
      <alignment horizontal="center" vertical="center"/>
    </xf>
    <xf numFmtId="0" fontId="22" fillId="0" borderId="96" xfId="0" applyFont="1" applyBorder="1" applyAlignment="1">
      <alignment horizontal="center" vertical="center" wrapText="1"/>
    </xf>
    <xf numFmtId="0" fontId="22" fillId="0" borderId="203" xfId="0" applyFont="1" applyBorder="1" applyAlignment="1">
      <alignment horizontal="center" vertical="center" wrapText="1"/>
    </xf>
    <xf numFmtId="0" fontId="22" fillId="0" borderId="204" xfId="0" applyFont="1" applyBorder="1" applyAlignment="1">
      <alignment horizontal="center" vertical="center" wrapText="1"/>
    </xf>
    <xf numFmtId="0" fontId="22" fillId="0" borderId="183" xfId="0" applyFont="1" applyBorder="1" applyAlignment="1">
      <alignment horizontal="center" vertical="center" wrapText="1"/>
    </xf>
    <xf numFmtId="0" fontId="22" fillId="0" borderId="189" xfId="0" applyFont="1" applyBorder="1" applyAlignment="1">
      <alignment horizontal="center" vertical="center" wrapText="1"/>
    </xf>
    <xf numFmtId="0" fontId="48" fillId="0" borderId="169" xfId="0" applyFont="1" applyBorder="1" applyAlignment="1">
      <alignment horizontal="center" vertical="center"/>
    </xf>
    <xf numFmtId="0" fontId="48" fillId="0" borderId="32" xfId="0" applyFont="1" applyBorder="1" applyAlignment="1">
      <alignment horizontal="center" vertical="center"/>
    </xf>
    <xf numFmtId="0" fontId="48" fillId="0" borderId="176" xfId="0" applyFont="1" applyBorder="1" applyAlignment="1">
      <alignment horizontal="center" vertical="center"/>
    </xf>
    <xf numFmtId="0" fontId="22" fillId="0" borderId="32" xfId="0" applyFont="1" applyBorder="1" applyAlignment="1">
      <alignment horizontal="center" vertical="center" wrapText="1"/>
    </xf>
    <xf numFmtId="0" fontId="22" fillId="0" borderId="176" xfId="0" applyFont="1" applyBorder="1" applyAlignment="1">
      <alignment horizontal="center" vertical="center" wrapText="1"/>
    </xf>
    <xf numFmtId="0" fontId="22" fillId="0" borderId="194" xfId="0" applyFont="1" applyBorder="1" applyAlignment="1">
      <alignment horizontal="center" vertical="center" wrapText="1"/>
    </xf>
    <xf numFmtId="0" fontId="7" fillId="6" borderId="75" xfId="0" applyFont="1" applyFill="1" applyBorder="1" applyAlignment="1">
      <alignment horizontal="center" vertical="center"/>
    </xf>
    <xf numFmtId="0" fontId="22" fillId="0" borderId="4"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152" xfId="0" applyFont="1" applyBorder="1" applyAlignment="1">
      <alignment horizontal="center" vertical="center" wrapText="1"/>
    </xf>
    <xf numFmtId="0" fontId="22" fillId="0" borderId="153" xfId="0" applyFont="1" applyBorder="1" applyAlignment="1">
      <alignment horizontal="center" vertical="center" wrapText="1"/>
    </xf>
    <xf numFmtId="0" fontId="22" fillId="0" borderId="154" xfId="0" applyFont="1" applyBorder="1" applyAlignment="1">
      <alignment horizontal="center" vertical="center" wrapText="1"/>
    </xf>
    <xf numFmtId="0" fontId="22" fillId="0" borderId="139" xfId="0" applyFont="1" applyBorder="1" applyAlignment="1">
      <alignment horizontal="center" vertical="center" wrapText="1"/>
    </xf>
    <xf numFmtId="0" fontId="22" fillId="0" borderId="141" xfId="0" applyFont="1" applyBorder="1" applyAlignment="1">
      <alignment horizontal="center" vertical="center" wrapText="1"/>
    </xf>
    <xf numFmtId="0" fontId="22" fillId="0" borderId="142"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2" xfId="0" applyFont="1" applyBorder="1" applyAlignment="1">
      <alignment horizontal="center" vertical="center" wrapText="1"/>
    </xf>
    <xf numFmtId="0" fontId="22" fillId="0" borderId="28" xfId="0" applyFont="1" applyBorder="1" applyAlignment="1">
      <alignment horizontal="center" vertical="center" wrapText="1"/>
    </xf>
    <xf numFmtId="0" fontId="22" fillId="0" borderId="19" xfId="0" applyFont="1" applyBorder="1" applyAlignment="1">
      <alignment horizontal="center" vertical="center" wrapText="1"/>
    </xf>
    <xf numFmtId="0" fontId="22" fillId="0" borderId="188" xfId="0" applyFont="1" applyBorder="1" applyAlignment="1">
      <alignment horizontal="center" vertical="center" wrapText="1"/>
    </xf>
    <xf numFmtId="0" fontId="7" fillId="6" borderId="2" xfId="0" applyFont="1" applyFill="1" applyBorder="1" applyAlignment="1">
      <alignment horizontal="center" vertical="center"/>
    </xf>
    <xf numFmtId="0" fontId="7" fillId="6" borderId="12" xfId="0" applyFont="1" applyFill="1" applyBorder="1" applyAlignment="1">
      <alignment horizontal="center" vertical="center"/>
    </xf>
    <xf numFmtId="0" fontId="34" fillId="9" borderId="22" xfId="0" applyFont="1" applyFill="1" applyBorder="1" applyAlignment="1">
      <alignment horizontal="center" vertical="center" wrapText="1"/>
    </xf>
    <xf numFmtId="0" fontId="22" fillId="0" borderId="155" xfId="0" applyFont="1" applyBorder="1" applyAlignment="1">
      <alignment horizontal="center" vertical="center" wrapText="1"/>
    </xf>
    <xf numFmtId="0" fontId="22" fillId="0" borderId="165" xfId="0" applyFont="1" applyBorder="1" applyAlignment="1">
      <alignment horizontal="center" vertical="center" wrapText="1"/>
    </xf>
    <xf numFmtId="0" fontId="48" fillId="0" borderId="156" xfId="0" applyFont="1" applyBorder="1" applyAlignment="1">
      <alignment horizontal="center" vertical="center"/>
    </xf>
    <xf numFmtId="0" fontId="48" fillId="0" borderId="64" xfId="0" applyFont="1" applyBorder="1" applyAlignment="1">
      <alignment horizontal="center" vertical="center"/>
    </xf>
    <xf numFmtId="0" fontId="22" fillId="0" borderId="64" xfId="0" applyFont="1" applyBorder="1" applyAlignment="1">
      <alignment horizontal="center" vertical="center" wrapText="1"/>
    </xf>
    <xf numFmtId="0" fontId="22" fillId="0" borderId="157" xfId="0" applyFont="1" applyBorder="1" applyAlignment="1">
      <alignment horizontal="center" vertical="center" wrapText="1"/>
    </xf>
    <xf numFmtId="0" fontId="22" fillId="0" borderId="162" xfId="0" applyFont="1" applyBorder="1" applyAlignment="1">
      <alignment horizontal="center" vertical="center" wrapText="1"/>
    </xf>
    <xf numFmtId="0" fontId="22" fillId="0" borderId="166" xfId="0" applyFont="1" applyBorder="1" applyAlignment="1">
      <alignment horizontal="center" vertical="center" wrapText="1"/>
    </xf>
    <xf numFmtId="0" fontId="19" fillId="6" borderId="2" xfId="0" applyFont="1" applyFill="1" applyBorder="1" applyAlignment="1">
      <alignment horizontal="center" vertical="center" wrapText="1"/>
    </xf>
    <xf numFmtId="0" fontId="22" fillId="0" borderId="144" xfId="0" applyFont="1" applyBorder="1" applyAlignment="1">
      <alignment horizontal="center" vertical="center"/>
    </xf>
    <xf numFmtId="0" fontId="22" fillId="0" borderId="16" xfId="0" applyFont="1" applyBorder="1" applyAlignment="1">
      <alignment horizontal="center" vertical="center"/>
    </xf>
    <xf numFmtId="0" fontId="22" fillId="0" borderId="145" xfId="0" applyFont="1" applyBorder="1" applyAlignment="1">
      <alignment horizontal="center" vertical="center"/>
    </xf>
    <xf numFmtId="0" fontId="22" fillId="0" borderId="60" xfId="0" applyFont="1" applyBorder="1" applyAlignment="1">
      <alignment horizontal="center" vertical="center" wrapText="1"/>
    </xf>
    <xf numFmtId="0" fontId="22" fillId="0" borderId="35" xfId="0" applyFont="1" applyBorder="1" applyAlignment="1">
      <alignment horizontal="center" vertical="center" wrapText="1"/>
    </xf>
    <xf numFmtId="0" fontId="22" fillId="0" borderId="39" xfId="0" applyFont="1" applyBorder="1" applyAlignment="1">
      <alignment horizontal="center" vertical="center" wrapText="1"/>
    </xf>
    <xf numFmtId="0" fontId="22" fillId="0" borderId="47" xfId="0" applyFont="1" applyBorder="1" applyAlignment="1">
      <alignment horizontal="center" vertical="center" wrapText="1"/>
    </xf>
    <xf numFmtId="0" fontId="22" fillId="0" borderId="36" xfId="0" applyFont="1" applyBorder="1" applyAlignment="1">
      <alignment horizontal="center" vertical="center" wrapText="1"/>
    </xf>
    <xf numFmtId="0" fontId="22" fillId="0" borderId="40" xfId="0" applyFont="1" applyBorder="1" applyAlignment="1">
      <alignment horizontal="center" vertical="center" wrapText="1"/>
    </xf>
    <xf numFmtId="0" fontId="22" fillId="0" borderId="48" xfId="0" applyFont="1" applyBorder="1" applyAlignment="1">
      <alignment horizontal="center" vertical="center" wrapText="1"/>
    </xf>
    <xf numFmtId="0" fontId="22" fillId="0" borderId="58" xfId="0" applyFont="1" applyBorder="1" applyAlignment="1">
      <alignment horizontal="center" vertical="center" wrapText="1"/>
    </xf>
    <xf numFmtId="0" fontId="22" fillId="0" borderId="12" xfId="0" applyFont="1" applyBorder="1" applyAlignment="1">
      <alignment horizontal="center" vertical="center"/>
    </xf>
    <xf numFmtId="0" fontId="22" fillId="0" borderId="181" xfId="0" applyFont="1" applyBorder="1" applyAlignment="1">
      <alignment horizontal="center" vertical="center" wrapText="1"/>
    </xf>
    <xf numFmtId="0" fontId="22" fillId="0" borderId="206" xfId="0" applyFont="1" applyBorder="1" applyAlignment="1">
      <alignment horizontal="center" vertical="center" wrapText="1"/>
    </xf>
    <xf numFmtId="0" fontId="22" fillId="0" borderId="37" xfId="0" applyFont="1" applyBorder="1" applyAlignment="1">
      <alignment horizontal="center" vertical="center" wrapText="1"/>
    </xf>
    <xf numFmtId="0" fontId="22" fillId="0" borderId="41" xfId="0" applyFont="1" applyBorder="1" applyAlignment="1">
      <alignment horizontal="center" vertical="center" wrapText="1"/>
    </xf>
    <xf numFmtId="0" fontId="22" fillId="0" borderId="49" xfId="0" applyFont="1" applyBorder="1" applyAlignment="1">
      <alignment horizontal="center" vertical="center" wrapText="1"/>
    </xf>
    <xf numFmtId="0" fontId="22" fillId="0" borderId="19" xfId="0" applyFont="1" applyBorder="1" applyAlignment="1">
      <alignment horizontal="center" vertical="center"/>
    </xf>
    <xf numFmtId="0" fontId="22" fillId="0" borderId="181" xfId="0" applyFont="1" applyBorder="1" applyAlignment="1">
      <alignment horizontal="center" vertical="center"/>
    </xf>
    <xf numFmtId="0" fontId="22" fillId="0" borderId="153" xfId="0" applyFont="1" applyBorder="1" applyAlignment="1">
      <alignment horizontal="center" vertical="center"/>
    </xf>
    <xf numFmtId="0" fontId="22" fillId="0" borderId="182" xfId="0" applyFont="1" applyBorder="1" applyAlignment="1">
      <alignment horizontal="center" vertical="center"/>
    </xf>
    <xf numFmtId="0" fontId="60" fillId="0" borderId="150" xfId="0" applyFont="1" applyBorder="1" applyAlignment="1">
      <alignment horizontal="center" vertical="center" wrapText="1"/>
    </xf>
    <xf numFmtId="0" fontId="60" fillId="0" borderId="151" xfId="0" applyFont="1" applyBorder="1" applyAlignment="1">
      <alignment horizontal="center" vertical="center" wrapText="1"/>
    </xf>
    <xf numFmtId="0" fontId="22" fillId="0" borderId="149" xfId="0" applyFont="1" applyBorder="1" applyAlignment="1">
      <alignment horizontal="center" vertical="center" wrapText="1"/>
    </xf>
    <xf numFmtId="0" fontId="22" fillId="0" borderId="150" xfId="0" applyFont="1" applyBorder="1" applyAlignment="1">
      <alignment horizontal="center" vertical="center" wrapText="1"/>
    </xf>
    <xf numFmtId="0" fontId="22" fillId="0" borderId="151" xfId="0" applyFont="1" applyBorder="1" applyAlignment="1">
      <alignment horizontal="center" vertical="center" wrapText="1"/>
    </xf>
    <xf numFmtId="0" fontId="60" fillId="0" borderId="149" xfId="0" applyFont="1" applyBorder="1" applyAlignment="1">
      <alignment horizontal="center" vertical="center" wrapText="1"/>
    </xf>
    <xf numFmtId="0" fontId="22" fillId="0" borderId="12" xfId="0" applyFont="1" applyBorder="1" applyAlignment="1">
      <alignment horizontal="center" vertical="center" wrapText="1"/>
    </xf>
    <xf numFmtId="0" fontId="48" fillId="0" borderId="37" xfId="0" applyFont="1" applyBorder="1" applyAlignment="1">
      <alignment horizontal="center" vertical="center" wrapText="1"/>
    </xf>
    <xf numFmtId="0" fontId="48" fillId="0" borderId="41" xfId="0" applyFont="1" applyBorder="1" applyAlignment="1">
      <alignment horizontal="center" vertical="center" wrapText="1"/>
    </xf>
    <xf numFmtId="0" fontId="48" fillId="0" borderId="45" xfId="0" applyFont="1" applyBorder="1" applyAlignment="1">
      <alignment horizontal="center" vertical="center" wrapText="1"/>
    </xf>
    <xf numFmtId="0" fontId="22" fillId="0" borderId="51" xfId="0" applyFont="1" applyBorder="1" applyAlignment="1">
      <alignment horizontal="center" vertical="center" wrapText="1"/>
    </xf>
    <xf numFmtId="0" fontId="22" fillId="0" borderId="43" xfId="0" applyFont="1" applyBorder="1" applyAlignment="1">
      <alignment horizontal="center" vertical="center" wrapText="1"/>
    </xf>
    <xf numFmtId="0" fontId="22" fillId="0" borderId="44" xfId="0" applyFont="1" applyBorder="1" applyAlignment="1">
      <alignment horizontal="center" vertical="center" wrapText="1"/>
    </xf>
    <xf numFmtId="0" fontId="22" fillId="46" borderId="29" xfId="0" applyFont="1" applyFill="1" applyBorder="1" applyAlignment="1">
      <alignment horizontal="center" vertical="center"/>
    </xf>
    <xf numFmtId="0" fontId="22" fillId="0" borderId="52" xfId="0" applyFont="1" applyBorder="1" applyAlignment="1">
      <alignment horizontal="center" vertical="center" wrapText="1"/>
    </xf>
    <xf numFmtId="0" fontId="48" fillId="0" borderId="53" xfId="0" applyFont="1" applyBorder="1" applyAlignment="1">
      <alignment horizontal="center" vertical="center" wrapText="1"/>
    </xf>
    <xf numFmtId="0" fontId="48" fillId="0" borderId="124" xfId="0" applyFont="1" applyBorder="1" applyAlignment="1">
      <alignment horizontal="center" vertical="center" wrapText="1"/>
    </xf>
    <xf numFmtId="0" fontId="48" fillId="0" borderId="126" xfId="0" applyFont="1" applyBorder="1" applyAlignment="1">
      <alignment horizontal="center" vertical="center" wrapText="1"/>
    </xf>
    <xf numFmtId="0" fontId="22" fillId="0" borderId="99" xfId="0" applyFont="1" applyBorder="1" applyAlignment="1">
      <alignment horizontal="center" vertical="center" wrapText="1"/>
    </xf>
    <xf numFmtId="0" fontId="22" fillId="0" borderId="102" xfId="0" applyFont="1" applyBorder="1" applyAlignment="1">
      <alignment horizontal="center" vertical="center" wrapText="1"/>
    </xf>
    <xf numFmtId="0" fontId="22" fillId="0" borderId="104" xfId="0" applyFont="1" applyBorder="1" applyAlignment="1">
      <alignment horizontal="center" vertical="center" wrapText="1"/>
    </xf>
    <xf numFmtId="0" fontId="22" fillId="0" borderId="100" xfId="0" applyFont="1" applyBorder="1" applyAlignment="1">
      <alignment horizontal="center" vertical="center" wrapText="1"/>
    </xf>
    <xf numFmtId="0" fontId="22" fillId="0" borderId="105" xfId="0" applyFont="1" applyBorder="1" applyAlignment="1">
      <alignment horizontal="center" vertical="center" wrapText="1"/>
    </xf>
    <xf numFmtId="0" fontId="6" fillId="0" borderId="27" xfId="0" applyFont="1" applyBorder="1" applyAlignment="1">
      <alignment horizontal="center" vertical="center"/>
    </xf>
    <xf numFmtId="0" fontId="6" fillId="0" borderId="24" xfId="0" applyFont="1" applyBorder="1" applyAlignment="1">
      <alignment horizontal="center" vertical="center"/>
    </xf>
    <xf numFmtId="0" fontId="6" fillId="0" borderId="25" xfId="0" applyFont="1" applyBorder="1" applyAlignment="1">
      <alignment horizontal="center" vertical="center"/>
    </xf>
    <xf numFmtId="0" fontId="23" fillId="0" borderId="213" xfId="0" applyFont="1" applyBorder="1" applyAlignment="1">
      <alignment horizontal="center" vertical="center"/>
    </xf>
    <xf numFmtId="0" fontId="23" fillId="0" borderId="215" xfId="0" applyFont="1" applyBorder="1" applyAlignment="1">
      <alignment horizontal="center" vertical="center"/>
    </xf>
    <xf numFmtId="0" fontId="34" fillId="9" borderId="219" xfId="0" applyFont="1" applyFill="1" applyBorder="1" applyAlignment="1">
      <alignment horizontal="center" vertical="center"/>
    </xf>
    <xf numFmtId="0" fontId="34" fillId="11" borderId="218" xfId="0" applyFont="1" applyFill="1" applyBorder="1" applyAlignment="1">
      <alignment horizontal="center" vertical="center"/>
    </xf>
    <xf numFmtId="0" fontId="34" fillId="11" borderId="0" xfId="0" applyFont="1" applyFill="1" applyAlignment="1">
      <alignment horizontal="center" vertical="center"/>
    </xf>
    <xf numFmtId="9" fontId="6" fillId="0" borderId="32" xfId="2" applyFont="1" applyFill="1" applyBorder="1" applyAlignment="1">
      <alignment horizontal="center" vertical="center"/>
    </xf>
    <xf numFmtId="0" fontId="24" fillId="6" borderId="32" xfId="0" applyFont="1" applyFill="1" applyBorder="1" applyAlignment="1">
      <alignment horizontal="center" vertical="center"/>
    </xf>
    <xf numFmtId="0" fontId="0" fillId="0" borderId="0" xfId="0" applyAlignment="1">
      <alignment horizontal="center"/>
    </xf>
  </cellXfs>
  <cellStyles count="57">
    <cellStyle name="20% - Accent1" xfId="29" builtinId="30" customBuiltin="1"/>
    <cellStyle name="20% - Accent2" xfId="32" builtinId="34" customBuiltin="1"/>
    <cellStyle name="20% - Accent3" xfId="35" builtinId="38" customBuiltin="1"/>
    <cellStyle name="20% - Accent4" xfId="38" builtinId="42" customBuiltin="1"/>
    <cellStyle name="20% - Accent5" xfId="41" builtinId="46" customBuiltin="1"/>
    <cellStyle name="20% - Accent6" xfId="44" builtinId="50" customBuiltin="1"/>
    <cellStyle name="40% - Accent1" xfId="30" builtinId="31" customBuiltin="1"/>
    <cellStyle name="40% - Accent2" xfId="33" builtinId="35" customBuiltin="1"/>
    <cellStyle name="40% - Accent3" xfId="36" builtinId="39" customBuiltin="1"/>
    <cellStyle name="40% - Accent4" xfId="39" builtinId="43" customBuiltin="1"/>
    <cellStyle name="40% - Accent5" xfId="42" builtinId="47" customBuiltin="1"/>
    <cellStyle name="40% - Accent6" xfId="45" builtinId="51" customBuiltin="1"/>
    <cellStyle name="60% - Accent1 2" xfId="48" xr:uid="{742F182D-DE19-4ABD-8125-542911AC2871}"/>
    <cellStyle name="60% - Accent2 2" xfId="49" xr:uid="{C203D7A7-4D1E-4E4D-9A55-425F304335D3}"/>
    <cellStyle name="60% - Accent3 2" xfId="50" xr:uid="{D575A5F1-76FC-4DEE-A89E-DFDABCBF86AA}"/>
    <cellStyle name="60% - Accent4 2" xfId="51" xr:uid="{D57D9030-641B-49DF-B44E-F0A7AC7C8BB7}"/>
    <cellStyle name="60% - Accent5 2" xfId="52" xr:uid="{EA6BFE8E-04CA-4DDE-A801-C5177F36DCFD}"/>
    <cellStyle name="60% - Accent6 2" xfId="53" xr:uid="{B263CC10-573D-4AC3-9866-0BC54A3DA634}"/>
    <cellStyle name="Accent1" xfId="28" builtinId="29" customBuiltin="1"/>
    <cellStyle name="Accent2" xfId="31" builtinId="33" customBuiltin="1"/>
    <cellStyle name="Accent3" xfId="34" builtinId="37" customBuiltin="1"/>
    <cellStyle name="Accent4" xfId="37" builtinId="41" customBuiltin="1"/>
    <cellStyle name="Accent5" xfId="40" builtinId="45" customBuiltin="1"/>
    <cellStyle name="Accent6" xfId="43" builtinId="49" customBuiltin="1"/>
    <cellStyle name="Bad" xfId="18" builtinId="27" customBuiltin="1"/>
    <cellStyle name="Calculation" xfId="21" builtinId="22" customBuiltin="1"/>
    <cellStyle name="Check Cell" xfId="23" builtinId="23" customBuiltin="1"/>
    <cellStyle name="Comma" xfId="6" builtinId="3"/>
    <cellStyle name="Explanatory Text" xfId="26" builtinId="53" customBuiltin="1"/>
    <cellStyle name="Good" xfId="17" builtinId="26" customBuiltin="1"/>
    <cellStyle name="Heading 1" xfId="13" builtinId="16" customBuiltin="1"/>
    <cellStyle name="Heading 2" xfId="14" builtinId="17" customBuiltin="1"/>
    <cellStyle name="Heading 3" xfId="15" builtinId="18" customBuiltin="1"/>
    <cellStyle name="Heading 4" xfId="16" builtinId="19" customBuiltin="1"/>
    <cellStyle name="Hyperlink" xfId="5" builtinId="8"/>
    <cellStyle name="Hyperlink 2" xfId="10" xr:uid="{10C1E3C0-F46B-4E25-BD9A-EE5D62F88FF2}"/>
    <cellStyle name="Input" xfId="19" builtinId="20" customBuiltin="1"/>
    <cellStyle name="Linked Cell" xfId="22" builtinId="24" customBuiltin="1"/>
    <cellStyle name="Neutral 2" xfId="47" xr:uid="{65990A78-3418-4385-8A90-6596C12444EC}"/>
    <cellStyle name="Normal" xfId="0" builtinId="0"/>
    <cellStyle name="Normal 2" xfId="3" xr:uid="{E38C2638-0821-4BB2-9C33-A89D3950ADA6}"/>
    <cellStyle name="Normal 2 2" xfId="4" xr:uid="{7604919E-E68F-4366-A693-6A7B8B8DA661}"/>
    <cellStyle name="Normal 2 3" xfId="9" xr:uid="{8A1E39CD-7ABA-4D79-A464-67010D1209C1}"/>
    <cellStyle name="Normal 2 4" xfId="55" xr:uid="{AE4B3509-A26F-46BA-8AEA-0889CC1E7DEC}"/>
    <cellStyle name="Normal 3" xfId="7" xr:uid="{1C10DAE4-4F9C-4E19-81E4-5574511A6741}"/>
    <cellStyle name="Normal 4" xfId="11" xr:uid="{43272557-B37F-4996-BC18-AA3EDEAFA379}"/>
    <cellStyle name="Normal 5" xfId="12" xr:uid="{642BE191-BE2F-4847-8420-1C59B95E270E}"/>
    <cellStyle name="Normal 6" xfId="54" xr:uid="{40F62795-0E60-4B52-B70B-B046DFB737FF}"/>
    <cellStyle name="Normal 7" xfId="56" xr:uid="{0BA40774-97CB-4C80-830F-9CD510918DC0}"/>
    <cellStyle name="Normal_Prototype_Scorecard-LgOffice-2008-03-13" xfId="1" xr:uid="{F839F8A1-86E5-4008-9801-0F032E8A3317}"/>
    <cellStyle name="Note" xfId="25" builtinId="10" customBuiltin="1"/>
    <cellStyle name="Output" xfId="20" builtinId="21" customBuiltin="1"/>
    <cellStyle name="Percent" xfId="2" builtinId="5"/>
    <cellStyle name="Percent 2" xfId="8" xr:uid="{CB789C3E-741F-4464-8065-385A956411E6}"/>
    <cellStyle name="Title 2" xfId="46" xr:uid="{3F21AD8F-936B-4DFB-B4CB-549B9F2D7A8B}"/>
    <cellStyle name="Total" xfId="27" builtinId="25" customBuiltin="1"/>
    <cellStyle name="Warning Text" xfId="24" builtinId="11" customBuiltin="1"/>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F2F2F2"/>
      <color rgb="FF919090"/>
      <color rgb="FFA6A6A6"/>
      <color rgb="FF2E9F17"/>
      <color rgb="FF8238BA"/>
      <color rgb="FFCCCCFF"/>
      <color rgb="FF002F8E"/>
      <color rgb="FF800000"/>
      <color rgb="FF0000CC"/>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0.15</c:v>
                </c:pt>
                <c:pt idx="1">
                  <c:v>0.15</c:v>
                </c:pt>
                <c:pt idx="2">
                  <c:v>0.15</c:v>
                </c:pt>
                <c:pt idx="3">
                  <c:v>0.15</c:v>
                </c:pt>
                <c:pt idx="4">
                  <c:v>0.15</c:v>
                </c:pt>
                <c:pt idx="5">
                  <c:v>0.2</c:v>
                </c:pt>
                <c:pt idx="6">
                  <c:v>0.3</c:v>
                </c:pt>
                <c:pt idx="7">
                  <c:v>0.66999999999999993</c:v>
                </c:pt>
                <c:pt idx="8">
                  <c:v>0.73</c:v>
                </c:pt>
                <c:pt idx="9">
                  <c:v>0.75</c:v>
                </c:pt>
                <c:pt idx="10">
                  <c:v>0.85</c:v>
                </c:pt>
                <c:pt idx="11">
                  <c:v>0.85</c:v>
                </c:pt>
                <c:pt idx="12">
                  <c:v>0.85</c:v>
                </c:pt>
                <c:pt idx="13">
                  <c:v>0.83</c:v>
                </c:pt>
                <c:pt idx="14">
                  <c:v>0.72</c:v>
                </c:pt>
                <c:pt idx="15">
                  <c:v>0.64999999999999991</c:v>
                </c:pt>
                <c:pt idx="16">
                  <c:v>0.66999999999999993</c:v>
                </c:pt>
                <c:pt idx="17">
                  <c:v>0.75</c:v>
                </c:pt>
                <c:pt idx="18">
                  <c:v>0.85</c:v>
                </c:pt>
                <c:pt idx="19">
                  <c:v>0.85</c:v>
                </c:pt>
                <c:pt idx="20">
                  <c:v>0.85</c:v>
                </c:pt>
                <c:pt idx="21">
                  <c:v>0.75</c:v>
                </c:pt>
                <c:pt idx="22">
                  <c:v>0.56999999999999995</c:v>
                </c:pt>
                <c:pt idx="23">
                  <c:v>0.3</c:v>
                </c:pt>
              </c:numCache>
            </c:numRef>
          </c:val>
          <c:smooth val="0"/>
          <c:extLst>
            <c:ext xmlns:c16="http://schemas.microsoft.com/office/drawing/2014/chart" uri="{C3380CC4-5D6E-409C-BE32-E72D297353CC}">
              <c16:uniqueId val="{00000000-2801-4868-A297-9CE8C024DA05}"/>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0.15</c:v>
                </c:pt>
                <c:pt idx="1">
                  <c:v>0.15</c:v>
                </c:pt>
                <c:pt idx="2">
                  <c:v>0.15</c:v>
                </c:pt>
                <c:pt idx="3">
                  <c:v>0.15</c:v>
                </c:pt>
                <c:pt idx="4">
                  <c:v>0.15</c:v>
                </c:pt>
                <c:pt idx="5">
                  <c:v>0.2</c:v>
                </c:pt>
                <c:pt idx="6">
                  <c:v>0.3</c:v>
                </c:pt>
                <c:pt idx="7">
                  <c:v>0.66999999999999993</c:v>
                </c:pt>
                <c:pt idx="8">
                  <c:v>0.73</c:v>
                </c:pt>
                <c:pt idx="9">
                  <c:v>0.75</c:v>
                </c:pt>
                <c:pt idx="10">
                  <c:v>0.85</c:v>
                </c:pt>
                <c:pt idx="11">
                  <c:v>0.85</c:v>
                </c:pt>
                <c:pt idx="12">
                  <c:v>0.85</c:v>
                </c:pt>
                <c:pt idx="13">
                  <c:v>0.83</c:v>
                </c:pt>
                <c:pt idx="14">
                  <c:v>0.72</c:v>
                </c:pt>
                <c:pt idx="15">
                  <c:v>0.64999999999999991</c:v>
                </c:pt>
                <c:pt idx="16">
                  <c:v>0.66999999999999993</c:v>
                </c:pt>
                <c:pt idx="17">
                  <c:v>0.75</c:v>
                </c:pt>
                <c:pt idx="18">
                  <c:v>0.85</c:v>
                </c:pt>
                <c:pt idx="19">
                  <c:v>0.85</c:v>
                </c:pt>
                <c:pt idx="20">
                  <c:v>0.85</c:v>
                </c:pt>
                <c:pt idx="21">
                  <c:v>0.75</c:v>
                </c:pt>
                <c:pt idx="22">
                  <c:v>0.56999999999999995</c:v>
                </c:pt>
                <c:pt idx="23">
                  <c:v>0.3</c:v>
                </c:pt>
              </c:numCache>
            </c:numRef>
          </c:val>
          <c:smooth val="0"/>
          <c:extLst>
            <c:ext xmlns:c16="http://schemas.microsoft.com/office/drawing/2014/chart" uri="{C3380CC4-5D6E-409C-BE32-E72D297353CC}">
              <c16:uniqueId val="{00000001-2801-4868-A297-9CE8C024DA05}"/>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0.2</c:v>
                </c:pt>
                <c:pt idx="1">
                  <c:v>0.15</c:v>
                </c:pt>
                <c:pt idx="2">
                  <c:v>0.15</c:v>
                </c:pt>
                <c:pt idx="3">
                  <c:v>0.15</c:v>
                </c:pt>
                <c:pt idx="4">
                  <c:v>0.15</c:v>
                </c:pt>
                <c:pt idx="5">
                  <c:v>0.15</c:v>
                </c:pt>
                <c:pt idx="6">
                  <c:v>0.3</c:v>
                </c:pt>
                <c:pt idx="7">
                  <c:v>0.66999999999999993</c:v>
                </c:pt>
                <c:pt idx="8">
                  <c:v>0.73</c:v>
                </c:pt>
                <c:pt idx="9">
                  <c:v>0.75</c:v>
                </c:pt>
                <c:pt idx="10">
                  <c:v>0.85</c:v>
                </c:pt>
                <c:pt idx="11">
                  <c:v>0.85</c:v>
                </c:pt>
                <c:pt idx="12">
                  <c:v>0.85</c:v>
                </c:pt>
                <c:pt idx="13">
                  <c:v>0.83</c:v>
                </c:pt>
                <c:pt idx="14">
                  <c:v>0.72</c:v>
                </c:pt>
                <c:pt idx="15">
                  <c:v>0.64999999999999991</c:v>
                </c:pt>
                <c:pt idx="16">
                  <c:v>0.66999999999999993</c:v>
                </c:pt>
                <c:pt idx="17">
                  <c:v>0.75</c:v>
                </c:pt>
                <c:pt idx="18">
                  <c:v>0.85</c:v>
                </c:pt>
                <c:pt idx="19">
                  <c:v>0.85</c:v>
                </c:pt>
                <c:pt idx="20">
                  <c:v>0.85</c:v>
                </c:pt>
                <c:pt idx="21">
                  <c:v>0.75</c:v>
                </c:pt>
                <c:pt idx="22">
                  <c:v>0.56999999999999995</c:v>
                </c:pt>
                <c:pt idx="23">
                  <c:v>0.3</c:v>
                </c:pt>
              </c:numCache>
            </c:numRef>
          </c:val>
          <c:smooth val="0"/>
          <c:extLst>
            <c:ext xmlns:c16="http://schemas.microsoft.com/office/drawing/2014/chart" uri="{C3380CC4-5D6E-409C-BE32-E72D297353CC}">
              <c16:uniqueId val="{00000002-2801-4868-A297-9CE8C024DA0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0.15</c:v>
                </c:pt>
                <c:pt idx="1">
                  <c:v>0.15</c:v>
                </c:pt>
                <c:pt idx="2">
                  <c:v>0.15</c:v>
                </c:pt>
                <c:pt idx="3">
                  <c:v>0.15</c:v>
                </c:pt>
                <c:pt idx="4">
                  <c:v>0.15</c:v>
                </c:pt>
                <c:pt idx="5">
                  <c:v>0.2</c:v>
                </c:pt>
                <c:pt idx="6">
                  <c:v>0.3</c:v>
                </c:pt>
                <c:pt idx="7">
                  <c:v>0.72</c:v>
                </c:pt>
                <c:pt idx="8">
                  <c:v>0.78</c:v>
                </c:pt>
                <c:pt idx="9">
                  <c:v>0.8</c:v>
                </c:pt>
                <c:pt idx="10">
                  <c:v>0.9</c:v>
                </c:pt>
                <c:pt idx="11">
                  <c:v>0.9</c:v>
                </c:pt>
                <c:pt idx="12">
                  <c:v>0.9</c:v>
                </c:pt>
                <c:pt idx="13">
                  <c:v>0.88</c:v>
                </c:pt>
                <c:pt idx="14">
                  <c:v>0.77</c:v>
                </c:pt>
                <c:pt idx="15">
                  <c:v>0.7</c:v>
                </c:pt>
                <c:pt idx="16">
                  <c:v>0.72</c:v>
                </c:pt>
                <c:pt idx="17">
                  <c:v>0.8</c:v>
                </c:pt>
                <c:pt idx="18">
                  <c:v>0.9</c:v>
                </c:pt>
                <c:pt idx="19">
                  <c:v>0.9</c:v>
                </c:pt>
                <c:pt idx="20">
                  <c:v>0.9</c:v>
                </c:pt>
                <c:pt idx="21">
                  <c:v>0.8</c:v>
                </c:pt>
                <c:pt idx="22">
                  <c:v>0.62</c:v>
                </c:pt>
                <c:pt idx="23">
                  <c:v>0.3</c:v>
                </c:pt>
              </c:numCache>
            </c:numRef>
          </c:val>
          <c:smooth val="0"/>
          <c:extLst>
            <c:ext xmlns:c16="http://schemas.microsoft.com/office/drawing/2014/chart" uri="{C3380CC4-5D6E-409C-BE32-E72D297353CC}">
              <c16:uniqueId val="{00000000-0748-4F4D-90B3-3FD2F8F642B0}"/>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0.15</c:v>
                </c:pt>
                <c:pt idx="1">
                  <c:v>0.15</c:v>
                </c:pt>
                <c:pt idx="2">
                  <c:v>0.15</c:v>
                </c:pt>
                <c:pt idx="3">
                  <c:v>0.15</c:v>
                </c:pt>
                <c:pt idx="4">
                  <c:v>0.15</c:v>
                </c:pt>
                <c:pt idx="5">
                  <c:v>0.2</c:v>
                </c:pt>
                <c:pt idx="6">
                  <c:v>0.3</c:v>
                </c:pt>
                <c:pt idx="7">
                  <c:v>0.72</c:v>
                </c:pt>
                <c:pt idx="8">
                  <c:v>0.78</c:v>
                </c:pt>
                <c:pt idx="9">
                  <c:v>0.8</c:v>
                </c:pt>
                <c:pt idx="10">
                  <c:v>0.9</c:v>
                </c:pt>
                <c:pt idx="11">
                  <c:v>0.9</c:v>
                </c:pt>
                <c:pt idx="12">
                  <c:v>0.9</c:v>
                </c:pt>
                <c:pt idx="13">
                  <c:v>0.88</c:v>
                </c:pt>
                <c:pt idx="14">
                  <c:v>0.77</c:v>
                </c:pt>
                <c:pt idx="15">
                  <c:v>0.7</c:v>
                </c:pt>
                <c:pt idx="16">
                  <c:v>0.72</c:v>
                </c:pt>
                <c:pt idx="17">
                  <c:v>0.8</c:v>
                </c:pt>
                <c:pt idx="18">
                  <c:v>0.9</c:v>
                </c:pt>
                <c:pt idx="19">
                  <c:v>0.9</c:v>
                </c:pt>
                <c:pt idx="20">
                  <c:v>0.9</c:v>
                </c:pt>
                <c:pt idx="21">
                  <c:v>0.8</c:v>
                </c:pt>
                <c:pt idx="22">
                  <c:v>0.62</c:v>
                </c:pt>
                <c:pt idx="23">
                  <c:v>0.3</c:v>
                </c:pt>
              </c:numCache>
            </c:numRef>
          </c:val>
          <c:smooth val="0"/>
          <c:extLst>
            <c:ext xmlns:c16="http://schemas.microsoft.com/office/drawing/2014/chart" uri="{C3380CC4-5D6E-409C-BE32-E72D297353CC}">
              <c16:uniqueId val="{00000001-0748-4F4D-90B3-3FD2F8F642B0}"/>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Schedules!$F$12:$AC$12</c:f>
              <c:numCache>
                <c:formatCode>0.00</c:formatCode>
                <c:ptCount val="24"/>
                <c:pt idx="0">
                  <c:v>0.2</c:v>
                </c:pt>
                <c:pt idx="1">
                  <c:v>0.15</c:v>
                </c:pt>
                <c:pt idx="2">
                  <c:v>0.15</c:v>
                </c:pt>
                <c:pt idx="3">
                  <c:v>0.15</c:v>
                </c:pt>
                <c:pt idx="4">
                  <c:v>0.15</c:v>
                </c:pt>
                <c:pt idx="5">
                  <c:v>0.15</c:v>
                </c:pt>
                <c:pt idx="6">
                  <c:v>0.3</c:v>
                </c:pt>
                <c:pt idx="7">
                  <c:v>0.72</c:v>
                </c:pt>
                <c:pt idx="8">
                  <c:v>0.78</c:v>
                </c:pt>
                <c:pt idx="9">
                  <c:v>0.8</c:v>
                </c:pt>
                <c:pt idx="10">
                  <c:v>0.9</c:v>
                </c:pt>
                <c:pt idx="11">
                  <c:v>0.9</c:v>
                </c:pt>
                <c:pt idx="12">
                  <c:v>0.9</c:v>
                </c:pt>
                <c:pt idx="13">
                  <c:v>0.88</c:v>
                </c:pt>
                <c:pt idx="14">
                  <c:v>0.77</c:v>
                </c:pt>
                <c:pt idx="15">
                  <c:v>0.7</c:v>
                </c:pt>
                <c:pt idx="16">
                  <c:v>0.72</c:v>
                </c:pt>
                <c:pt idx="17">
                  <c:v>0.8</c:v>
                </c:pt>
                <c:pt idx="18">
                  <c:v>0.9</c:v>
                </c:pt>
                <c:pt idx="19">
                  <c:v>0.9</c:v>
                </c:pt>
                <c:pt idx="20">
                  <c:v>0.9</c:v>
                </c:pt>
                <c:pt idx="21">
                  <c:v>0.8</c:v>
                </c:pt>
                <c:pt idx="22">
                  <c:v>0.62</c:v>
                </c:pt>
                <c:pt idx="23">
                  <c:v>0.3</c:v>
                </c:pt>
              </c:numCache>
            </c:numRef>
          </c:val>
          <c:smooth val="0"/>
          <c:extLst>
            <c:ext xmlns:c16="http://schemas.microsoft.com/office/drawing/2014/chart" uri="{C3380CC4-5D6E-409C-BE32-E72D297353CC}">
              <c16:uniqueId val="{00000002-0748-4F4D-90B3-3FD2F8F642B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Schedules!$C$38</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Schedules!$E$38</c:f>
              <c:strCache>
                <c:ptCount val="1"/>
                <c:pt idx="0">
                  <c:v>Weekday</c:v>
                </c:pt>
              </c:strCache>
            </c:strRef>
          </c:tx>
          <c:spPr>
            <a:ln w="28575" cap="rnd">
              <a:solidFill>
                <a:schemeClr val="accent1"/>
              </a:solidFill>
              <a:round/>
            </a:ln>
            <a:effectLst/>
          </c:spPr>
          <c:marker>
            <c:symbol val="none"/>
          </c:marker>
          <c:val>
            <c:numRef>
              <c:f>Schedules!$F$38:$AC$38</c:f>
              <c:numCache>
                <c:formatCode>0.00</c:formatCode>
                <c:ptCount val="24"/>
                <c:pt idx="0">
                  <c:v>0.15</c:v>
                </c:pt>
                <c:pt idx="1">
                  <c:v>0.15</c:v>
                </c:pt>
                <c:pt idx="2">
                  <c:v>0.15</c:v>
                </c:pt>
                <c:pt idx="3">
                  <c:v>0.15</c:v>
                </c:pt>
                <c:pt idx="4">
                  <c:v>0.15</c:v>
                </c:pt>
                <c:pt idx="5">
                  <c:v>0.2</c:v>
                </c:pt>
                <c:pt idx="6">
                  <c:v>0.3</c:v>
                </c:pt>
                <c:pt idx="7">
                  <c:v>0.72</c:v>
                </c:pt>
                <c:pt idx="8">
                  <c:v>0.78</c:v>
                </c:pt>
                <c:pt idx="9">
                  <c:v>0.8</c:v>
                </c:pt>
                <c:pt idx="10">
                  <c:v>0.9</c:v>
                </c:pt>
                <c:pt idx="11">
                  <c:v>0.9</c:v>
                </c:pt>
                <c:pt idx="12">
                  <c:v>0.9</c:v>
                </c:pt>
                <c:pt idx="13">
                  <c:v>0.88</c:v>
                </c:pt>
                <c:pt idx="14">
                  <c:v>0.77</c:v>
                </c:pt>
                <c:pt idx="15">
                  <c:v>0.7</c:v>
                </c:pt>
                <c:pt idx="16">
                  <c:v>0.72</c:v>
                </c:pt>
                <c:pt idx="17">
                  <c:v>0.8</c:v>
                </c:pt>
                <c:pt idx="18">
                  <c:v>0.9</c:v>
                </c:pt>
                <c:pt idx="19">
                  <c:v>0.9</c:v>
                </c:pt>
                <c:pt idx="20">
                  <c:v>0.9</c:v>
                </c:pt>
                <c:pt idx="21">
                  <c:v>0.8</c:v>
                </c:pt>
                <c:pt idx="22">
                  <c:v>0.62</c:v>
                </c:pt>
                <c:pt idx="23">
                  <c:v>0.3</c:v>
                </c:pt>
              </c:numCache>
            </c:numRef>
          </c:val>
          <c:smooth val="0"/>
          <c:extLst>
            <c:ext xmlns:c16="http://schemas.microsoft.com/office/drawing/2014/chart" uri="{C3380CC4-5D6E-409C-BE32-E72D297353CC}">
              <c16:uniqueId val="{00000000-CDA0-47AB-BB9C-56C2B9BA9FF5}"/>
            </c:ext>
          </c:extLst>
        </c:ser>
        <c:ser>
          <c:idx val="1"/>
          <c:order val="1"/>
          <c:tx>
            <c:strRef>
              <c:f>Schedules!$E$39</c:f>
              <c:strCache>
                <c:ptCount val="1"/>
                <c:pt idx="0">
                  <c:v>Saturday</c:v>
                </c:pt>
              </c:strCache>
            </c:strRef>
          </c:tx>
          <c:spPr>
            <a:ln w="28575" cap="rnd">
              <a:solidFill>
                <a:schemeClr val="accent2"/>
              </a:solidFill>
              <a:round/>
            </a:ln>
            <a:effectLst/>
          </c:spPr>
          <c:marker>
            <c:symbol val="none"/>
          </c:marker>
          <c:val>
            <c:numRef>
              <c:f>Schedules!$F$39:$AC$39</c:f>
              <c:numCache>
                <c:formatCode>0.00</c:formatCode>
                <c:ptCount val="24"/>
                <c:pt idx="0">
                  <c:v>0.15</c:v>
                </c:pt>
                <c:pt idx="1">
                  <c:v>0.15</c:v>
                </c:pt>
                <c:pt idx="2">
                  <c:v>0.15</c:v>
                </c:pt>
                <c:pt idx="3">
                  <c:v>0.15</c:v>
                </c:pt>
                <c:pt idx="4">
                  <c:v>0.15</c:v>
                </c:pt>
                <c:pt idx="5">
                  <c:v>0.2</c:v>
                </c:pt>
                <c:pt idx="6">
                  <c:v>0.3</c:v>
                </c:pt>
                <c:pt idx="7">
                  <c:v>0.72</c:v>
                </c:pt>
                <c:pt idx="8">
                  <c:v>0.78</c:v>
                </c:pt>
                <c:pt idx="9">
                  <c:v>0.8</c:v>
                </c:pt>
                <c:pt idx="10">
                  <c:v>0.9</c:v>
                </c:pt>
                <c:pt idx="11">
                  <c:v>0.9</c:v>
                </c:pt>
                <c:pt idx="12">
                  <c:v>0.9</c:v>
                </c:pt>
                <c:pt idx="13">
                  <c:v>0.88</c:v>
                </c:pt>
                <c:pt idx="14">
                  <c:v>0.77</c:v>
                </c:pt>
                <c:pt idx="15">
                  <c:v>0.7</c:v>
                </c:pt>
                <c:pt idx="16">
                  <c:v>0.72</c:v>
                </c:pt>
                <c:pt idx="17">
                  <c:v>0.8</c:v>
                </c:pt>
                <c:pt idx="18">
                  <c:v>0.9</c:v>
                </c:pt>
                <c:pt idx="19">
                  <c:v>0.9</c:v>
                </c:pt>
                <c:pt idx="20">
                  <c:v>0.9</c:v>
                </c:pt>
                <c:pt idx="21">
                  <c:v>0.8</c:v>
                </c:pt>
                <c:pt idx="22">
                  <c:v>0.62</c:v>
                </c:pt>
                <c:pt idx="23">
                  <c:v>0.3</c:v>
                </c:pt>
              </c:numCache>
            </c:numRef>
          </c:val>
          <c:smooth val="0"/>
          <c:extLst>
            <c:ext xmlns:c16="http://schemas.microsoft.com/office/drawing/2014/chart" uri="{C3380CC4-5D6E-409C-BE32-E72D297353CC}">
              <c16:uniqueId val="{00000001-CDA0-47AB-BB9C-56C2B9BA9FF5}"/>
            </c:ext>
          </c:extLst>
        </c:ser>
        <c:ser>
          <c:idx val="2"/>
          <c:order val="2"/>
          <c:tx>
            <c:strRef>
              <c:f>Schedules!$E$40</c:f>
              <c:strCache>
                <c:ptCount val="1"/>
                <c:pt idx="0">
                  <c:v>Sunday</c:v>
                </c:pt>
              </c:strCache>
            </c:strRef>
          </c:tx>
          <c:spPr>
            <a:ln w="28575" cap="rnd">
              <a:solidFill>
                <a:schemeClr val="accent3"/>
              </a:solidFill>
              <a:round/>
            </a:ln>
            <a:effectLst/>
          </c:spPr>
          <c:marker>
            <c:symbol val="none"/>
          </c:marker>
          <c:val>
            <c:numRef>
              <c:f>Schedules!$F$40:$AC$40</c:f>
              <c:numCache>
                <c:formatCode>0.00</c:formatCode>
                <c:ptCount val="24"/>
                <c:pt idx="0">
                  <c:v>0.2</c:v>
                </c:pt>
                <c:pt idx="1">
                  <c:v>0.15</c:v>
                </c:pt>
                <c:pt idx="2">
                  <c:v>0.15</c:v>
                </c:pt>
                <c:pt idx="3">
                  <c:v>0.15</c:v>
                </c:pt>
                <c:pt idx="4">
                  <c:v>0.15</c:v>
                </c:pt>
                <c:pt idx="5">
                  <c:v>0.15</c:v>
                </c:pt>
                <c:pt idx="6">
                  <c:v>0.3</c:v>
                </c:pt>
                <c:pt idx="7">
                  <c:v>0.72</c:v>
                </c:pt>
                <c:pt idx="8">
                  <c:v>0.78</c:v>
                </c:pt>
                <c:pt idx="9">
                  <c:v>0.8</c:v>
                </c:pt>
                <c:pt idx="10">
                  <c:v>0.9</c:v>
                </c:pt>
                <c:pt idx="11">
                  <c:v>0.9</c:v>
                </c:pt>
                <c:pt idx="12">
                  <c:v>0.9</c:v>
                </c:pt>
                <c:pt idx="13">
                  <c:v>0.88</c:v>
                </c:pt>
                <c:pt idx="14">
                  <c:v>0.77</c:v>
                </c:pt>
                <c:pt idx="15">
                  <c:v>0.7</c:v>
                </c:pt>
                <c:pt idx="16">
                  <c:v>0.72</c:v>
                </c:pt>
                <c:pt idx="17">
                  <c:v>0.8</c:v>
                </c:pt>
                <c:pt idx="18">
                  <c:v>0.9</c:v>
                </c:pt>
                <c:pt idx="19">
                  <c:v>0.9</c:v>
                </c:pt>
                <c:pt idx="20">
                  <c:v>0.9</c:v>
                </c:pt>
                <c:pt idx="21">
                  <c:v>0.8</c:v>
                </c:pt>
                <c:pt idx="22">
                  <c:v>0.62</c:v>
                </c:pt>
                <c:pt idx="23">
                  <c:v>0.3</c:v>
                </c:pt>
              </c:numCache>
            </c:numRef>
          </c:val>
          <c:smooth val="0"/>
          <c:extLst>
            <c:ext xmlns:c16="http://schemas.microsoft.com/office/drawing/2014/chart" uri="{C3380CC4-5D6E-409C-BE32-E72D297353CC}">
              <c16:uniqueId val="{00000002-CDA0-47AB-BB9C-56C2B9BA9FF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Infiltration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Schedules!$E$19</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0.25</c:v>
                </c:pt>
                <c:pt idx="1">
                  <c:v>0</c:v>
                </c:pt>
                <c:pt idx="2">
                  <c:v>0</c:v>
                </c:pt>
                <c:pt idx="3">
                  <c:v>1</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0-A267-4E1F-92B5-F569B6561890}"/>
            </c:ext>
          </c:extLst>
        </c:ser>
        <c:ser>
          <c:idx val="1"/>
          <c:order val="1"/>
          <c:tx>
            <c:strRef>
              <c:f>Schedules!$E$20</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0.25</c:v>
                </c:pt>
                <c:pt idx="1">
                  <c:v>0</c:v>
                </c:pt>
                <c:pt idx="2">
                  <c:v>0</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1-A267-4E1F-92B5-F569B6561890}"/>
            </c:ext>
          </c:extLst>
        </c:ser>
        <c:ser>
          <c:idx val="2"/>
          <c:order val="2"/>
          <c:tx>
            <c:strRef>
              <c:f>Schedules!$E$21</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0.25</c:v>
                </c:pt>
                <c:pt idx="1">
                  <c:v>0</c:v>
                </c:pt>
                <c:pt idx="2">
                  <c:v>0</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2-A267-4E1F-92B5-F569B656189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HVACAvail</c:v>
            </c:pt>
          </c:strCache>
        </c:strRef>
      </c:tx>
      <c:layout>
        <c:manualLayout>
          <c:xMode val="edge"/>
          <c:yMode val="edge"/>
          <c:x val="0.4052157003101885"/>
          <c:y val="5.613303191469998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1</c:v>
                </c:pt>
                <c:pt idx="1">
                  <c:v>0</c:v>
                </c:pt>
                <c:pt idx="2">
                  <c:v>0</c:v>
                </c:pt>
                <c:pt idx="3">
                  <c:v>0</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897E-40A6-ABDA-32B64FD7CDBB}"/>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Schedules!$F$14:$AC$14</c:f>
              <c:numCache>
                <c:formatCode>0.00</c:formatCode>
                <c:ptCount val="24"/>
                <c:pt idx="0">
                  <c:v>1</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897E-40A6-ABDA-32B64FD7CDBB}"/>
            </c:ext>
          </c:extLst>
        </c:ser>
        <c:ser>
          <c:idx val="2"/>
          <c:order val="2"/>
          <c:tx>
            <c:strRef>
              <c:f>Schedules!$E$15</c:f>
              <c:strCache>
                <c:ptCount val="1"/>
                <c:pt idx="0">
                  <c:v>Sunday</c:v>
                </c:pt>
              </c:strCache>
            </c:strRef>
          </c:tx>
          <c:spPr>
            <a:ln w="28575" cap="rnd">
              <a:solidFill>
                <a:schemeClr val="accent3"/>
              </a:solidFill>
              <a:round/>
            </a:ln>
            <a:effectLst/>
          </c:spPr>
          <c:marker>
            <c:symbol val="none"/>
          </c:marker>
          <c:val>
            <c:numRef>
              <c:f>Schedules!$F$15:$AC$15</c:f>
              <c:numCache>
                <c:formatCode>0.00</c:formatCode>
                <c:ptCount val="24"/>
                <c:pt idx="0">
                  <c:v>1</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897E-40A6-ABDA-32B64FD7CDB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0147921451656803"/>
          <c:y val="4.561630707102851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Schedules!$E$16</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0.2</c:v>
                </c:pt>
                <c:pt idx="1">
                  <c:v>0</c:v>
                </c:pt>
                <c:pt idx="2">
                  <c:v>0</c:v>
                </c:pt>
                <c:pt idx="3">
                  <c:v>0</c:v>
                </c:pt>
                <c:pt idx="4">
                  <c:v>0</c:v>
                </c:pt>
                <c:pt idx="5">
                  <c:v>0.3</c:v>
                </c:pt>
                <c:pt idx="6">
                  <c:v>0.3</c:v>
                </c:pt>
                <c:pt idx="7">
                  <c:v>0.6</c:v>
                </c:pt>
                <c:pt idx="8">
                  <c:v>0.55000000000000004</c:v>
                </c:pt>
                <c:pt idx="9">
                  <c:v>0.45</c:v>
                </c:pt>
                <c:pt idx="10">
                  <c:v>0.4</c:v>
                </c:pt>
                <c:pt idx="11">
                  <c:v>0.45</c:v>
                </c:pt>
                <c:pt idx="12">
                  <c:v>0.4</c:v>
                </c:pt>
                <c:pt idx="13">
                  <c:v>0.35</c:v>
                </c:pt>
                <c:pt idx="14">
                  <c:v>0.3</c:v>
                </c:pt>
                <c:pt idx="15">
                  <c:v>0.3</c:v>
                </c:pt>
                <c:pt idx="16">
                  <c:v>0.3</c:v>
                </c:pt>
                <c:pt idx="17">
                  <c:v>0.4</c:v>
                </c:pt>
                <c:pt idx="18">
                  <c:v>0.55000000000000004</c:v>
                </c:pt>
                <c:pt idx="19">
                  <c:v>0.6</c:v>
                </c:pt>
                <c:pt idx="20">
                  <c:v>0.5</c:v>
                </c:pt>
                <c:pt idx="21">
                  <c:v>0.55000000000000004</c:v>
                </c:pt>
                <c:pt idx="22">
                  <c:v>0.45</c:v>
                </c:pt>
                <c:pt idx="23">
                  <c:v>0.25</c:v>
                </c:pt>
              </c:numCache>
            </c:numRef>
          </c:val>
          <c:smooth val="0"/>
          <c:extLst>
            <c:ext xmlns:c16="http://schemas.microsoft.com/office/drawing/2014/chart" uri="{C3380CC4-5D6E-409C-BE32-E72D297353CC}">
              <c16:uniqueId val="{00000000-3892-4483-86FE-254C151EC2DC}"/>
            </c:ext>
          </c:extLst>
        </c:ser>
        <c:ser>
          <c:idx val="1"/>
          <c:order val="1"/>
          <c:tx>
            <c:strRef>
              <c:f>Schedules!$E$17</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0.2</c:v>
                </c:pt>
                <c:pt idx="1">
                  <c:v>0</c:v>
                </c:pt>
                <c:pt idx="2">
                  <c:v>0</c:v>
                </c:pt>
                <c:pt idx="3">
                  <c:v>0</c:v>
                </c:pt>
                <c:pt idx="4">
                  <c:v>0</c:v>
                </c:pt>
                <c:pt idx="5">
                  <c:v>0</c:v>
                </c:pt>
                <c:pt idx="6">
                  <c:v>0.3</c:v>
                </c:pt>
                <c:pt idx="7">
                  <c:v>0.3</c:v>
                </c:pt>
                <c:pt idx="8">
                  <c:v>0.3</c:v>
                </c:pt>
                <c:pt idx="9">
                  <c:v>0.5</c:v>
                </c:pt>
                <c:pt idx="10">
                  <c:v>0.45</c:v>
                </c:pt>
                <c:pt idx="11">
                  <c:v>0.5</c:v>
                </c:pt>
                <c:pt idx="12">
                  <c:v>0.5</c:v>
                </c:pt>
                <c:pt idx="13">
                  <c:v>0.45</c:v>
                </c:pt>
                <c:pt idx="14">
                  <c:v>0.4</c:v>
                </c:pt>
                <c:pt idx="15">
                  <c:v>0.4</c:v>
                </c:pt>
                <c:pt idx="16">
                  <c:v>0.35</c:v>
                </c:pt>
                <c:pt idx="17">
                  <c:v>0.4</c:v>
                </c:pt>
                <c:pt idx="18">
                  <c:v>0.55000000000000004</c:v>
                </c:pt>
                <c:pt idx="19">
                  <c:v>0.55000000000000004</c:v>
                </c:pt>
                <c:pt idx="20">
                  <c:v>0.5</c:v>
                </c:pt>
                <c:pt idx="21">
                  <c:v>0.55000000000000004</c:v>
                </c:pt>
                <c:pt idx="22">
                  <c:v>0.4</c:v>
                </c:pt>
                <c:pt idx="23">
                  <c:v>0.3</c:v>
                </c:pt>
              </c:numCache>
            </c:numRef>
          </c:val>
          <c:smooth val="0"/>
          <c:extLst>
            <c:ext xmlns:c16="http://schemas.microsoft.com/office/drawing/2014/chart" uri="{C3380CC4-5D6E-409C-BE32-E72D297353CC}">
              <c16:uniqueId val="{00000001-3892-4483-86FE-254C151EC2DC}"/>
            </c:ext>
          </c:extLst>
        </c:ser>
        <c:ser>
          <c:idx val="2"/>
          <c:order val="2"/>
          <c:tx>
            <c:strRef>
              <c:f>Schedules!$E$18</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0.25</c:v>
                </c:pt>
                <c:pt idx="1">
                  <c:v>0</c:v>
                </c:pt>
                <c:pt idx="2">
                  <c:v>0</c:v>
                </c:pt>
                <c:pt idx="3">
                  <c:v>0</c:v>
                </c:pt>
                <c:pt idx="4">
                  <c:v>0</c:v>
                </c:pt>
                <c:pt idx="5">
                  <c:v>0</c:v>
                </c:pt>
                <c:pt idx="6">
                  <c:v>0.3</c:v>
                </c:pt>
                <c:pt idx="7">
                  <c:v>0.3</c:v>
                </c:pt>
                <c:pt idx="8">
                  <c:v>0.3</c:v>
                </c:pt>
                <c:pt idx="9">
                  <c:v>0.5</c:v>
                </c:pt>
                <c:pt idx="10">
                  <c:v>0.5</c:v>
                </c:pt>
                <c:pt idx="11">
                  <c:v>0.5</c:v>
                </c:pt>
                <c:pt idx="12">
                  <c:v>0.4</c:v>
                </c:pt>
                <c:pt idx="13">
                  <c:v>0.4</c:v>
                </c:pt>
                <c:pt idx="14">
                  <c:v>0.3</c:v>
                </c:pt>
                <c:pt idx="15">
                  <c:v>0.3</c:v>
                </c:pt>
                <c:pt idx="16">
                  <c:v>0.3</c:v>
                </c:pt>
                <c:pt idx="17">
                  <c:v>0.4</c:v>
                </c:pt>
                <c:pt idx="18">
                  <c:v>0.5</c:v>
                </c:pt>
                <c:pt idx="19">
                  <c:v>0.5</c:v>
                </c:pt>
                <c:pt idx="20">
                  <c:v>0.4</c:v>
                </c:pt>
                <c:pt idx="21">
                  <c:v>0.5</c:v>
                </c:pt>
                <c:pt idx="22">
                  <c:v>0.4</c:v>
                </c:pt>
                <c:pt idx="23">
                  <c:v>0.2</c:v>
                </c:pt>
              </c:numCache>
            </c:numRef>
          </c:val>
          <c:smooth val="0"/>
          <c:extLst>
            <c:ext xmlns:c16="http://schemas.microsoft.com/office/drawing/2014/chart" uri="{C3380CC4-5D6E-409C-BE32-E72D297353CC}">
              <c16:uniqueId val="{00000002-3892-4483-86FE-254C151EC2D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Schedules!$C$41</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Schedules!$E$41</c:f>
              <c:strCache>
                <c:ptCount val="1"/>
                <c:pt idx="0">
                  <c:v>Weekday</c:v>
                </c:pt>
              </c:strCache>
            </c:strRef>
          </c:tx>
          <c:spPr>
            <a:ln w="28575" cap="rnd">
              <a:solidFill>
                <a:schemeClr val="accent1"/>
              </a:solidFill>
              <a:round/>
            </a:ln>
            <a:effectLst/>
          </c:spPr>
          <c:marker>
            <c:symbol val="none"/>
          </c:marker>
          <c:val>
            <c:numRef>
              <c:f>Schedules!$F$41:$AC$41</c:f>
              <c:numCache>
                <c:formatCode>0.00</c:formatCode>
                <c:ptCount val="24"/>
                <c:pt idx="0">
                  <c:v>1</c:v>
                </c:pt>
                <c:pt idx="1">
                  <c:v>0</c:v>
                </c:pt>
                <c:pt idx="2">
                  <c:v>0</c:v>
                </c:pt>
                <c:pt idx="3">
                  <c:v>0</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86AA-42FD-A8D8-F82FAF02DE65}"/>
            </c:ext>
          </c:extLst>
        </c:ser>
        <c:ser>
          <c:idx val="1"/>
          <c:order val="1"/>
          <c:tx>
            <c:strRef>
              <c:f>Schedules!$E$42</c:f>
              <c:strCache>
                <c:ptCount val="1"/>
                <c:pt idx="0">
                  <c:v>Saturday</c:v>
                </c:pt>
              </c:strCache>
            </c:strRef>
          </c:tx>
          <c:spPr>
            <a:ln w="28575" cap="rnd">
              <a:solidFill>
                <a:schemeClr val="accent2"/>
              </a:solidFill>
              <a:round/>
            </a:ln>
            <a:effectLst/>
          </c:spPr>
          <c:marker>
            <c:symbol val="none"/>
          </c:marker>
          <c:val>
            <c:numRef>
              <c:f>Schedules!$F$42:$AC$42</c:f>
              <c:numCache>
                <c:formatCode>0.00</c:formatCode>
                <c:ptCount val="24"/>
                <c:pt idx="0">
                  <c:v>1</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86AA-42FD-A8D8-F82FAF02DE65}"/>
            </c:ext>
          </c:extLst>
        </c:ser>
        <c:ser>
          <c:idx val="2"/>
          <c:order val="2"/>
          <c:tx>
            <c:strRef>
              <c:f>Schedules!$E$43</c:f>
              <c:strCache>
                <c:ptCount val="1"/>
                <c:pt idx="0">
                  <c:v>Sunday</c:v>
                </c:pt>
              </c:strCache>
            </c:strRef>
          </c:tx>
          <c:spPr>
            <a:ln w="28575" cap="rnd">
              <a:solidFill>
                <a:schemeClr val="accent3"/>
              </a:solidFill>
              <a:round/>
            </a:ln>
            <a:effectLst/>
          </c:spPr>
          <c:marker>
            <c:symbol val="none"/>
          </c:marker>
          <c:val>
            <c:numRef>
              <c:f>Schedules!$F$43:$AC$43</c:f>
              <c:numCache>
                <c:formatCode>0.00</c:formatCode>
                <c:ptCount val="24"/>
                <c:pt idx="0">
                  <c:v>1</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86AA-42FD-A8D8-F82FAF02DE6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Schedules!$C$32</c:f>
          <c:strCache>
            <c:ptCount val="1"/>
            <c:pt idx="0">
              <c:v>occupancy</c:v>
            </c:pt>
          </c:strCache>
        </c:strRef>
      </c:tx>
      <c:layout>
        <c:manualLayout>
          <c:xMode val="edge"/>
          <c:yMode val="edge"/>
          <c:x val="0.46695984552979503"/>
          <c:y val="2.9919187333020413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Schedules!$E$32</c:f>
              <c:strCache>
                <c:ptCount val="1"/>
                <c:pt idx="0">
                  <c:v>Weekday</c:v>
                </c:pt>
              </c:strCache>
            </c:strRef>
          </c:tx>
          <c:spPr>
            <a:ln w="28575" cap="rnd">
              <a:solidFill>
                <a:schemeClr val="accent1"/>
              </a:solidFill>
              <a:round/>
            </a:ln>
            <a:effectLst/>
          </c:spPr>
          <c:marker>
            <c:symbol val="none"/>
          </c:marker>
          <c:val>
            <c:numRef>
              <c:f>Schedules!$F$32:$AC$32</c:f>
              <c:numCache>
                <c:formatCode>0.00</c:formatCode>
                <c:ptCount val="24"/>
                <c:pt idx="0">
                  <c:v>0.05</c:v>
                </c:pt>
                <c:pt idx="1">
                  <c:v>0</c:v>
                </c:pt>
                <c:pt idx="2">
                  <c:v>0</c:v>
                </c:pt>
                <c:pt idx="3">
                  <c:v>0</c:v>
                </c:pt>
                <c:pt idx="4">
                  <c:v>0</c:v>
                </c:pt>
                <c:pt idx="5">
                  <c:v>0.05</c:v>
                </c:pt>
                <c:pt idx="6">
                  <c:v>0.1</c:v>
                </c:pt>
                <c:pt idx="7">
                  <c:v>0.4</c:v>
                </c:pt>
                <c:pt idx="8">
                  <c:v>0.4</c:v>
                </c:pt>
                <c:pt idx="9">
                  <c:v>0.4</c:v>
                </c:pt>
                <c:pt idx="10">
                  <c:v>0.2</c:v>
                </c:pt>
                <c:pt idx="11">
                  <c:v>0.5</c:v>
                </c:pt>
                <c:pt idx="12">
                  <c:v>0.8</c:v>
                </c:pt>
                <c:pt idx="13">
                  <c:v>0.7</c:v>
                </c:pt>
                <c:pt idx="14">
                  <c:v>0.4</c:v>
                </c:pt>
                <c:pt idx="15">
                  <c:v>0.2</c:v>
                </c:pt>
                <c:pt idx="16">
                  <c:v>0.25</c:v>
                </c:pt>
                <c:pt idx="17">
                  <c:v>0.5</c:v>
                </c:pt>
                <c:pt idx="18">
                  <c:v>0.8</c:v>
                </c:pt>
                <c:pt idx="19">
                  <c:v>0.8</c:v>
                </c:pt>
                <c:pt idx="20">
                  <c:v>0.8</c:v>
                </c:pt>
                <c:pt idx="21">
                  <c:v>0.5</c:v>
                </c:pt>
                <c:pt idx="22">
                  <c:v>0.35</c:v>
                </c:pt>
                <c:pt idx="23">
                  <c:v>0.2</c:v>
                </c:pt>
              </c:numCache>
            </c:numRef>
          </c:val>
          <c:smooth val="0"/>
          <c:extLst>
            <c:ext xmlns:c16="http://schemas.microsoft.com/office/drawing/2014/chart" uri="{C3380CC4-5D6E-409C-BE32-E72D297353CC}">
              <c16:uniqueId val="{00000000-3FD9-442E-BAED-CDBB21663685}"/>
            </c:ext>
          </c:extLst>
        </c:ser>
        <c:ser>
          <c:idx val="1"/>
          <c:order val="1"/>
          <c:tx>
            <c:strRef>
              <c:f>Schedules!$E$33</c:f>
              <c:strCache>
                <c:ptCount val="1"/>
                <c:pt idx="0">
                  <c:v>Saturday</c:v>
                </c:pt>
              </c:strCache>
            </c:strRef>
          </c:tx>
          <c:spPr>
            <a:ln w="28575" cap="rnd">
              <a:solidFill>
                <a:schemeClr val="accent2"/>
              </a:solidFill>
              <a:round/>
            </a:ln>
            <a:effectLst/>
          </c:spPr>
          <c:marker>
            <c:symbol val="none"/>
          </c:marker>
          <c:val>
            <c:numRef>
              <c:f>Schedules!$F$33:$AC$33</c:f>
              <c:numCache>
                <c:formatCode>0.00</c:formatCode>
                <c:ptCount val="24"/>
                <c:pt idx="0">
                  <c:v>0.05</c:v>
                </c:pt>
                <c:pt idx="1">
                  <c:v>0</c:v>
                </c:pt>
                <c:pt idx="2">
                  <c:v>0</c:v>
                </c:pt>
                <c:pt idx="3">
                  <c:v>0</c:v>
                </c:pt>
                <c:pt idx="4">
                  <c:v>0</c:v>
                </c:pt>
                <c:pt idx="5">
                  <c:v>0</c:v>
                </c:pt>
                <c:pt idx="6">
                  <c:v>0.05</c:v>
                </c:pt>
                <c:pt idx="7">
                  <c:v>0.5</c:v>
                </c:pt>
                <c:pt idx="8">
                  <c:v>0.5</c:v>
                </c:pt>
                <c:pt idx="9">
                  <c:v>0.4</c:v>
                </c:pt>
                <c:pt idx="10">
                  <c:v>0.2</c:v>
                </c:pt>
                <c:pt idx="11">
                  <c:v>0.45</c:v>
                </c:pt>
                <c:pt idx="12">
                  <c:v>0.5</c:v>
                </c:pt>
                <c:pt idx="13">
                  <c:v>0.5</c:v>
                </c:pt>
                <c:pt idx="14">
                  <c:v>0.35</c:v>
                </c:pt>
                <c:pt idx="15">
                  <c:v>0.3</c:v>
                </c:pt>
                <c:pt idx="16">
                  <c:v>0.3</c:v>
                </c:pt>
                <c:pt idx="17">
                  <c:v>0.3</c:v>
                </c:pt>
                <c:pt idx="18">
                  <c:v>0.7</c:v>
                </c:pt>
                <c:pt idx="19">
                  <c:v>0.9</c:v>
                </c:pt>
                <c:pt idx="20">
                  <c:v>0.7</c:v>
                </c:pt>
                <c:pt idx="21">
                  <c:v>0.65</c:v>
                </c:pt>
                <c:pt idx="22">
                  <c:v>0.55000000000000004</c:v>
                </c:pt>
                <c:pt idx="23">
                  <c:v>0.35</c:v>
                </c:pt>
              </c:numCache>
            </c:numRef>
          </c:val>
          <c:smooth val="0"/>
          <c:extLst>
            <c:ext xmlns:c16="http://schemas.microsoft.com/office/drawing/2014/chart" uri="{C3380CC4-5D6E-409C-BE32-E72D297353CC}">
              <c16:uniqueId val="{00000001-3FD9-442E-BAED-CDBB21663685}"/>
            </c:ext>
          </c:extLst>
        </c:ser>
        <c:ser>
          <c:idx val="2"/>
          <c:order val="2"/>
          <c:tx>
            <c:strRef>
              <c:f>Schedules!$E$34</c:f>
              <c:strCache>
                <c:ptCount val="1"/>
                <c:pt idx="0">
                  <c:v>Sunday</c:v>
                </c:pt>
              </c:strCache>
            </c:strRef>
          </c:tx>
          <c:spPr>
            <a:ln w="28575" cap="rnd">
              <a:solidFill>
                <a:schemeClr val="accent3"/>
              </a:solidFill>
              <a:round/>
            </a:ln>
            <a:effectLst/>
          </c:spPr>
          <c:marker>
            <c:symbol val="none"/>
          </c:marker>
          <c:val>
            <c:numRef>
              <c:f>Schedules!$F$34:$AC$34</c:f>
              <c:numCache>
                <c:formatCode>0.00</c:formatCode>
                <c:ptCount val="24"/>
                <c:pt idx="0">
                  <c:v>0.05</c:v>
                </c:pt>
                <c:pt idx="1">
                  <c:v>0</c:v>
                </c:pt>
                <c:pt idx="2">
                  <c:v>0</c:v>
                </c:pt>
                <c:pt idx="3">
                  <c:v>0</c:v>
                </c:pt>
                <c:pt idx="4">
                  <c:v>0</c:v>
                </c:pt>
                <c:pt idx="5">
                  <c:v>0</c:v>
                </c:pt>
                <c:pt idx="6">
                  <c:v>0.05</c:v>
                </c:pt>
                <c:pt idx="7">
                  <c:v>0.5</c:v>
                </c:pt>
                <c:pt idx="8">
                  <c:v>0.5</c:v>
                </c:pt>
                <c:pt idx="9">
                  <c:v>0.2</c:v>
                </c:pt>
                <c:pt idx="10">
                  <c:v>0.2</c:v>
                </c:pt>
                <c:pt idx="11">
                  <c:v>0.3</c:v>
                </c:pt>
                <c:pt idx="12">
                  <c:v>0.5</c:v>
                </c:pt>
                <c:pt idx="13">
                  <c:v>0.5</c:v>
                </c:pt>
                <c:pt idx="14">
                  <c:v>0.3</c:v>
                </c:pt>
                <c:pt idx="15">
                  <c:v>0.2</c:v>
                </c:pt>
                <c:pt idx="16">
                  <c:v>0.25</c:v>
                </c:pt>
                <c:pt idx="17">
                  <c:v>0.35</c:v>
                </c:pt>
                <c:pt idx="18">
                  <c:v>0.55000000000000004</c:v>
                </c:pt>
                <c:pt idx="19">
                  <c:v>0.65</c:v>
                </c:pt>
                <c:pt idx="20">
                  <c:v>0.7</c:v>
                </c:pt>
                <c:pt idx="21">
                  <c:v>0.35</c:v>
                </c:pt>
                <c:pt idx="22">
                  <c:v>0.2</c:v>
                </c:pt>
                <c:pt idx="23">
                  <c:v>0.2</c:v>
                </c:pt>
              </c:numCache>
            </c:numRef>
          </c:val>
          <c:smooth val="0"/>
          <c:extLst>
            <c:ext xmlns:c16="http://schemas.microsoft.com/office/drawing/2014/chart" uri="{C3380CC4-5D6E-409C-BE32-E72D297353CC}">
              <c16:uniqueId val="{00000002-3FD9-442E-BAED-CDBB2166368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Schedules!$C$44</c:f>
          <c:strCache>
            <c:ptCount val="1"/>
            <c:pt idx="0">
              <c:v>ServiceHotWater</c:v>
            </c:pt>
          </c:strCache>
        </c:strRef>
      </c:tx>
      <c:layout>
        <c:manualLayout>
          <c:xMode val="edge"/>
          <c:yMode val="edge"/>
          <c:x val="0.32882507356567003"/>
          <c:y val="1.050498939231709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Schedules!$E$44</c:f>
              <c:strCache>
                <c:ptCount val="1"/>
                <c:pt idx="0">
                  <c:v>Weekday</c:v>
                </c:pt>
              </c:strCache>
            </c:strRef>
          </c:tx>
          <c:spPr>
            <a:ln w="28575" cap="rnd">
              <a:solidFill>
                <a:schemeClr val="accent1"/>
              </a:solidFill>
              <a:round/>
            </a:ln>
            <a:effectLst/>
          </c:spPr>
          <c:marker>
            <c:symbol val="none"/>
          </c:marker>
          <c:val>
            <c:numRef>
              <c:f>Schedules!$F$44:$AC$44</c:f>
              <c:numCache>
                <c:formatCode>0.00</c:formatCode>
                <c:ptCount val="24"/>
                <c:pt idx="0">
                  <c:v>0.2</c:v>
                </c:pt>
                <c:pt idx="1">
                  <c:v>0</c:v>
                </c:pt>
                <c:pt idx="2">
                  <c:v>0</c:v>
                </c:pt>
                <c:pt idx="3">
                  <c:v>0</c:v>
                </c:pt>
                <c:pt idx="4">
                  <c:v>0</c:v>
                </c:pt>
                <c:pt idx="5">
                  <c:v>0.2</c:v>
                </c:pt>
                <c:pt idx="6">
                  <c:v>0.2</c:v>
                </c:pt>
                <c:pt idx="7">
                  <c:v>0.3</c:v>
                </c:pt>
                <c:pt idx="8">
                  <c:v>0.3</c:v>
                </c:pt>
                <c:pt idx="9">
                  <c:v>0.3</c:v>
                </c:pt>
                <c:pt idx="10">
                  <c:v>0.4</c:v>
                </c:pt>
                <c:pt idx="11">
                  <c:v>0.45</c:v>
                </c:pt>
                <c:pt idx="12">
                  <c:v>0.4</c:v>
                </c:pt>
                <c:pt idx="13">
                  <c:v>0.35</c:v>
                </c:pt>
                <c:pt idx="14">
                  <c:v>0.3</c:v>
                </c:pt>
                <c:pt idx="15">
                  <c:v>0.3</c:v>
                </c:pt>
                <c:pt idx="16">
                  <c:v>0.3</c:v>
                </c:pt>
                <c:pt idx="17">
                  <c:v>0.4</c:v>
                </c:pt>
                <c:pt idx="18">
                  <c:v>0.55000000000000004</c:v>
                </c:pt>
                <c:pt idx="19">
                  <c:v>0.6</c:v>
                </c:pt>
                <c:pt idx="20">
                  <c:v>0.5</c:v>
                </c:pt>
                <c:pt idx="21">
                  <c:v>0.55000000000000004</c:v>
                </c:pt>
                <c:pt idx="22">
                  <c:v>0.45</c:v>
                </c:pt>
                <c:pt idx="23">
                  <c:v>0.2</c:v>
                </c:pt>
              </c:numCache>
            </c:numRef>
          </c:val>
          <c:smooth val="0"/>
          <c:extLst>
            <c:ext xmlns:c16="http://schemas.microsoft.com/office/drawing/2014/chart" uri="{C3380CC4-5D6E-409C-BE32-E72D297353CC}">
              <c16:uniqueId val="{00000000-DBE9-4FC2-A522-E4ABF4CBAF32}"/>
            </c:ext>
          </c:extLst>
        </c:ser>
        <c:ser>
          <c:idx val="1"/>
          <c:order val="1"/>
          <c:tx>
            <c:strRef>
              <c:f>Schedules!$E$45</c:f>
              <c:strCache>
                <c:ptCount val="1"/>
                <c:pt idx="0">
                  <c:v>Saturday</c:v>
                </c:pt>
              </c:strCache>
            </c:strRef>
          </c:tx>
          <c:spPr>
            <a:ln w="28575" cap="rnd">
              <a:solidFill>
                <a:schemeClr val="accent2"/>
              </a:solidFill>
              <a:round/>
            </a:ln>
            <a:effectLst/>
          </c:spPr>
          <c:marker>
            <c:symbol val="none"/>
          </c:marker>
          <c:val>
            <c:numRef>
              <c:f>Schedules!$F$45:$AC$45</c:f>
              <c:numCache>
                <c:formatCode>0.00</c:formatCode>
                <c:ptCount val="24"/>
                <c:pt idx="0">
                  <c:v>0.2</c:v>
                </c:pt>
                <c:pt idx="1">
                  <c:v>0</c:v>
                </c:pt>
                <c:pt idx="2">
                  <c:v>0</c:v>
                </c:pt>
                <c:pt idx="3">
                  <c:v>0</c:v>
                </c:pt>
                <c:pt idx="4">
                  <c:v>0</c:v>
                </c:pt>
                <c:pt idx="5">
                  <c:v>0</c:v>
                </c:pt>
                <c:pt idx="6">
                  <c:v>0.2</c:v>
                </c:pt>
                <c:pt idx="7">
                  <c:v>0.2</c:v>
                </c:pt>
                <c:pt idx="8">
                  <c:v>0.3</c:v>
                </c:pt>
                <c:pt idx="9">
                  <c:v>0.3</c:v>
                </c:pt>
                <c:pt idx="10">
                  <c:v>0.45</c:v>
                </c:pt>
                <c:pt idx="11">
                  <c:v>0.5</c:v>
                </c:pt>
                <c:pt idx="12">
                  <c:v>0.5</c:v>
                </c:pt>
                <c:pt idx="13">
                  <c:v>0.45</c:v>
                </c:pt>
                <c:pt idx="14">
                  <c:v>0.4</c:v>
                </c:pt>
                <c:pt idx="15">
                  <c:v>0.4</c:v>
                </c:pt>
                <c:pt idx="16">
                  <c:v>0.35</c:v>
                </c:pt>
                <c:pt idx="17">
                  <c:v>0.4</c:v>
                </c:pt>
                <c:pt idx="18">
                  <c:v>0.55000000000000004</c:v>
                </c:pt>
                <c:pt idx="19">
                  <c:v>0.55000000000000004</c:v>
                </c:pt>
                <c:pt idx="20">
                  <c:v>0.5</c:v>
                </c:pt>
                <c:pt idx="21">
                  <c:v>0.55000000000000004</c:v>
                </c:pt>
                <c:pt idx="22">
                  <c:v>0.4</c:v>
                </c:pt>
                <c:pt idx="23">
                  <c:v>0.2</c:v>
                </c:pt>
              </c:numCache>
            </c:numRef>
          </c:val>
          <c:smooth val="0"/>
          <c:extLst>
            <c:ext xmlns:c16="http://schemas.microsoft.com/office/drawing/2014/chart" uri="{C3380CC4-5D6E-409C-BE32-E72D297353CC}">
              <c16:uniqueId val="{00000001-DBE9-4FC2-A522-E4ABF4CBAF32}"/>
            </c:ext>
          </c:extLst>
        </c:ser>
        <c:ser>
          <c:idx val="2"/>
          <c:order val="2"/>
          <c:tx>
            <c:strRef>
              <c:f>Schedules!$E$46</c:f>
              <c:strCache>
                <c:ptCount val="1"/>
                <c:pt idx="0">
                  <c:v>Sunday</c:v>
                </c:pt>
              </c:strCache>
            </c:strRef>
          </c:tx>
          <c:spPr>
            <a:ln w="28575" cap="rnd">
              <a:solidFill>
                <a:schemeClr val="accent3"/>
              </a:solidFill>
              <a:round/>
            </a:ln>
            <a:effectLst/>
          </c:spPr>
          <c:marker>
            <c:symbol val="none"/>
          </c:marker>
          <c:val>
            <c:numRef>
              <c:f>Schedules!$F$46:$AC$46</c:f>
              <c:numCache>
                <c:formatCode>0.00</c:formatCode>
                <c:ptCount val="24"/>
                <c:pt idx="0">
                  <c:v>0.25</c:v>
                </c:pt>
                <c:pt idx="1">
                  <c:v>0</c:v>
                </c:pt>
                <c:pt idx="2">
                  <c:v>0</c:v>
                </c:pt>
                <c:pt idx="3">
                  <c:v>0</c:v>
                </c:pt>
                <c:pt idx="4">
                  <c:v>0</c:v>
                </c:pt>
                <c:pt idx="5">
                  <c:v>0</c:v>
                </c:pt>
                <c:pt idx="6">
                  <c:v>0.2</c:v>
                </c:pt>
                <c:pt idx="7">
                  <c:v>0.2</c:v>
                </c:pt>
                <c:pt idx="8">
                  <c:v>0.3</c:v>
                </c:pt>
                <c:pt idx="9">
                  <c:v>0.3</c:v>
                </c:pt>
                <c:pt idx="10">
                  <c:v>0.3</c:v>
                </c:pt>
                <c:pt idx="11">
                  <c:v>0.5</c:v>
                </c:pt>
                <c:pt idx="12">
                  <c:v>0.4</c:v>
                </c:pt>
                <c:pt idx="13">
                  <c:v>0.4</c:v>
                </c:pt>
                <c:pt idx="14">
                  <c:v>0.3</c:v>
                </c:pt>
                <c:pt idx="15">
                  <c:v>0.3</c:v>
                </c:pt>
                <c:pt idx="16">
                  <c:v>0.3</c:v>
                </c:pt>
                <c:pt idx="17">
                  <c:v>0.4</c:v>
                </c:pt>
                <c:pt idx="18">
                  <c:v>0.5</c:v>
                </c:pt>
                <c:pt idx="19">
                  <c:v>0.5</c:v>
                </c:pt>
                <c:pt idx="20">
                  <c:v>0.4</c:v>
                </c:pt>
                <c:pt idx="21">
                  <c:v>0.5</c:v>
                </c:pt>
                <c:pt idx="22">
                  <c:v>0.4</c:v>
                </c:pt>
                <c:pt idx="23">
                  <c:v>0.2</c:v>
                </c:pt>
              </c:numCache>
            </c:numRef>
          </c:val>
          <c:smooth val="0"/>
          <c:extLst>
            <c:ext xmlns:c16="http://schemas.microsoft.com/office/drawing/2014/chart" uri="{C3380CC4-5D6E-409C-BE32-E72D297353CC}">
              <c16:uniqueId val="{00000002-DBE9-4FC2-A522-E4ABF4CBAF3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Schedules!$C$35</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Schedules!$E$35</c:f>
              <c:strCache>
                <c:ptCount val="1"/>
                <c:pt idx="0">
                  <c:v>Weekday</c:v>
                </c:pt>
              </c:strCache>
            </c:strRef>
          </c:tx>
          <c:spPr>
            <a:ln w="28575" cap="rnd">
              <a:solidFill>
                <a:schemeClr val="accent1"/>
              </a:solidFill>
              <a:round/>
            </a:ln>
            <a:effectLst/>
          </c:spPr>
          <c:marker>
            <c:symbol val="none"/>
          </c:marker>
          <c:val>
            <c:numRef>
              <c:f>Schedules!$F$35:$AC$35</c:f>
              <c:numCache>
                <c:formatCode>0.00</c:formatCode>
                <c:ptCount val="24"/>
                <c:pt idx="0">
                  <c:v>0.15</c:v>
                </c:pt>
                <c:pt idx="1">
                  <c:v>0.15</c:v>
                </c:pt>
                <c:pt idx="2">
                  <c:v>0.15</c:v>
                </c:pt>
                <c:pt idx="3">
                  <c:v>0.15</c:v>
                </c:pt>
                <c:pt idx="4">
                  <c:v>0.15</c:v>
                </c:pt>
                <c:pt idx="5">
                  <c:v>0.2</c:v>
                </c:pt>
                <c:pt idx="6">
                  <c:v>0.3</c:v>
                </c:pt>
                <c:pt idx="7">
                  <c:v>0.66999999999999993</c:v>
                </c:pt>
                <c:pt idx="8">
                  <c:v>0.73</c:v>
                </c:pt>
                <c:pt idx="9">
                  <c:v>0.75</c:v>
                </c:pt>
                <c:pt idx="10">
                  <c:v>0.85</c:v>
                </c:pt>
                <c:pt idx="11">
                  <c:v>0.85</c:v>
                </c:pt>
                <c:pt idx="12">
                  <c:v>0.85</c:v>
                </c:pt>
                <c:pt idx="13">
                  <c:v>0.83</c:v>
                </c:pt>
                <c:pt idx="14">
                  <c:v>0.72</c:v>
                </c:pt>
                <c:pt idx="15">
                  <c:v>0.64999999999999991</c:v>
                </c:pt>
                <c:pt idx="16">
                  <c:v>0.66999999999999993</c:v>
                </c:pt>
                <c:pt idx="17">
                  <c:v>0.75</c:v>
                </c:pt>
                <c:pt idx="18">
                  <c:v>0.85</c:v>
                </c:pt>
                <c:pt idx="19">
                  <c:v>0.85</c:v>
                </c:pt>
                <c:pt idx="20">
                  <c:v>0.85</c:v>
                </c:pt>
                <c:pt idx="21">
                  <c:v>0.75</c:v>
                </c:pt>
                <c:pt idx="22">
                  <c:v>0.56999999999999995</c:v>
                </c:pt>
                <c:pt idx="23">
                  <c:v>0.3</c:v>
                </c:pt>
              </c:numCache>
            </c:numRef>
          </c:val>
          <c:smooth val="0"/>
          <c:extLst>
            <c:ext xmlns:c16="http://schemas.microsoft.com/office/drawing/2014/chart" uri="{C3380CC4-5D6E-409C-BE32-E72D297353CC}">
              <c16:uniqueId val="{00000000-37C1-4D07-80BC-CB3AE2F28BC6}"/>
            </c:ext>
          </c:extLst>
        </c:ser>
        <c:ser>
          <c:idx val="1"/>
          <c:order val="1"/>
          <c:tx>
            <c:strRef>
              <c:f>Schedules!$E$36</c:f>
              <c:strCache>
                <c:ptCount val="1"/>
                <c:pt idx="0">
                  <c:v>Saturday</c:v>
                </c:pt>
              </c:strCache>
            </c:strRef>
          </c:tx>
          <c:spPr>
            <a:ln w="28575" cap="rnd">
              <a:solidFill>
                <a:schemeClr val="accent2"/>
              </a:solidFill>
              <a:round/>
            </a:ln>
            <a:effectLst/>
          </c:spPr>
          <c:marker>
            <c:symbol val="none"/>
          </c:marker>
          <c:val>
            <c:numRef>
              <c:f>Schedules!$F$36:$AC$36</c:f>
              <c:numCache>
                <c:formatCode>0.00</c:formatCode>
                <c:ptCount val="24"/>
                <c:pt idx="0">
                  <c:v>0.15</c:v>
                </c:pt>
                <c:pt idx="1">
                  <c:v>0.15</c:v>
                </c:pt>
                <c:pt idx="2">
                  <c:v>0.15</c:v>
                </c:pt>
                <c:pt idx="3">
                  <c:v>0.15</c:v>
                </c:pt>
                <c:pt idx="4">
                  <c:v>0.15</c:v>
                </c:pt>
                <c:pt idx="5">
                  <c:v>0.2</c:v>
                </c:pt>
                <c:pt idx="6">
                  <c:v>0.3</c:v>
                </c:pt>
                <c:pt idx="7">
                  <c:v>0.66999999999999993</c:v>
                </c:pt>
                <c:pt idx="8">
                  <c:v>0.73</c:v>
                </c:pt>
                <c:pt idx="9">
                  <c:v>0.75</c:v>
                </c:pt>
                <c:pt idx="10">
                  <c:v>0.85</c:v>
                </c:pt>
                <c:pt idx="11">
                  <c:v>0.85</c:v>
                </c:pt>
                <c:pt idx="12">
                  <c:v>0.85</c:v>
                </c:pt>
                <c:pt idx="13">
                  <c:v>0.83</c:v>
                </c:pt>
                <c:pt idx="14">
                  <c:v>0.72</c:v>
                </c:pt>
                <c:pt idx="15">
                  <c:v>0.64999999999999991</c:v>
                </c:pt>
                <c:pt idx="16">
                  <c:v>0.66999999999999993</c:v>
                </c:pt>
                <c:pt idx="17">
                  <c:v>0.75</c:v>
                </c:pt>
                <c:pt idx="18">
                  <c:v>0.85</c:v>
                </c:pt>
                <c:pt idx="19">
                  <c:v>0.85</c:v>
                </c:pt>
                <c:pt idx="20">
                  <c:v>0.85</c:v>
                </c:pt>
                <c:pt idx="21">
                  <c:v>0.75</c:v>
                </c:pt>
                <c:pt idx="22">
                  <c:v>0.56999999999999995</c:v>
                </c:pt>
                <c:pt idx="23">
                  <c:v>0.3</c:v>
                </c:pt>
              </c:numCache>
            </c:numRef>
          </c:val>
          <c:smooth val="0"/>
          <c:extLst>
            <c:ext xmlns:c16="http://schemas.microsoft.com/office/drawing/2014/chart" uri="{C3380CC4-5D6E-409C-BE32-E72D297353CC}">
              <c16:uniqueId val="{00000001-37C1-4D07-80BC-CB3AE2F28BC6}"/>
            </c:ext>
          </c:extLst>
        </c:ser>
        <c:ser>
          <c:idx val="2"/>
          <c:order val="2"/>
          <c:tx>
            <c:strRef>
              <c:f>Schedules!$E$37</c:f>
              <c:strCache>
                <c:ptCount val="1"/>
                <c:pt idx="0">
                  <c:v>Sunday</c:v>
                </c:pt>
              </c:strCache>
            </c:strRef>
          </c:tx>
          <c:spPr>
            <a:ln w="28575" cap="rnd">
              <a:solidFill>
                <a:schemeClr val="accent3"/>
              </a:solidFill>
              <a:round/>
            </a:ln>
            <a:effectLst/>
          </c:spPr>
          <c:marker>
            <c:symbol val="none"/>
          </c:marker>
          <c:val>
            <c:numRef>
              <c:f>Schedules!$F$37:$AC$37</c:f>
              <c:numCache>
                <c:formatCode>0.00</c:formatCode>
                <c:ptCount val="24"/>
                <c:pt idx="0">
                  <c:v>0.2</c:v>
                </c:pt>
                <c:pt idx="1">
                  <c:v>0.15</c:v>
                </c:pt>
                <c:pt idx="2">
                  <c:v>0.15</c:v>
                </c:pt>
                <c:pt idx="3">
                  <c:v>0.15</c:v>
                </c:pt>
                <c:pt idx="4">
                  <c:v>0.15</c:v>
                </c:pt>
                <c:pt idx="5">
                  <c:v>0.15</c:v>
                </c:pt>
                <c:pt idx="6">
                  <c:v>0.3</c:v>
                </c:pt>
                <c:pt idx="7">
                  <c:v>0.66999999999999993</c:v>
                </c:pt>
                <c:pt idx="8">
                  <c:v>0.73</c:v>
                </c:pt>
                <c:pt idx="9">
                  <c:v>0.75</c:v>
                </c:pt>
                <c:pt idx="10">
                  <c:v>0.85</c:v>
                </c:pt>
                <c:pt idx="11">
                  <c:v>0.85</c:v>
                </c:pt>
                <c:pt idx="12">
                  <c:v>0.85</c:v>
                </c:pt>
                <c:pt idx="13">
                  <c:v>0.83</c:v>
                </c:pt>
                <c:pt idx="14">
                  <c:v>0.72</c:v>
                </c:pt>
                <c:pt idx="15">
                  <c:v>0.64999999999999991</c:v>
                </c:pt>
                <c:pt idx="16">
                  <c:v>0.66999999999999993</c:v>
                </c:pt>
                <c:pt idx="17">
                  <c:v>0.75</c:v>
                </c:pt>
                <c:pt idx="18">
                  <c:v>0.85</c:v>
                </c:pt>
                <c:pt idx="19">
                  <c:v>0.85</c:v>
                </c:pt>
                <c:pt idx="20">
                  <c:v>0.85</c:v>
                </c:pt>
                <c:pt idx="21">
                  <c:v>0.75</c:v>
                </c:pt>
                <c:pt idx="22">
                  <c:v>0.56999999999999995</c:v>
                </c:pt>
                <c:pt idx="23">
                  <c:v>0.3</c:v>
                </c:pt>
              </c:numCache>
            </c:numRef>
          </c:val>
          <c:smooth val="0"/>
          <c:extLst>
            <c:ext xmlns:c16="http://schemas.microsoft.com/office/drawing/2014/chart" uri="{C3380CC4-5D6E-409C-BE32-E72D297353CC}">
              <c16:uniqueId val="{00000002-37C1-4D07-80BC-CB3AE2F28BC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Schedules!$C$53</c:f>
          <c:strCache>
            <c:ptCount val="1"/>
            <c:pt idx="0">
              <c:v>ExhaustHoodGreaterThan 5000cfm</c:v>
            </c:pt>
          </c:strCache>
        </c:strRef>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5603282376748177"/>
          <c:w val="0.86296940073898609"/>
          <c:h val="0.47122032396116431"/>
        </c:manualLayout>
      </c:layout>
      <c:lineChart>
        <c:grouping val="standard"/>
        <c:varyColors val="0"/>
        <c:ser>
          <c:idx val="0"/>
          <c:order val="0"/>
          <c:tx>
            <c:strRef>
              <c:f>Schedules!$E$53</c:f>
              <c:strCache>
                <c:ptCount val="1"/>
                <c:pt idx="0">
                  <c:v>Weekday</c:v>
                </c:pt>
              </c:strCache>
            </c:strRef>
          </c:tx>
          <c:spPr>
            <a:ln w="28575" cap="rnd">
              <a:solidFill>
                <a:schemeClr val="accent1"/>
              </a:solidFill>
              <a:round/>
            </a:ln>
            <a:effectLst/>
          </c:spPr>
          <c:marker>
            <c:symbol val="none"/>
          </c:marker>
          <c:val>
            <c:numRef>
              <c:f>Schedules!$F$53:$AC$53</c:f>
              <c:numCache>
                <c:formatCode>0.00</c:formatCode>
                <c:ptCount val="24"/>
                <c:pt idx="0">
                  <c:v>0</c:v>
                </c:pt>
                <c:pt idx="1">
                  <c:v>0</c:v>
                </c:pt>
                <c:pt idx="2">
                  <c:v>0</c:v>
                </c:pt>
                <c:pt idx="3">
                  <c:v>0</c:v>
                </c:pt>
                <c:pt idx="4">
                  <c:v>0</c:v>
                </c:pt>
                <c:pt idx="5">
                  <c:v>1</c:v>
                </c:pt>
                <c:pt idx="6">
                  <c:v>0.5</c:v>
                </c:pt>
                <c:pt idx="7">
                  <c:v>1</c:v>
                </c:pt>
                <c:pt idx="8">
                  <c:v>0.5</c:v>
                </c:pt>
                <c:pt idx="9">
                  <c:v>1</c:v>
                </c:pt>
                <c:pt idx="10">
                  <c:v>0.5</c:v>
                </c:pt>
                <c:pt idx="11">
                  <c:v>1</c:v>
                </c:pt>
                <c:pt idx="12">
                  <c:v>0.5</c:v>
                </c:pt>
                <c:pt idx="13">
                  <c:v>1</c:v>
                </c:pt>
                <c:pt idx="14">
                  <c:v>0.5</c:v>
                </c:pt>
                <c:pt idx="15">
                  <c:v>1</c:v>
                </c:pt>
                <c:pt idx="16">
                  <c:v>0.5</c:v>
                </c:pt>
                <c:pt idx="17">
                  <c:v>1</c:v>
                </c:pt>
                <c:pt idx="18">
                  <c:v>0.5</c:v>
                </c:pt>
                <c:pt idx="19">
                  <c:v>0</c:v>
                </c:pt>
                <c:pt idx="20">
                  <c:v>0</c:v>
                </c:pt>
                <c:pt idx="21">
                  <c:v>0</c:v>
                </c:pt>
                <c:pt idx="22">
                  <c:v>0</c:v>
                </c:pt>
                <c:pt idx="23">
                  <c:v>0</c:v>
                </c:pt>
              </c:numCache>
            </c:numRef>
          </c:val>
          <c:smooth val="0"/>
          <c:extLst>
            <c:ext xmlns:c16="http://schemas.microsoft.com/office/drawing/2014/chart" uri="{C3380CC4-5D6E-409C-BE32-E72D297353CC}">
              <c16:uniqueId val="{00000015-B6D9-4543-910E-CA88B761319C}"/>
            </c:ext>
          </c:extLst>
        </c:ser>
        <c:ser>
          <c:idx val="1"/>
          <c:order val="1"/>
          <c:tx>
            <c:strRef>
              <c:f>Schedules!$E$54</c:f>
              <c:strCache>
                <c:ptCount val="1"/>
                <c:pt idx="0">
                  <c:v>Saturday</c:v>
                </c:pt>
              </c:strCache>
            </c:strRef>
          </c:tx>
          <c:spPr>
            <a:ln w="28575" cap="rnd">
              <a:solidFill>
                <a:schemeClr val="accent2"/>
              </a:solidFill>
              <a:round/>
            </a:ln>
            <a:effectLst/>
          </c:spPr>
          <c:marker>
            <c:symbol val="none"/>
          </c:marker>
          <c:val>
            <c:numRef>
              <c:f>Schedules!$F$54:$AC$54</c:f>
              <c:numCache>
                <c:formatCode>0.00</c:formatCode>
                <c:ptCount val="24"/>
                <c:pt idx="0">
                  <c:v>0</c:v>
                </c:pt>
                <c:pt idx="1">
                  <c:v>0</c:v>
                </c:pt>
                <c:pt idx="2">
                  <c:v>0</c:v>
                </c:pt>
                <c:pt idx="3">
                  <c:v>0</c:v>
                </c:pt>
                <c:pt idx="4">
                  <c:v>0</c:v>
                </c:pt>
                <c:pt idx="5">
                  <c:v>0</c:v>
                </c:pt>
                <c:pt idx="6">
                  <c:v>0.5</c:v>
                </c:pt>
                <c:pt idx="7">
                  <c:v>1</c:v>
                </c:pt>
                <c:pt idx="8">
                  <c:v>0.5</c:v>
                </c:pt>
                <c:pt idx="9">
                  <c:v>1</c:v>
                </c:pt>
                <c:pt idx="10">
                  <c:v>0.5</c:v>
                </c:pt>
                <c:pt idx="11">
                  <c:v>1</c:v>
                </c:pt>
                <c:pt idx="12">
                  <c:v>0.5</c:v>
                </c:pt>
                <c:pt idx="13">
                  <c:v>1</c:v>
                </c:pt>
                <c:pt idx="14">
                  <c:v>0.5</c:v>
                </c:pt>
                <c:pt idx="15">
                  <c:v>1</c:v>
                </c:pt>
                <c:pt idx="16">
                  <c:v>0.5</c:v>
                </c:pt>
                <c:pt idx="17">
                  <c:v>1</c:v>
                </c:pt>
                <c:pt idx="18">
                  <c:v>0.5</c:v>
                </c:pt>
                <c:pt idx="19">
                  <c:v>0</c:v>
                </c:pt>
                <c:pt idx="20">
                  <c:v>0</c:v>
                </c:pt>
                <c:pt idx="21">
                  <c:v>0</c:v>
                </c:pt>
                <c:pt idx="22">
                  <c:v>0</c:v>
                </c:pt>
                <c:pt idx="23">
                  <c:v>0</c:v>
                </c:pt>
              </c:numCache>
            </c:numRef>
          </c:val>
          <c:smooth val="0"/>
          <c:extLst>
            <c:ext xmlns:c16="http://schemas.microsoft.com/office/drawing/2014/chart" uri="{C3380CC4-5D6E-409C-BE32-E72D297353CC}">
              <c16:uniqueId val="{00000016-B6D9-4543-910E-CA88B761319C}"/>
            </c:ext>
          </c:extLst>
        </c:ser>
        <c:ser>
          <c:idx val="2"/>
          <c:order val="2"/>
          <c:tx>
            <c:strRef>
              <c:f>Schedules!$E$55</c:f>
              <c:strCache>
                <c:ptCount val="1"/>
                <c:pt idx="0">
                  <c:v>Sunday</c:v>
                </c:pt>
              </c:strCache>
            </c:strRef>
          </c:tx>
          <c:spPr>
            <a:ln w="28575" cap="rnd">
              <a:solidFill>
                <a:schemeClr val="accent3"/>
              </a:solidFill>
              <a:round/>
            </a:ln>
            <a:effectLst/>
          </c:spPr>
          <c:marker>
            <c:symbol val="none"/>
          </c:marker>
          <c:val>
            <c:numRef>
              <c:f>Schedules!$F$55:$AC$55</c:f>
              <c:numCache>
                <c:formatCode>0.00</c:formatCode>
                <c:ptCount val="24"/>
                <c:pt idx="0">
                  <c:v>0</c:v>
                </c:pt>
                <c:pt idx="1">
                  <c:v>0</c:v>
                </c:pt>
                <c:pt idx="2">
                  <c:v>0</c:v>
                </c:pt>
                <c:pt idx="3">
                  <c:v>0</c:v>
                </c:pt>
                <c:pt idx="4">
                  <c:v>0</c:v>
                </c:pt>
                <c:pt idx="5">
                  <c:v>0</c:v>
                </c:pt>
                <c:pt idx="6">
                  <c:v>0.5</c:v>
                </c:pt>
                <c:pt idx="7">
                  <c:v>1</c:v>
                </c:pt>
                <c:pt idx="8">
                  <c:v>0.5</c:v>
                </c:pt>
                <c:pt idx="9">
                  <c:v>1</c:v>
                </c:pt>
                <c:pt idx="10">
                  <c:v>0.5</c:v>
                </c:pt>
                <c:pt idx="11">
                  <c:v>1</c:v>
                </c:pt>
                <c:pt idx="12">
                  <c:v>0.5</c:v>
                </c:pt>
                <c:pt idx="13">
                  <c:v>1</c:v>
                </c:pt>
                <c:pt idx="14">
                  <c:v>0.5</c:v>
                </c:pt>
                <c:pt idx="15">
                  <c:v>1</c:v>
                </c:pt>
                <c:pt idx="16">
                  <c:v>0.5</c:v>
                </c:pt>
                <c:pt idx="17">
                  <c:v>1</c:v>
                </c:pt>
                <c:pt idx="18">
                  <c:v>0.5</c:v>
                </c:pt>
                <c:pt idx="19">
                  <c:v>0</c:v>
                </c:pt>
                <c:pt idx="20">
                  <c:v>0</c:v>
                </c:pt>
                <c:pt idx="21">
                  <c:v>0</c:v>
                </c:pt>
                <c:pt idx="22">
                  <c:v>0</c:v>
                </c:pt>
                <c:pt idx="23">
                  <c:v>0</c:v>
                </c:pt>
              </c:numCache>
            </c:numRef>
          </c:val>
          <c:smooth val="0"/>
          <c:extLst>
            <c:ext xmlns:c16="http://schemas.microsoft.com/office/drawing/2014/chart" uri="{C3380CC4-5D6E-409C-BE32-E72D297353CC}">
              <c16:uniqueId val="{00000017-B6D9-4543-910E-CA88B761319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4057872998981611"/>
          <c:y val="0.13465197571685783"/>
          <c:w val="0.25942127001018372"/>
          <c:h val="0.501296123560163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Schedules!$C$50</c:f>
          <c:strCache>
            <c:ptCount val="1"/>
            <c:pt idx="0">
              <c:v>ExhaustHoodEqualOrLessThan5000cfm</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6290839858609905"/>
          <c:w val="0.86296940073898609"/>
          <c:h val="0.46434414144833835"/>
        </c:manualLayout>
      </c:layout>
      <c:lineChart>
        <c:grouping val="standard"/>
        <c:varyColors val="0"/>
        <c:ser>
          <c:idx val="0"/>
          <c:order val="0"/>
          <c:tx>
            <c:strRef>
              <c:f>Schedules!$E$50</c:f>
              <c:strCache>
                <c:ptCount val="1"/>
                <c:pt idx="0">
                  <c:v>Weekday</c:v>
                </c:pt>
              </c:strCache>
            </c:strRef>
          </c:tx>
          <c:spPr>
            <a:ln w="28575" cap="rnd">
              <a:solidFill>
                <a:schemeClr val="accent1"/>
              </a:solidFill>
              <a:round/>
            </a:ln>
            <a:effectLst/>
          </c:spPr>
          <c:marker>
            <c:symbol val="none"/>
          </c:marker>
          <c:val>
            <c:numRef>
              <c:f>Schedules!$F$50:$AC$50</c:f>
              <c:numCache>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c:v>
                </c:pt>
                <c:pt idx="20">
                  <c:v>0</c:v>
                </c:pt>
                <c:pt idx="21">
                  <c:v>0</c:v>
                </c:pt>
                <c:pt idx="22">
                  <c:v>0</c:v>
                </c:pt>
                <c:pt idx="23">
                  <c:v>0</c:v>
                </c:pt>
              </c:numCache>
            </c:numRef>
          </c:val>
          <c:smooth val="0"/>
          <c:extLst>
            <c:ext xmlns:c16="http://schemas.microsoft.com/office/drawing/2014/chart" uri="{C3380CC4-5D6E-409C-BE32-E72D297353CC}">
              <c16:uniqueId val="{00000000-12AC-4F55-879C-80C92EF74F31}"/>
            </c:ext>
          </c:extLst>
        </c:ser>
        <c:ser>
          <c:idx val="1"/>
          <c:order val="1"/>
          <c:tx>
            <c:strRef>
              <c:f>Schedules!$E$51</c:f>
              <c:strCache>
                <c:ptCount val="1"/>
                <c:pt idx="0">
                  <c:v>Saturday</c:v>
                </c:pt>
              </c:strCache>
            </c:strRef>
          </c:tx>
          <c:spPr>
            <a:ln w="28575" cap="rnd">
              <a:solidFill>
                <a:schemeClr val="accent2"/>
              </a:solidFill>
              <a:round/>
            </a:ln>
            <a:effectLst/>
          </c:spPr>
          <c:marker>
            <c:symbol val="none"/>
          </c:marker>
          <c:val>
            <c:numRef>
              <c:f>Schedules!$F$51:$AC$51</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0</c:v>
                </c:pt>
                <c:pt idx="20">
                  <c:v>0</c:v>
                </c:pt>
                <c:pt idx="21">
                  <c:v>0</c:v>
                </c:pt>
                <c:pt idx="22">
                  <c:v>0</c:v>
                </c:pt>
                <c:pt idx="23">
                  <c:v>0</c:v>
                </c:pt>
              </c:numCache>
            </c:numRef>
          </c:val>
          <c:smooth val="0"/>
          <c:extLst>
            <c:ext xmlns:c16="http://schemas.microsoft.com/office/drawing/2014/chart" uri="{C3380CC4-5D6E-409C-BE32-E72D297353CC}">
              <c16:uniqueId val="{00000001-12AC-4F55-879C-80C92EF74F31}"/>
            </c:ext>
          </c:extLst>
        </c:ser>
        <c:ser>
          <c:idx val="2"/>
          <c:order val="2"/>
          <c:tx>
            <c:strRef>
              <c:f>Schedules!$E$52</c:f>
              <c:strCache>
                <c:ptCount val="1"/>
                <c:pt idx="0">
                  <c:v>Sunday</c:v>
                </c:pt>
              </c:strCache>
            </c:strRef>
          </c:tx>
          <c:spPr>
            <a:ln w="28575" cap="rnd">
              <a:solidFill>
                <a:schemeClr val="accent3"/>
              </a:solidFill>
              <a:round/>
            </a:ln>
            <a:effectLst/>
          </c:spPr>
          <c:marker>
            <c:symbol val="none"/>
          </c:marker>
          <c:val>
            <c:numRef>
              <c:f>Schedules!$F$52:$AC$52</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0</c:v>
                </c:pt>
                <c:pt idx="20">
                  <c:v>0</c:v>
                </c:pt>
                <c:pt idx="21">
                  <c:v>0</c:v>
                </c:pt>
                <c:pt idx="22">
                  <c:v>0</c:v>
                </c:pt>
                <c:pt idx="23">
                  <c:v>0</c:v>
                </c:pt>
              </c:numCache>
            </c:numRef>
          </c:val>
          <c:smooth val="0"/>
          <c:extLst>
            <c:ext xmlns:c16="http://schemas.microsoft.com/office/drawing/2014/chart" uri="{C3380CC4-5D6E-409C-BE32-E72D297353CC}">
              <c16:uniqueId val="{00000002-12AC-4F55-879C-80C92EF74F3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4692467457101019"/>
          <c:y val="0.11924868312622748"/>
          <c:w val="0.23491591303647127"/>
          <c:h val="0.34165169187876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Assembly Elevator</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01DF-4F16-99AF-01E1B8DDB62F}"/>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01DF-4F16-99AF-01E1B8DDB62F}"/>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01DF-4F16-99AF-01E1B8DDB62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layout>
        <c:manualLayout>
          <c:xMode val="edge"/>
          <c:yMode val="edge"/>
          <c:x val="0.424937269007652"/>
          <c:y val="1.6059238690269581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0.05</c:v>
                </c:pt>
                <c:pt idx="1">
                  <c:v>0</c:v>
                </c:pt>
                <c:pt idx="2">
                  <c:v>0</c:v>
                </c:pt>
                <c:pt idx="3">
                  <c:v>0</c:v>
                </c:pt>
                <c:pt idx="4">
                  <c:v>0</c:v>
                </c:pt>
                <c:pt idx="5">
                  <c:v>0.05</c:v>
                </c:pt>
                <c:pt idx="6">
                  <c:v>0.1</c:v>
                </c:pt>
                <c:pt idx="7">
                  <c:v>0.4</c:v>
                </c:pt>
                <c:pt idx="8">
                  <c:v>0.4</c:v>
                </c:pt>
                <c:pt idx="9">
                  <c:v>0.4</c:v>
                </c:pt>
                <c:pt idx="10">
                  <c:v>0.2</c:v>
                </c:pt>
                <c:pt idx="11">
                  <c:v>0.5</c:v>
                </c:pt>
                <c:pt idx="12">
                  <c:v>0.8</c:v>
                </c:pt>
                <c:pt idx="13">
                  <c:v>0.7</c:v>
                </c:pt>
                <c:pt idx="14">
                  <c:v>0.4</c:v>
                </c:pt>
                <c:pt idx="15">
                  <c:v>0.2</c:v>
                </c:pt>
                <c:pt idx="16">
                  <c:v>0.25</c:v>
                </c:pt>
                <c:pt idx="17">
                  <c:v>0.5</c:v>
                </c:pt>
                <c:pt idx="18">
                  <c:v>0.8</c:v>
                </c:pt>
                <c:pt idx="19">
                  <c:v>0.8</c:v>
                </c:pt>
                <c:pt idx="20">
                  <c:v>0.8</c:v>
                </c:pt>
                <c:pt idx="21">
                  <c:v>0.5</c:v>
                </c:pt>
                <c:pt idx="22">
                  <c:v>0.35</c:v>
                </c:pt>
                <c:pt idx="23">
                  <c:v>0.2</c:v>
                </c:pt>
              </c:numCache>
            </c:numRef>
          </c:val>
          <c:smooth val="0"/>
          <c:extLst>
            <c:ext xmlns:c16="http://schemas.microsoft.com/office/drawing/2014/chart" uri="{C3380CC4-5D6E-409C-BE32-E72D297353CC}">
              <c16:uniqueId val="{00000000-3883-423A-9D30-BCCF0FB1CCB4}"/>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0.05</c:v>
                </c:pt>
                <c:pt idx="1">
                  <c:v>0</c:v>
                </c:pt>
                <c:pt idx="2">
                  <c:v>0</c:v>
                </c:pt>
                <c:pt idx="3">
                  <c:v>0</c:v>
                </c:pt>
                <c:pt idx="4">
                  <c:v>0</c:v>
                </c:pt>
                <c:pt idx="5">
                  <c:v>0</c:v>
                </c:pt>
                <c:pt idx="6">
                  <c:v>0.05</c:v>
                </c:pt>
                <c:pt idx="7">
                  <c:v>0.5</c:v>
                </c:pt>
                <c:pt idx="8">
                  <c:v>0.5</c:v>
                </c:pt>
                <c:pt idx="9">
                  <c:v>0.4</c:v>
                </c:pt>
                <c:pt idx="10">
                  <c:v>0.2</c:v>
                </c:pt>
                <c:pt idx="11">
                  <c:v>0.45</c:v>
                </c:pt>
                <c:pt idx="12">
                  <c:v>0.5</c:v>
                </c:pt>
                <c:pt idx="13">
                  <c:v>0.5</c:v>
                </c:pt>
                <c:pt idx="14">
                  <c:v>0.35</c:v>
                </c:pt>
                <c:pt idx="15">
                  <c:v>0.3</c:v>
                </c:pt>
                <c:pt idx="16">
                  <c:v>0.3</c:v>
                </c:pt>
                <c:pt idx="17">
                  <c:v>0.3</c:v>
                </c:pt>
                <c:pt idx="18">
                  <c:v>0.7</c:v>
                </c:pt>
                <c:pt idx="19">
                  <c:v>0.9</c:v>
                </c:pt>
                <c:pt idx="20">
                  <c:v>0.7</c:v>
                </c:pt>
                <c:pt idx="21">
                  <c:v>0.65</c:v>
                </c:pt>
                <c:pt idx="22">
                  <c:v>0.55000000000000004</c:v>
                </c:pt>
                <c:pt idx="23">
                  <c:v>0.35</c:v>
                </c:pt>
              </c:numCache>
            </c:numRef>
          </c:val>
          <c:smooth val="0"/>
          <c:extLst>
            <c:ext xmlns:c16="http://schemas.microsoft.com/office/drawing/2014/chart" uri="{C3380CC4-5D6E-409C-BE32-E72D297353CC}">
              <c16:uniqueId val="{00000001-3883-423A-9D30-BCCF0FB1CCB4}"/>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0.05</c:v>
                </c:pt>
                <c:pt idx="1">
                  <c:v>0</c:v>
                </c:pt>
                <c:pt idx="2">
                  <c:v>0</c:v>
                </c:pt>
                <c:pt idx="3">
                  <c:v>0</c:v>
                </c:pt>
                <c:pt idx="4">
                  <c:v>0</c:v>
                </c:pt>
                <c:pt idx="5">
                  <c:v>0</c:v>
                </c:pt>
                <c:pt idx="6">
                  <c:v>0.05</c:v>
                </c:pt>
                <c:pt idx="7">
                  <c:v>0.5</c:v>
                </c:pt>
                <c:pt idx="8">
                  <c:v>0.5</c:v>
                </c:pt>
                <c:pt idx="9">
                  <c:v>0.2</c:v>
                </c:pt>
                <c:pt idx="10">
                  <c:v>0.2</c:v>
                </c:pt>
                <c:pt idx="11">
                  <c:v>0.3</c:v>
                </c:pt>
                <c:pt idx="12">
                  <c:v>0.5</c:v>
                </c:pt>
                <c:pt idx="13">
                  <c:v>0.5</c:v>
                </c:pt>
                <c:pt idx="14">
                  <c:v>0.3</c:v>
                </c:pt>
                <c:pt idx="15">
                  <c:v>0.2</c:v>
                </c:pt>
                <c:pt idx="16">
                  <c:v>0.25</c:v>
                </c:pt>
                <c:pt idx="17">
                  <c:v>0.35</c:v>
                </c:pt>
                <c:pt idx="18">
                  <c:v>0.55000000000000004</c:v>
                </c:pt>
                <c:pt idx="19">
                  <c:v>0.65</c:v>
                </c:pt>
                <c:pt idx="20">
                  <c:v>0.7</c:v>
                </c:pt>
                <c:pt idx="21">
                  <c:v>0.35</c:v>
                </c:pt>
                <c:pt idx="22">
                  <c:v>0.2</c:v>
                </c:pt>
                <c:pt idx="23">
                  <c:v>0.2</c:v>
                </c:pt>
              </c:numCache>
            </c:numRef>
          </c:val>
          <c:smooth val="0"/>
          <c:extLst>
            <c:ext xmlns:c16="http://schemas.microsoft.com/office/drawing/2014/chart" uri="{C3380CC4-5D6E-409C-BE32-E72D297353CC}">
              <c16:uniqueId val="{00000002-3883-423A-9D30-BCCF0FB1CCB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Schedules!$B$100</c:f>
          <c:strCache>
            <c:ptCount val="1"/>
            <c:pt idx="0">
              <c:v>Occupancy -  Kitchen - Weekday</c:v>
            </c:pt>
          </c:strCache>
        </c:strRef>
      </c:tx>
      <c:layout>
        <c:manualLayout>
          <c:xMode val="edge"/>
          <c:yMode val="edge"/>
          <c:x val="0.19467220686911652"/>
          <c:y val="2.55161153355201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9891178341607931E-2"/>
          <c:y val="0.15773211963240721"/>
          <c:w val="0.62572569311297588"/>
          <c:h val="0.6463322425919551"/>
        </c:manualLayout>
      </c:layout>
      <c:lineChart>
        <c:grouping val="standard"/>
        <c:varyColors val="0"/>
        <c:ser>
          <c:idx val="0"/>
          <c:order val="0"/>
          <c:tx>
            <c:strRef>
              <c:f>Schedules!$C$93</c:f>
              <c:strCache>
                <c:ptCount val="1"/>
                <c:pt idx="0">
                  <c:v>T24 2022</c:v>
                </c:pt>
              </c:strCache>
            </c:strRef>
          </c:tx>
          <c:spPr>
            <a:ln w="28575" cap="rnd">
              <a:solidFill>
                <a:schemeClr val="accent1"/>
              </a:solidFill>
              <a:round/>
            </a:ln>
            <a:effectLst/>
          </c:spPr>
          <c:marker>
            <c:symbol val="triangle"/>
            <c:size val="5"/>
            <c:spPr>
              <a:solidFill>
                <a:srgbClr val="002F8E"/>
              </a:solidFill>
              <a:ln w="9525">
                <a:solidFill>
                  <a:srgbClr val="002F8E"/>
                </a:solidFill>
              </a:ln>
              <a:effectLst/>
            </c:spPr>
          </c:marker>
          <c:val>
            <c:numRef>
              <c:f>Schedules!$F$93:$AC$93</c:f>
            </c:numRef>
          </c:val>
          <c:smooth val="0"/>
          <c:extLst>
            <c:ext xmlns:c16="http://schemas.microsoft.com/office/drawing/2014/chart" uri="{C3380CC4-5D6E-409C-BE32-E72D297353CC}">
              <c16:uniqueId val="{00000000-8ED2-4D7E-96EA-FE96DEBE7DA5}"/>
            </c:ext>
          </c:extLst>
        </c:ser>
        <c:ser>
          <c:idx val="1"/>
          <c:order val="1"/>
          <c:tx>
            <c:strRef>
              <c:f>Schedules!$C$94</c:f>
              <c:strCache>
                <c:ptCount val="1"/>
                <c:pt idx="0">
                  <c:v>ComNET </c:v>
                </c:pt>
              </c:strCache>
            </c:strRef>
          </c:tx>
          <c:spPr>
            <a:ln w="28575" cap="rnd">
              <a:solidFill>
                <a:schemeClr val="accent2"/>
              </a:solidFill>
              <a:round/>
            </a:ln>
            <a:effectLst/>
          </c:spPr>
          <c:marker>
            <c:symbol val="none"/>
          </c:marker>
          <c:val>
            <c:numRef>
              <c:f>Schedules!$F$94:$AC$94</c:f>
            </c:numRef>
          </c:val>
          <c:smooth val="0"/>
          <c:extLst>
            <c:ext xmlns:c16="http://schemas.microsoft.com/office/drawing/2014/chart" uri="{C3380CC4-5D6E-409C-BE32-E72D297353CC}">
              <c16:uniqueId val="{00000001-8ED2-4D7E-96EA-FE96DEBE7DA5}"/>
            </c:ext>
          </c:extLst>
        </c:ser>
        <c:ser>
          <c:idx val="2"/>
          <c:order val="2"/>
          <c:tx>
            <c:strRef>
              <c:f>Schedules!$C$95</c:f>
              <c:strCache>
                <c:ptCount val="1"/>
                <c:pt idx="0">
                  <c:v>Plug load and schedules project</c:v>
                </c:pt>
              </c:strCache>
            </c:strRef>
          </c:tx>
          <c:spPr>
            <a:ln w="28575" cap="rnd">
              <a:solidFill>
                <a:schemeClr val="accent3"/>
              </a:solidFill>
              <a:round/>
            </a:ln>
            <a:effectLst/>
          </c:spPr>
          <c:marker>
            <c:symbol val="x"/>
            <c:size val="5"/>
            <c:spPr>
              <a:noFill/>
              <a:ln w="9525">
                <a:solidFill>
                  <a:schemeClr val="accent3"/>
                </a:solidFill>
              </a:ln>
              <a:effectLst/>
            </c:spPr>
          </c:marker>
          <c:val>
            <c:numRef>
              <c:f>Schedules!$F$95:$AC$95</c:f>
            </c:numRef>
          </c:val>
          <c:smooth val="0"/>
          <c:extLst>
            <c:ext xmlns:c16="http://schemas.microsoft.com/office/drawing/2014/chart" uri="{C3380CC4-5D6E-409C-BE32-E72D297353CC}">
              <c16:uniqueId val="{00000002-8ED2-4D7E-96EA-FE96DEBE7DA5}"/>
            </c:ext>
          </c:extLst>
        </c:ser>
        <c:ser>
          <c:idx val="3"/>
          <c:order val="3"/>
          <c:tx>
            <c:strRef>
              <c:f>Schedules!$C$96</c:f>
              <c:strCache>
                <c:ptCount val="1"/>
                <c:pt idx="0">
                  <c:v>CPUC</c:v>
                </c:pt>
              </c:strCache>
            </c:strRef>
          </c:tx>
          <c:spPr>
            <a:ln w="28575" cap="rnd">
              <a:solidFill>
                <a:schemeClr val="accent4"/>
              </a:solidFill>
              <a:round/>
            </a:ln>
            <a:effectLst/>
          </c:spPr>
          <c:marker>
            <c:symbol val="none"/>
          </c:marker>
          <c:val>
            <c:numRef>
              <c:f>Schedules!$F$96:$AC$96</c:f>
            </c:numRef>
          </c:val>
          <c:smooth val="0"/>
          <c:extLst>
            <c:ext xmlns:c16="http://schemas.microsoft.com/office/drawing/2014/chart" uri="{C3380CC4-5D6E-409C-BE32-E72D297353CC}">
              <c16:uniqueId val="{00000003-8ED2-4D7E-96EA-FE96DEBE7DA5}"/>
            </c:ext>
          </c:extLst>
        </c:ser>
        <c:ser>
          <c:idx val="4"/>
          <c:order val="4"/>
          <c:tx>
            <c:strRef>
              <c:f>Schedules!$C$98</c:f>
              <c:strCache>
                <c:ptCount val="1"/>
                <c:pt idx="0">
                  <c:v>Proposed</c:v>
                </c:pt>
              </c:strCache>
            </c:strRef>
          </c:tx>
          <c:spPr>
            <a:ln w="28575" cap="rnd">
              <a:solidFill>
                <a:schemeClr val="accent5"/>
              </a:solidFill>
              <a:round/>
            </a:ln>
            <a:effectLst/>
          </c:spPr>
          <c:marker>
            <c:symbol val="none"/>
          </c:marker>
          <c:val>
            <c:numRef>
              <c:f>Schedules!$F$98:$AC$98</c:f>
            </c:numRef>
          </c:val>
          <c:smooth val="0"/>
          <c:extLst>
            <c:ext xmlns:c16="http://schemas.microsoft.com/office/drawing/2014/chart" uri="{C3380CC4-5D6E-409C-BE32-E72D297353CC}">
              <c16:uniqueId val="{00000004-8ED2-4D7E-96EA-FE96DEBE7DA5}"/>
            </c:ext>
          </c:extLst>
        </c:ser>
        <c:ser>
          <c:idx val="5"/>
          <c:order val="5"/>
          <c:tx>
            <c:strRef>
              <c:f>Schedules!$C$97</c:f>
              <c:strCache>
                <c:ptCount val="1"/>
                <c:pt idx="0">
                  <c:v>PNNL90.1 2022</c:v>
                </c:pt>
              </c:strCache>
            </c:strRef>
          </c:tx>
          <c:spPr>
            <a:ln w="28575" cap="rnd">
              <a:solidFill>
                <a:schemeClr val="accent6"/>
              </a:solidFill>
              <a:round/>
            </a:ln>
            <a:effectLst/>
          </c:spPr>
          <c:marker>
            <c:symbol val="none"/>
          </c:marker>
          <c:val>
            <c:numRef>
              <c:f>Schedules!$F$97:$AC$97</c:f>
            </c:numRef>
          </c:val>
          <c:smooth val="0"/>
          <c:extLst>
            <c:ext xmlns:c16="http://schemas.microsoft.com/office/drawing/2014/chart" uri="{C3380CC4-5D6E-409C-BE32-E72D297353CC}">
              <c16:uniqueId val="{00000006-8ED2-4D7E-96EA-FE96DEBE7DA5}"/>
            </c:ext>
          </c:extLst>
        </c:ser>
        <c:dLbls>
          <c:showLegendKey val="0"/>
          <c:showVal val="0"/>
          <c:showCatName val="0"/>
          <c:showSerName val="0"/>
          <c:showPercent val="0"/>
          <c:showBubbleSize val="0"/>
        </c:dLbls>
        <c:marker val="1"/>
        <c:smooth val="0"/>
        <c:axId val="237284431"/>
        <c:axId val="237284911"/>
      </c:lineChart>
      <c:catAx>
        <c:axId val="23728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284911"/>
        <c:crosses val="autoZero"/>
        <c:auto val="1"/>
        <c:lblAlgn val="ctr"/>
        <c:lblOffset val="100"/>
        <c:noMultiLvlLbl val="0"/>
      </c:catAx>
      <c:valAx>
        <c:axId val="237284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284431"/>
        <c:crosses val="autoZero"/>
        <c:crossBetween val="between"/>
      </c:valAx>
      <c:spPr>
        <a:noFill/>
        <a:ln>
          <a:noFill/>
        </a:ln>
        <a:effectLst/>
      </c:spPr>
    </c:plotArea>
    <c:legend>
      <c:legendPos val="b"/>
      <c:layout>
        <c:manualLayout>
          <c:xMode val="edge"/>
          <c:yMode val="edge"/>
          <c:x val="0.69404814902996603"/>
          <c:y val="0.14467704366671266"/>
          <c:w val="0.26641446372114824"/>
          <c:h val="0.536371514639285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Schedules!$C$47</c:f>
          <c:strCache>
            <c:ptCount val="1"/>
            <c:pt idx="0">
              <c:v>Infiltration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Schedules!$E$48</c:f>
              <c:strCache>
                <c:ptCount val="1"/>
                <c:pt idx="0">
                  <c:v>Saturday</c:v>
                </c:pt>
              </c:strCache>
            </c:strRef>
          </c:tx>
          <c:spPr>
            <a:ln w="28575" cap="rnd">
              <a:solidFill>
                <a:schemeClr val="accent1"/>
              </a:solidFill>
              <a:round/>
            </a:ln>
            <a:effectLst/>
          </c:spPr>
          <c:marker>
            <c:symbol val="none"/>
          </c:marker>
          <c:cat>
            <c:numRef>
              <c:f>Schedules!$F$47:$AC$47</c:f>
              <c:numCache>
                <c:formatCode>0.00</c:formatCode>
                <c:ptCount val="24"/>
                <c:pt idx="0">
                  <c:v>0.25</c:v>
                </c:pt>
                <c:pt idx="1">
                  <c:v>0</c:v>
                </c:pt>
                <c:pt idx="2">
                  <c:v>0</c:v>
                </c:pt>
                <c:pt idx="3">
                  <c:v>1</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cat>
          <c:val>
            <c:numRef>
              <c:f>Schedules!$F$48:$AC$48</c:f>
              <c:numCache>
                <c:formatCode>0.00</c:formatCode>
                <c:ptCount val="24"/>
                <c:pt idx="0">
                  <c:v>0.25</c:v>
                </c:pt>
                <c:pt idx="1">
                  <c:v>0</c:v>
                </c:pt>
                <c:pt idx="2">
                  <c:v>0</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0-00ED-4254-B7F0-786C3C49EEA8}"/>
            </c:ext>
          </c:extLst>
        </c:ser>
        <c:ser>
          <c:idx val="1"/>
          <c:order val="1"/>
          <c:tx>
            <c:strRef>
              <c:f>Schedules!$E$49</c:f>
              <c:strCache>
                <c:ptCount val="1"/>
                <c:pt idx="0">
                  <c:v>Sunday</c:v>
                </c:pt>
              </c:strCache>
            </c:strRef>
          </c:tx>
          <c:spPr>
            <a:ln w="28575" cap="rnd">
              <a:solidFill>
                <a:schemeClr val="accent2"/>
              </a:solidFill>
              <a:round/>
            </a:ln>
            <a:effectLst/>
          </c:spPr>
          <c:marker>
            <c:symbol val="none"/>
          </c:marker>
          <c:cat>
            <c:numRef>
              <c:f>Schedules!$F$47:$AC$47</c:f>
              <c:numCache>
                <c:formatCode>0.00</c:formatCode>
                <c:ptCount val="24"/>
                <c:pt idx="0">
                  <c:v>0.25</c:v>
                </c:pt>
                <c:pt idx="1">
                  <c:v>0</c:v>
                </c:pt>
                <c:pt idx="2">
                  <c:v>0</c:v>
                </c:pt>
                <c:pt idx="3">
                  <c:v>1</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cat>
          <c:val>
            <c:numRef>
              <c:f>Schedules!$F$49:$AC$49</c:f>
              <c:numCache>
                <c:formatCode>0.00</c:formatCode>
                <c:ptCount val="24"/>
                <c:pt idx="0">
                  <c:v>0.25</c:v>
                </c:pt>
                <c:pt idx="1">
                  <c:v>0</c:v>
                </c:pt>
                <c:pt idx="2">
                  <c:v>0</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1-00ED-4254-B7F0-786C3C49EEA8}"/>
            </c:ext>
          </c:extLst>
        </c:ser>
        <c:ser>
          <c:idx val="2"/>
          <c:order val="2"/>
          <c:tx>
            <c:strRef>
              <c:f>Schedules!$E$47</c:f>
              <c:strCache>
                <c:ptCount val="1"/>
                <c:pt idx="0">
                  <c:v>Weekday</c:v>
                </c:pt>
              </c:strCache>
            </c:strRef>
          </c:tx>
          <c:spPr>
            <a:ln w="28575" cap="rnd">
              <a:solidFill>
                <a:schemeClr val="accent3"/>
              </a:solidFill>
              <a:round/>
            </a:ln>
            <a:effectLst/>
          </c:spPr>
          <c:marker>
            <c:symbol val="none"/>
          </c:marker>
          <c:val>
            <c:numRef>
              <c:f>Schedules!$F$47:$AC$47</c:f>
              <c:numCache>
                <c:formatCode>0.00</c:formatCode>
                <c:ptCount val="24"/>
                <c:pt idx="0">
                  <c:v>0.25</c:v>
                </c:pt>
                <c:pt idx="1">
                  <c:v>0</c:v>
                </c:pt>
                <c:pt idx="2">
                  <c:v>0</c:v>
                </c:pt>
                <c:pt idx="3">
                  <c:v>1</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3-00ED-4254-B7F0-786C3C49EEA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971432699198443"/>
          <c:y val="3.6261079321075841E-2"/>
          <c:w val="0.19982901769089964"/>
          <c:h val="0.489593412473926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RestaurantSitDown</a:t>
            </a:r>
            <a:r>
              <a:rPr lang="en-US" baseline="0"/>
              <a:t> </a:t>
            </a:r>
            <a:r>
              <a:rPr lang="en-US"/>
              <a:t>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Usage'!$U$2</c:f>
              <c:strCache>
                <c:ptCount val="1"/>
                <c:pt idx="0">
                  <c:v>Acceptable Range (25% Lower)</c:v>
                </c:pt>
              </c:strCache>
            </c:strRef>
          </c:tx>
          <c:spPr>
            <a:noFill/>
            <a:ln>
              <a:noFill/>
            </a:ln>
            <a:effectLst/>
          </c:spPr>
          <c:invertIfNegative val="0"/>
          <c:val>
            <c:numRef>
              <c:f>'Energy Usage'!$U$3:$U$18</c:f>
              <c:numCache>
                <c:formatCode>0.0</c:formatCode>
                <c:ptCount val="16"/>
                <c:pt idx="0">
                  <c:v>246.45760872702002</c:v>
                </c:pt>
                <c:pt idx="1">
                  <c:v>220.52276347213933</c:v>
                </c:pt>
                <c:pt idx="2">
                  <c:v>224.5108983857213</c:v>
                </c:pt>
                <c:pt idx="3">
                  <c:v>224.18194940063478</c:v>
                </c:pt>
                <c:pt idx="4">
                  <c:v>224.68278436156663</c:v>
                </c:pt>
                <c:pt idx="5">
                  <c:v>243.87767064893626</c:v>
                </c:pt>
                <c:pt idx="6">
                  <c:v>276.14819481777937</c:v>
                </c:pt>
                <c:pt idx="7">
                  <c:v>262.58350973340777</c:v>
                </c:pt>
                <c:pt idx="8">
                  <c:v>247.38313105186069</c:v>
                </c:pt>
                <c:pt idx="9">
                  <c:v>270.75566139567621</c:v>
                </c:pt>
                <c:pt idx="10">
                  <c:v>235.14753442028919</c:v>
                </c:pt>
                <c:pt idx="11">
                  <c:v>252.94664522247081</c:v>
                </c:pt>
                <c:pt idx="12">
                  <c:v>256.58799286800985</c:v>
                </c:pt>
                <c:pt idx="13">
                  <c:v>251.31841996543454</c:v>
                </c:pt>
                <c:pt idx="14">
                  <c:v>299.99140315973068</c:v>
                </c:pt>
                <c:pt idx="15">
                  <c:v>244.72604766701858</c:v>
                </c:pt>
              </c:numCache>
            </c:numRef>
          </c:val>
          <c:extLst>
            <c:ext xmlns:c16="http://schemas.microsoft.com/office/drawing/2014/chart" uri="{C3380CC4-5D6E-409C-BE32-E72D297353CC}">
              <c16:uniqueId val="{00000000-6352-4A50-B298-BAAF87AE214E}"/>
            </c:ext>
          </c:extLst>
        </c:ser>
        <c:ser>
          <c:idx val="2"/>
          <c:order val="1"/>
          <c:tx>
            <c:strRef>
              <c:f>'Energy Usage'!$V$2</c:f>
              <c:strCache>
                <c:ptCount val="1"/>
                <c:pt idx="0">
                  <c:v>CEUS 2022 Acceptable EUI Range </c:v>
                </c:pt>
              </c:strCache>
            </c:strRef>
          </c:tx>
          <c:spPr>
            <a:solidFill>
              <a:schemeClr val="accent4">
                <a:lumMod val="40000"/>
                <a:lumOff val="60000"/>
              </a:schemeClr>
            </a:solidFill>
            <a:ln>
              <a:solidFill>
                <a:schemeClr val="accent4">
                  <a:lumMod val="75000"/>
                </a:schemeClr>
              </a:solidFill>
            </a:ln>
            <a:effectLst/>
          </c:spPr>
          <c:invertIfNegative val="0"/>
          <c:val>
            <c:numRef>
              <c:f>'Energy Usage'!$V$3:$V$18</c:f>
              <c:numCache>
                <c:formatCode>0.0</c:formatCode>
                <c:ptCount val="16"/>
                <c:pt idx="0">
                  <c:v>164.30507248468004</c:v>
                </c:pt>
                <c:pt idx="1">
                  <c:v>147.01517564809285</c:v>
                </c:pt>
                <c:pt idx="2">
                  <c:v>149.6739322571475</c:v>
                </c:pt>
                <c:pt idx="3">
                  <c:v>149.45463293375656</c:v>
                </c:pt>
                <c:pt idx="4">
                  <c:v>149.78852290771113</c:v>
                </c:pt>
                <c:pt idx="5">
                  <c:v>162.58511376595754</c:v>
                </c:pt>
                <c:pt idx="6">
                  <c:v>184.09879654518625</c:v>
                </c:pt>
                <c:pt idx="7">
                  <c:v>175.05567315560518</c:v>
                </c:pt>
                <c:pt idx="8">
                  <c:v>164.92208736790712</c:v>
                </c:pt>
                <c:pt idx="9">
                  <c:v>180.50377426378418</c:v>
                </c:pt>
                <c:pt idx="10">
                  <c:v>156.76502294685949</c:v>
                </c:pt>
                <c:pt idx="11">
                  <c:v>168.63109681498054</c:v>
                </c:pt>
                <c:pt idx="12">
                  <c:v>171.05866191200653</c:v>
                </c:pt>
                <c:pt idx="13">
                  <c:v>167.5456133102897</c:v>
                </c:pt>
                <c:pt idx="14">
                  <c:v>199.99426877315375</c:v>
                </c:pt>
                <c:pt idx="15">
                  <c:v>163.15069844467905</c:v>
                </c:pt>
              </c:numCache>
            </c:numRef>
          </c:val>
          <c:extLst>
            <c:ext xmlns:c16="http://schemas.microsoft.com/office/drawing/2014/chart" uri="{C3380CC4-5D6E-409C-BE32-E72D297353CC}">
              <c16:uniqueId val="{00000001-6352-4A50-B298-BAAF87AE214E}"/>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6352-4A50-B298-BAAF87AE214E}"/>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numCache>
            </c:numRef>
          </c:yVal>
          <c:smooth val="0"/>
          <c:extLst>
            <c:ext xmlns:c16="http://schemas.microsoft.com/office/drawing/2014/chart" uri="{C3380CC4-5D6E-409C-BE32-E72D297353CC}">
              <c16:uniqueId val="{00000003-6352-4A50-B298-BAAF87AE214E}"/>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RestaurantSitDown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General</c:formatCode>
                <c:ptCount val="16"/>
                <c:pt idx="0">
                  <c:v>214.875</c:v>
                </c:pt>
                <c:pt idx="1">
                  <c:v>214.875</c:v>
                </c:pt>
                <c:pt idx="2">
                  <c:v>214.875</c:v>
                </c:pt>
                <c:pt idx="3">
                  <c:v>214.875</c:v>
                </c:pt>
                <c:pt idx="4">
                  <c:v>214.875</c:v>
                </c:pt>
                <c:pt idx="5">
                  <c:v>214.875</c:v>
                </c:pt>
                <c:pt idx="6">
                  <c:v>214.875</c:v>
                </c:pt>
                <c:pt idx="7">
                  <c:v>214.875</c:v>
                </c:pt>
                <c:pt idx="8">
                  <c:v>214.875</c:v>
                </c:pt>
                <c:pt idx="9">
                  <c:v>214.875</c:v>
                </c:pt>
                <c:pt idx="10">
                  <c:v>214.875</c:v>
                </c:pt>
                <c:pt idx="11">
                  <c:v>214.875</c:v>
                </c:pt>
                <c:pt idx="12">
                  <c:v>214.875</c:v>
                </c:pt>
                <c:pt idx="13">
                  <c:v>214.875</c:v>
                </c:pt>
                <c:pt idx="14">
                  <c:v>214.875</c:v>
                </c:pt>
                <c:pt idx="15">
                  <c:v>214.875</c:v>
                </c:pt>
              </c:numCache>
            </c:numRef>
          </c:val>
          <c:extLst>
            <c:ext xmlns:c16="http://schemas.microsoft.com/office/drawing/2014/chart" uri="{C3380CC4-5D6E-409C-BE32-E72D297353CC}">
              <c16:uniqueId val="{00000000-C7F3-4623-B57F-D2F390060696}"/>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143.25</c:v>
                </c:pt>
                <c:pt idx="1">
                  <c:v>143.25</c:v>
                </c:pt>
                <c:pt idx="2">
                  <c:v>143.25</c:v>
                </c:pt>
                <c:pt idx="3">
                  <c:v>143.25</c:v>
                </c:pt>
                <c:pt idx="4">
                  <c:v>143.25</c:v>
                </c:pt>
                <c:pt idx="5">
                  <c:v>143.25</c:v>
                </c:pt>
                <c:pt idx="6">
                  <c:v>143.25</c:v>
                </c:pt>
                <c:pt idx="7">
                  <c:v>143.25</c:v>
                </c:pt>
                <c:pt idx="8">
                  <c:v>143.25</c:v>
                </c:pt>
                <c:pt idx="9">
                  <c:v>143.25</c:v>
                </c:pt>
                <c:pt idx="10">
                  <c:v>143.25</c:v>
                </c:pt>
                <c:pt idx="11">
                  <c:v>143.25</c:v>
                </c:pt>
                <c:pt idx="12">
                  <c:v>143.25</c:v>
                </c:pt>
                <c:pt idx="13">
                  <c:v>143.25</c:v>
                </c:pt>
                <c:pt idx="14">
                  <c:v>143.25</c:v>
                </c:pt>
                <c:pt idx="15">
                  <c:v>143.25</c:v>
                </c:pt>
              </c:numCache>
            </c:numRef>
          </c:val>
          <c:extLst>
            <c:ext xmlns:c16="http://schemas.microsoft.com/office/drawing/2014/chart" uri="{C3380CC4-5D6E-409C-BE32-E72D297353CC}">
              <c16:uniqueId val="{00000001-C7F3-4623-B57F-D2F390060696}"/>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C7F3-4623-B57F-D2F390060696}"/>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numCache>
            </c:numRef>
          </c:yVal>
          <c:smooth val="0"/>
          <c:extLst>
            <c:ext xmlns:c16="http://schemas.microsoft.com/office/drawing/2014/chart" uri="{C3380CC4-5D6E-409C-BE32-E72D297353CC}">
              <c16:uniqueId val="{00000003-C7F3-4623-B57F-D2F390060696}"/>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5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0"/>
        <c:minorUnit val="5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4.xml.rels><?xml version="1.0" encoding="UTF-8" standalone="yes"?>
<Relationships xmlns="http://schemas.openxmlformats.org/package/2006/relationships"><Relationship Id="rId8" Type="http://schemas.openxmlformats.org/officeDocument/2006/relationships/image" Target="../media/image21.png"/><Relationship Id="rId3" Type="http://schemas.openxmlformats.org/officeDocument/2006/relationships/image" Target="../media/image16.png"/><Relationship Id="rId7" Type="http://schemas.openxmlformats.org/officeDocument/2006/relationships/image" Target="../media/image20.png"/><Relationship Id="rId2" Type="http://schemas.openxmlformats.org/officeDocument/2006/relationships/image" Target="../media/image15.png"/><Relationship Id="rId1" Type="http://schemas.openxmlformats.org/officeDocument/2006/relationships/image" Target="../media/image14.png"/><Relationship Id="rId6" Type="http://schemas.openxmlformats.org/officeDocument/2006/relationships/image" Target="../media/image19.png"/><Relationship Id="rId11" Type="http://schemas.openxmlformats.org/officeDocument/2006/relationships/image" Target="../media/image24.png"/><Relationship Id="rId5" Type="http://schemas.openxmlformats.org/officeDocument/2006/relationships/image" Target="../media/image18.png"/><Relationship Id="rId10" Type="http://schemas.openxmlformats.org/officeDocument/2006/relationships/image" Target="../media/image23.png"/><Relationship Id="rId4" Type="http://schemas.openxmlformats.org/officeDocument/2006/relationships/image" Target="../media/image17.png"/><Relationship Id="rId9" Type="http://schemas.openxmlformats.org/officeDocument/2006/relationships/image" Target="../media/image22.png"/></Relationships>
</file>

<file path=xl/drawings/_rels/drawing5.xml.rels><?xml version="1.0" encoding="UTF-8" standalone="yes"?>
<Relationships xmlns="http://schemas.openxmlformats.org/package/2006/relationships"><Relationship Id="rId8" Type="http://schemas.openxmlformats.org/officeDocument/2006/relationships/image" Target="../media/image32.png"/><Relationship Id="rId13" Type="http://schemas.openxmlformats.org/officeDocument/2006/relationships/image" Target="../media/image37.png"/><Relationship Id="rId18" Type="http://schemas.openxmlformats.org/officeDocument/2006/relationships/image" Target="../media/image42.png"/><Relationship Id="rId3" Type="http://schemas.openxmlformats.org/officeDocument/2006/relationships/image" Target="../media/image27.png"/><Relationship Id="rId7" Type="http://schemas.openxmlformats.org/officeDocument/2006/relationships/image" Target="../media/image31.png"/><Relationship Id="rId12" Type="http://schemas.openxmlformats.org/officeDocument/2006/relationships/image" Target="../media/image36.png"/><Relationship Id="rId17" Type="http://schemas.openxmlformats.org/officeDocument/2006/relationships/image" Target="../media/image41.png"/><Relationship Id="rId2" Type="http://schemas.openxmlformats.org/officeDocument/2006/relationships/image" Target="../media/image26.png"/><Relationship Id="rId16" Type="http://schemas.openxmlformats.org/officeDocument/2006/relationships/image" Target="../media/image40.png"/><Relationship Id="rId1" Type="http://schemas.openxmlformats.org/officeDocument/2006/relationships/image" Target="../media/image25.png"/><Relationship Id="rId6" Type="http://schemas.openxmlformats.org/officeDocument/2006/relationships/image" Target="../media/image30.png"/><Relationship Id="rId11" Type="http://schemas.openxmlformats.org/officeDocument/2006/relationships/image" Target="../media/image35.png"/><Relationship Id="rId5" Type="http://schemas.openxmlformats.org/officeDocument/2006/relationships/image" Target="../media/image29.png"/><Relationship Id="rId15" Type="http://schemas.openxmlformats.org/officeDocument/2006/relationships/image" Target="../media/image39.png"/><Relationship Id="rId10" Type="http://schemas.openxmlformats.org/officeDocument/2006/relationships/image" Target="../media/image34.png"/><Relationship Id="rId4" Type="http://schemas.openxmlformats.org/officeDocument/2006/relationships/image" Target="../media/image28.png"/><Relationship Id="rId9" Type="http://schemas.openxmlformats.org/officeDocument/2006/relationships/image" Target="../media/image33.png"/><Relationship Id="rId14" Type="http://schemas.openxmlformats.org/officeDocument/2006/relationships/image" Target="../media/image38.png"/></Relationships>
</file>

<file path=xl/drawings/_rels/drawing6.xml.rels><?xml version="1.0" encoding="UTF-8" standalone="yes"?>
<Relationships xmlns="http://schemas.openxmlformats.org/package/2006/relationships"><Relationship Id="rId1" Type="http://schemas.openxmlformats.org/officeDocument/2006/relationships/image" Target="../media/image43.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6.xml"/><Relationship Id="rId2" Type="http://schemas.openxmlformats.org/officeDocument/2006/relationships/chart" Target="../charts/chart2.xml"/><Relationship Id="rId16" Type="http://schemas.openxmlformats.org/officeDocument/2006/relationships/image" Target="../media/image44.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8" Type="http://schemas.openxmlformats.org/officeDocument/2006/relationships/image" Target="../media/image50.png"/><Relationship Id="rId3" Type="http://schemas.openxmlformats.org/officeDocument/2006/relationships/chart" Target="../charts/chart17.xml"/><Relationship Id="rId7" Type="http://schemas.openxmlformats.org/officeDocument/2006/relationships/image" Target="../media/image49.png"/><Relationship Id="rId2" Type="http://schemas.openxmlformats.org/officeDocument/2006/relationships/image" Target="../media/image46.png"/><Relationship Id="rId1" Type="http://schemas.openxmlformats.org/officeDocument/2006/relationships/image" Target="../media/image45.png"/><Relationship Id="rId6" Type="http://schemas.openxmlformats.org/officeDocument/2006/relationships/image" Target="../media/image48.png"/><Relationship Id="rId5" Type="http://schemas.openxmlformats.org/officeDocument/2006/relationships/image" Target="../media/image47.png"/><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0</xdr:colOff>
      <xdr:row>55</xdr:row>
      <xdr:rowOff>10870</xdr:rowOff>
    </xdr:from>
    <xdr:to>
      <xdr:col>1</xdr:col>
      <xdr:colOff>3484806</xdr:colOff>
      <xdr:row>68</xdr:row>
      <xdr:rowOff>93487</xdr:rowOff>
    </xdr:to>
    <xdr:pic>
      <xdr:nvPicPr>
        <xdr:cNvPr id="2" name="Picture 1">
          <a:extLst>
            <a:ext uri="{FF2B5EF4-FFF2-40B4-BE49-F238E27FC236}">
              <a16:creationId xmlns:a16="http://schemas.microsoft.com/office/drawing/2014/main" id="{FF2A6076-ECB6-5C8F-9DEA-AC9097BE495E}"/>
            </a:ext>
          </a:extLst>
        </xdr:cNvPr>
        <xdr:cNvPicPr>
          <a:picLocks noChangeAspect="1"/>
        </xdr:cNvPicPr>
      </xdr:nvPicPr>
      <xdr:blipFill>
        <a:blip xmlns:r="http://schemas.openxmlformats.org/officeDocument/2006/relationships" r:embed="rId1"/>
        <a:stretch>
          <a:fillRect/>
        </a:stretch>
      </xdr:blipFill>
      <xdr:spPr>
        <a:xfrm>
          <a:off x="0" y="10286664"/>
          <a:ext cx="4885765" cy="2275384"/>
        </a:xfrm>
        <a:prstGeom prst="rect">
          <a:avLst/>
        </a:prstGeom>
      </xdr:spPr>
    </xdr:pic>
    <xdr:clientData/>
  </xdr:twoCellAnchor>
  <xdr:twoCellAnchor>
    <xdr:from>
      <xdr:col>0</xdr:col>
      <xdr:colOff>67236</xdr:colOff>
      <xdr:row>41</xdr:row>
      <xdr:rowOff>67234</xdr:rowOff>
    </xdr:from>
    <xdr:to>
      <xdr:col>1</xdr:col>
      <xdr:colOff>3868160</xdr:colOff>
      <xdr:row>52</xdr:row>
      <xdr:rowOff>135125</xdr:rowOff>
    </xdr:to>
    <xdr:pic>
      <xdr:nvPicPr>
        <xdr:cNvPr id="3" name="Picture 2">
          <a:extLst>
            <a:ext uri="{FF2B5EF4-FFF2-40B4-BE49-F238E27FC236}">
              <a16:creationId xmlns:a16="http://schemas.microsoft.com/office/drawing/2014/main" id="{372B956A-3B22-E259-C525-BFBCC16C9804}"/>
            </a:ext>
          </a:extLst>
        </xdr:cNvPr>
        <xdr:cNvPicPr>
          <a:picLocks noChangeAspect="1"/>
        </xdr:cNvPicPr>
      </xdr:nvPicPr>
      <xdr:blipFill>
        <a:blip xmlns:r="http://schemas.openxmlformats.org/officeDocument/2006/relationships" r:embed="rId2"/>
        <a:stretch>
          <a:fillRect/>
        </a:stretch>
      </xdr:blipFill>
      <xdr:spPr>
        <a:xfrm>
          <a:off x="67236" y="7821705"/>
          <a:ext cx="5177118" cy="1903526"/>
        </a:xfrm>
        <a:prstGeom prst="rect">
          <a:avLst/>
        </a:prstGeom>
      </xdr:spPr>
    </xdr:pic>
    <xdr:clientData/>
  </xdr:twoCellAnchor>
  <xdr:twoCellAnchor>
    <xdr:from>
      <xdr:col>1</xdr:col>
      <xdr:colOff>4133963</xdr:colOff>
      <xdr:row>41</xdr:row>
      <xdr:rowOff>40005</xdr:rowOff>
    </xdr:from>
    <xdr:to>
      <xdr:col>2</xdr:col>
      <xdr:colOff>1972236</xdr:colOff>
      <xdr:row>53</xdr:row>
      <xdr:rowOff>369</xdr:rowOff>
    </xdr:to>
    <xdr:pic>
      <xdr:nvPicPr>
        <xdr:cNvPr id="5" name="Picture 4">
          <a:extLst>
            <a:ext uri="{FF2B5EF4-FFF2-40B4-BE49-F238E27FC236}">
              <a16:creationId xmlns:a16="http://schemas.microsoft.com/office/drawing/2014/main" id="{0BCE216C-EA04-2336-0BB5-38183735B94E}"/>
            </a:ext>
          </a:extLst>
        </xdr:cNvPr>
        <xdr:cNvPicPr>
          <a:picLocks noChangeAspect="1"/>
        </xdr:cNvPicPr>
      </xdr:nvPicPr>
      <xdr:blipFill>
        <a:blip xmlns:r="http://schemas.openxmlformats.org/officeDocument/2006/relationships" r:embed="rId3"/>
        <a:stretch>
          <a:fillRect/>
        </a:stretch>
      </xdr:blipFill>
      <xdr:spPr>
        <a:xfrm>
          <a:off x="5523492" y="7962564"/>
          <a:ext cx="5066068" cy="1971707"/>
        </a:xfrm>
        <a:prstGeom prst="rect">
          <a:avLst/>
        </a:prstGeom>
      </xdr:spPr>
    </xdr:pic>
    <xdr:clientData/>
  </xdr:twoCellAnchor>
  <xdr:twoCellAnchor>
    <xdr:from>
      <xdr:col>1</xdr:col>
      <xdr:colOff>4049470</xdr:colOff>
      <xdr:row>54</xdr:row>
      <xdr:rowOff>77208</xdr:rowOff>
    </xdr:from>
    <xdr:to>
      <xdr:col>2</xdr:col>
      <xdr:colOff>2512022</xdr:colOff>
      <xdr:row>61</xdr:row>
      <xdr:rowOff>18187</xdr:rowOff>
    </xdr:to>
    <xdr:pic>
      <xdr:nvPicPr>
        <xdr:cNvPr id="6" name="Picture 5">
          <a:extLst>
            <a:ext uri="{FF2B5EF4-FFF2-40B4-BE49-F238E27FC236}">
              <a16:creationId xmlns:a16="http://schemas.microsoft.com/office/drawing/2014/main" id="{C9300F47-0C2B-F783-8706-9BAE28179F8F}"/>
            </a:ext>
          </a:extLst>
        </xdr:cNvPr>
        <xdr:cNvPicPr>
          <a:picLocks noChangeAspect="1"/>
        </xdr:cNvPicPr>
      </xdr:nvPicPr>
      <xdr:blipFill>
        <a:blip xmlns:r="http://schemas.openxmlformats.org/officeDocument/2006/relationships" r:embed="rId4"/>
        <a:stretch>
          <a:fillRect/>
        </a:stretch>
      </xdr:blipFill>
      <xdr:spPr>
        <a:xfrm>
          <a:off x="5438999" y="10184914"/>
          <a:ext cx="5686537" cy="1132836"/>
        </a:xfrm>
        <a:prstGeom prst="rect">
          <a:avLst/>
        </a:prstGeom>
      </xdr:spPr>
    </xdr:pic>
    <xdr:clientData/>
  </xdr:twoCellAnchor>
  <xdr:twoCellAnchor>
    <xdr:from>
      <xdr:col>0</xdr:col>
      <xdr:colOff>46007</xdr:colOff>
      <xdr:row>71</xdr:row>
      <xdr:rowOff>130277</xdr:rowOff>
    </xdr:from>
    <xdr:to>
      <xdr:col>1</xdr:col>
      <xdr:colOff>2523964</xdr:colOff>
      <xdr:row>84</xdr:row>
      <xdr:rowOff>94918</xdr:rowOff>
    </xdr:to>
    <xdr:pic>
      <xdr:nvPicPr>
        <xdr:cNvPr id="11" name="Picture 10">
          <a:extLst>
            <a:ext uri="{FF2B5EF4-FFF2-40B4-BE49-F238E27FC236}">
              <a16:creationId xmlns:a16="http://schemas.microsoft.com/office/drawing/2014/main" id="{760C4082-1E7E-A189-1A34-91C8623BCCB4}"/>
            </a:ext>
          </a:extLst>
        </xdr:cNvPr>
        <xdr:cNvPicPr>
          <a:picLocks noChangeAspect="1"/>
        </xdr:cNvPicPr>
      </xdr:nvPicPr>
      <xdr:blipFill>
        <a:blip xmlns:r="http://schemas.openxmlformats.org/officeDocument/2006/relationships" r:embed="rId5"/>
        <a:stretch>
          <a:fillRect/>
        </a:stretch>
      </xdr:blipFill>
      <xdr:spPr>
        <a:xfrm>
          <a:off x="46007" y="24636741"/>
          <a:ext cx="3863981" cy="22680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390525</xdr:colOff>
      <xdr:row>6</xdr:row>
      <xdr:rowOff>85725</xdr:rowOff>
    </xdr:from>
    <xdr:to>
      <xdr:col>1</xdr:col>
      <xdr:colOff>2992755</xdr:colOff>
      <xdr:row>6</xdr:row>
      <xdr:rowOff>1161940</xdr:rowOff>
    </xdr:to>
    <xdr:pic>
      <xdr:nvPicPr>
        <xdr:cNvPr id="4" name="Picture 3">
          <a:extLst>
            <a:ext uri="{FF2B5EF4-FFF2-40B4-BE49-F238E27FC236}">
              <a16:creationId xmlns:a16="http://schemas.microsoft.com/office/drawing/2014/main" id="{005A3C41-776F-473D-9292-4DD497DE19E3}"/>
            </a:ext>
          </a:extLst>
        </xdr:cNvPr>
        <xdr:cNvPicPr>
          <a:picLocks noChangeAspect="1"/>
        </xdr:cNvPicPr>
      </xdr:nvPicPr>
      <xdr:blipFill rotWithShape="1">
        <a:blip xmlns:r="http://schemas.openxmlformats.org/officeDocument/2006/relationships" r:embed="rId1"/>
        <a:srcRect b="18839"/>
        <a:stretch>
          <a:fillRect/>
        </a:stretch>
      </xdr:blipFill>
      <xdr:spPr>
        <a:xfrm>
          <a:off x="2105025" y="1666875"/>
          <a:ext cx="2598420" cy="1089550"/>
        </a:xfrm>
        <a:prstGeom prst="rect">
          <a:avLst/>
        </a:prstGeom>
      </xdr:spPr>
    </xdr:pic>
    <xdr:clientData/>
  </xdr:twoCellAnchor>
  <xdr:twoCellAnchor>
    <xdr:from>
      <xdr:col>0</xdr:col>
      <xdr:colOff>869576</xdr:colOff>
      <xdr:row>73</xdr:row>
      <xdr:rowOff>8966</xdr:rowOff>
    </xdr:from>
    <xdr:to>
      <xdr:col>2</xdr:col>
      <xdr:colOff>2133600</xdr:colOff>
      <xdr:row>89</xdr:row>
      <xdr:rowOff>8966</xdr:rowOff>
    </xdr:to>
    <xdr:pic>
      <xdr:nvPicPr>
        <xdr:cNvPr id="5" name="Picture 4">
          <a:extLst>
            <a:ext uri="{FF2B5EF4-FFF2-40B4-BE49-F238E27FC236}">
              <a16:creationId xmlns:a16="http://schemas.microsoft.com/office/drawing/2014/main" id="{682A912B-8347-4292-931A-E0F5CA0CE4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9576" y="18081813"/>
          <a:ext cx="6499412" cy="2868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676052</xdr:colOff>
      <xdr:row>88</xdr:row>
      <xdr:rowOff>142090</xdr:rowOff>
    </xdr:from>
    <xdr:to>
      <xdr:col>2</xdr:col>
      <xdr:colOff>2140997</xdr:colOff>
      <xdr:row>105</xdr:row>
      <xdr:rowOff>51994</xdr:rowOff>
    </xdr:to>
    <xdr:pic>
      <xdr:nvPicPr>
        <xdr:cNvPr id="6" name="Picture 5">
          <a:extLst>
            <a:ext uri="{FF2B5EF4-FFF2-40B4-BE49-F238E27FC236}">
              <a16:creationId xmlns:a16="http://schemas.microsoft.com/office/drawing/2014/main" id="{CFE1CD5E-1239-4E69-BC6A-3454CA1A8D83}"/>
            </a:ext>
          </a:extLst>
        </xdr:cNvPr>
        <xdr:cNvPicPr>
          <a:picLocks noChangeAspect="1"/>
        </xdr:cNvPicPr>
      </xdr:nvPicPr>
      <xdr:blipFill>
        <a:blip xmlns:r="http://schemas.openxmlformats.org/officeDocument/2006/relationships" r:embed="rId3"/>
        <a:stretch>
          <a:fillRect/>
        </a:stretch>
      </xdr:blipFill>
      <xdr:spPr>
        <a:xfrm>
          <a:off x="676052" y="20368708"/>
          <a:ext cx="6709298" cy="2901874"/>
        </a:xfrm>
        <a:prstGeom prst="rect">
          <a:avLst/>
        </a:prstGeom>
      </xdr:spPr>
    </xdr:pic>
    <xdr:clientData/>
  </xdr:twoCellAnchor>
  <xdr:twoCellAnchor>
    <xdr:from>
      <xdr:col>2</xdr:col>
      <xdr:colOff>2615900</xdr:colOff>
      <xdr:row>28</xdr:row>
      <xdr:rowOff>1351310</xdr:rowOff>
    </xdr:from>
    <xdr:to>
      <xdr:col>2</xdr:col>
      <xdr:colOff>3111595</xdr:colOff>
      <xdr:row>28</xdr:row>
      <xdr:rowOff>1574761</xdr:rowOff>
    </xdr:to>
    <xdr:pic>
      <xdr:nvPicPr>
        <xdr:cNvPr id="18" name="Picture 4">
          <a:extLst>
            <a:ext uri="{FF2B5EF4-FFF2-40B4-BE49-F238E27FC236}">
              <a16:creationId xmlns:a16="http://schemas.microsoft.com/office/drawing/2014/main" id="{B00F3DB3-8E70-4C5E-99FE-2F29D3EB1B14}"/>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51637" t="77070" r="34578" b="14797"/>
        <a:stretch>
          <a:fillRect/>
        </a:stretch>
      </xdr:blipFill>
      <xdr:spPr bwMode="auto">
        <a:xfrm>
          <a:off x="7851288" y="11714510"/>
          <a:ext cx="495695" cy="2234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121360</xdr:colOff>
      <xdr:row>28</xdr:row>
      <xdr:rowOff>132565</xdr:rowOff>
    </xdr:from>
    <xdr:to>
      <xdr:col>2</xdr:col>
      <xdr:colOff>3038140</xdr:colOff>
      <xdr:row>28</xdr:row>
      <xdr:rowOff>1317022</xdr:rowOff>
    </xdr:to>
    <xdr:pic>
      <xdr:nvPicPr>
        <xdr:cNvPr id="20" name="Picture 19">
          <a:extLst>
            <a:ext uri="{FF2B5EF4-FFF2-40B4-BE49-F238E27FC236}">
              <a16:creationId xmlns:a16="http://schemas.microsoft.com/office/drawing/2014/main" id="{EEB68A9D-B7EA-4483-A23F-59F88BB63B1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362015" y="10499575"/>
          <a:ext cx="2916780" cy="11844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304800</xdr:colOff>
      <xdr:row>28</xdr:row>
      <xdr:rowOff>161363</xdr:rowOff>
    </xdr:from>
    <xdr:to>
      <xdr:col>3</xdr:col>
      <xdr:colOff>3255178</xdr:colOff>
      <xdr:row>28</xdr:row>
      <xdr:rowOff>1461806</xdr:rowOff>
    </xdr:to>
    <xdr:pic>
      <xdr:nvPicPr>
        <xdr:cNvPr id="21" name="Picture 20">
          <a:extLst>
            <a:ext uri="{FF2B5EF4-FFF2-40B4-BE49-F238E27FC236}">
              <a16:creationId xmlns:a16="http://schemas.microsoft.com/office/drawing/2014/main" id="{07D801C8-099F-4A75-8169-3E333356088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724900" y="10526468"/>
          <a:ext cx="2950378" cy="13004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295274</xdr:colOff>
      <xdr:row>28</xdr:row>
      <xdr:rowOff>132540</xdr:rowOff>
    </xdr:from>
    <xdr:to>
      <xdr:col>5</xdr:col>
      <xdr:colOff>3065185</xdr:colOff>
      <xdr:row>28</xdr:row>
      <xdr:rowOff>1272541</xdr:rowOff>
    </xdr:to>
    <xdr:pic>
      <xdr:nvPicPr>
        <xdr:cNvPr id="23" name="Picture 22">
          <a:extLst>
            <a:ext uri="{FF2B5EF4-FFF2-40B4-BE49-F238E27FC236}">
              <a16:creationId xmlns:a16="http://schemas.microsoft.com/office/drawing/2014/main" id="{46B2E053-6C0F-4700-AA74-A341B4AB69ED}"/>
            </a:ext>
          </a:extLst>
        </xdr:cNvPr>
        <xdr:cNvPicPr>
          <a:picLocks noChangeAspect="1"/>
        </xdr:cNvPicPr>
      </xdr:nvPicPr>
      <xdr:blipFill>
        <a:blip xmlns:r="http://schemas.openxmlformats.org/officeDocument/2006/relationships" r:embed="rId7"/>
        <a:stretch>
          <a:fillRect/>
        </a:stretch>
      </xdr:blipFill>
      <xdr:spPr>
        <a:xfrm>
          <a:off x="12723494" y="10499550"/>
          <a:ext cx="2769911" cy="11400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680086</xdr:colOff>
      <xdr:row>1</xdr:row>
      <xdr:rowOff>151540</xdr:rowOff>
    </xdr:from>
    <xdr:to>
      <xdr:col>15</xdr:col>
      <xdr:colOff>1283970</xdr:colOff>
      <xdr:row>11</xdr:row>
      <xdr:rowOff>117102</xdr:rowOff>
    </xdr:to>
    <xdr:pic>
      <xdr:nvPicPr>
        <xdr:cNvPr id="3" name="Picture 2">
          <a:extLst>
            <a:ext uri="{FF2B5EF4-FFF2-40B4-BE49-F238E27FC236}">
              <a16:creationId xmlns:a16="http://schemas.microsoft.com/office/drawing/2014/main" id="{44FD2F25-1F20-82A0-F230-C61BDB040D97}"/>
            </a:ext>
            <a:ext uri="{147F2762-F138-4A5C-976F-8EAC2B608ADB}">
              <a16:predDERef xmlns:a16="http://schemas.microsoft.com/office/drawing/2014/main" pred="{BB0EC946-BDB6-09C9-DB60-21B21720AE71}"/>
            </a:ext>
          </a:extLst>
        </xdr:cNvPr>
        <xdr:cNvPicPr>
          <a:picLocks noChangeAspect="1"/>
        </xdr:cNvPicPr>
      </xdr:nvPicPr>
      <xdr:blipFill>
        <a:blip xmlns:r="http://schemas.openxmlformats.org/officeDocument/2006/relationships" r:embed="rId1"/>
        <a:stretch>
          <a:fillRect/>
        </a:stretch>
      </xdr:blipFill>
      <xdr:spPr>
        <a:xfrm>
          <a:off x="19072861" y="475390"/>
          <a:ext cx="2651759" cy="2651612"/>
        </a:xfrm>
        <a:prstGeom prst="rect">
          <a:avLst/>
        </a:prstGeom>
      </xdr:spPr>
    </xdr:pic>
    <xdr:clientData/>
  </xdr:twoCellAnchor>
  <xdr:twoCellAnchor>
    <xdr:from>
      <xdr:col>15</xdr:col>
      <xdr:colOff>1282561</xdr:colOff>
      <xdr:row>0</xdr:row>
      <xdr:rowOff>35035</xdr:rowOff>
    </xdr:from>
    <xdr:to>
      <xdr:col>15</xdr:col>
      <xdr:colOff>1282561</xdr:colOff>
      <xdr:row>0</xdr:row>
      <xdr:rowOff>321779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1306168</xdr:colOff>
      <xdr:row>0</xdr:row>
      <xdr:rowOff>830</xdr:rowOff>
    </xdr:from>
    <xdr:to>
      <xdr:col>15</xdr:col>
      <xdr:colOff>1546362</xdr:colOff>
      <xdr:row>1</xdr:row>
      <xdr:rowOff>36528</xdr:rowOff>
    </xdr:to>
    <xdr:sp macro="" textlink="">
      <xdr:nvSpPr>
        <xdr:cNvPr id="8" name="TextBox 7">
          <a:extLst>
            <a:ext uri="{FF2B5EF4-FFF2-40B4-BE49-F238E27FC236}">
              <a16:creationId xmlns:a16="http://schemas.microsoft.com/office/drawing/2014/main" id="{1DDDC35D-79DC-FE8D-E36B-A215903DCB00}"/>
            </a:ext>
            <a:ext uri="{147F2762-F138-4A5C-976F-8EAC2B608ADB}">
              <a16:predDERef xmlns:a16="http://schemas.microsoft.com/office/drawing/2014/main" pred="{BB0EC946-BDB6-09C9-DB60-21B21720AE71}"/>
            </a:ext>
          </a:extLst>
        </xdr:cNvPr>
        <xdr:cNvSpPr txBox="1"/>
      </xdr:nvSpPr>
      <xdr:spPr>
        <a:xfrm>
          <a:off x="13183843" y="830"/>
          <a:ext cx="240194" cy="35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xdr:from>
      <xdr:col>14</xdr:col>
      <xdr:colOff>1762125</xdr:colOff>
      <xdr:row>1</xdr:row>
      <xdr:rowOff>342900</xdr:rowOff>
    </xdr:from>
    <xdr:to>
      <xdr:col>15</xdr:col>
      <xdr:colOff>514350</xdr:colOff>
      <xdr:row>2</xdr:row>
      <xdr:rowOff>152400</xdr:rowOff>
    </xdr:to>
    <xdr:sp macro="" textlink="">
      <xdr:nvSpPr>
        <xdr:cNvPr id="2" name="TextBox 1">
          <a:extLst>
            <a:ext uri="{FF2B5EF4-FFF2-40B4-BE49-F238E27FC236}">
              <a16:creationId xmlns:a16="http://schemas.microsoft.com/office/drawing/2014/main" id="{80ECFE68-2405-4D5F-B7D1-AD190066BC3E}"/>
            </a:ext>
            <a:ext uri="{147F2762-F138-4A5C-976F-8EAC2B608ADB}">
              <a16:predDERef xmlns:a16="http://schemas.microsoft.com/office/drawing/2014/main" pred="{1DDDC35D-79DC-FE8D-E36B-A215903DCB00}"/>
            </a:ext>
          </a:extLst>
        </xdr:cNvPr>
        <xdr:cNvSpPr txBox="1"/>
      </xdr:nvSpPr>
      <xdr:spPr>
        <a:xfrm>
          <a:off x="20793075" y="666750"/>
          <a:ext cx="8001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r>
            <a:rPr lang="en-US" sz="1100">
              <a:solidFill>
                <a:schemeClr val="dk1"/>
              </a:solidFill>
              <a:latin typeface="+mn-lt"/>
              <a:ea typeface="+mn-lt"/>
              <a:cs typeface="+mn-lt"/>
            </a:rPr>
            <a:t>Kitchen</a:t>
          </a:r>
        </a:p>
      </xdr:txBody>
    </xdr:sp>
    <xdr:clientData/>
  </xdr:twoCellAnchor>
  <xdr:twoCellAnchor>
    <xdr:from>
      <xdr:col>14</xdr:col>
      <xdr:colOff>1819275</xdr:colOff>
      <xdr:row>6</xdr:row>
      <xdr:rowOff>104775</xdr:rowOff>
    </xdr:from>
    <xdr:to>
      <xdr:col>15</xdr:col>
      <xdr:colOff>390525</xdr:colOff>
      <xdr:row>8</xdr:row>
      <xdr:rowOff>28575</xdr:rowOff>
    </xdr:to>
    <xdr:sp macro="" textlink="">
      <xdr:nvSpPr>
        <xdr:cNvPr id="5" name="TextBox 4">
          <a:extLst>
            <a:ext uri="{FF2B5EF4-FFF2-40B4-BE49-F238E27FC236}">
              <a16:creationId xmlns:a16="http://schemas.microsoft.com/office/drawing/2014/main" id="{8360D675-FD4B-4C5C-8EA3-65B708912D2D}"/>
            </a:ext>
            <a:ext uri="{147F2762-F138-4A5C-976F-8EAC2B608ADB}">
              <a16:predDERef xmlns:a16="http://schemas.microsoft.com/office/drawing/2014/main" pred="{80ECFE68-2405-4D5F-B7D1-AD190066BC3E}"/>
            </a:ext>
          </a:extLst>
        </xdr:cNvPr>
        <xdr:cNvSpPr txBox="1"/>
      </xdr:nvSpPr>
      <xdr:spPr>
        <a:xfrm>
          <a:off x="20850225" y="2171700"/>
          <a:ext cx="8477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r>
            <a:rPr lang="en-US" sz="1100">
              <a:solidFill>
                <a:schemeClr val="dk1"/>
              </a:solidFill>
              <a:latin typeface="+mn-lt"/>
              <a:ea typeface="+mn-lt"/>
              <a:cs typeface="+mn-lt"/>
            </a:rPr>
            <a:t>Dining</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198289</xdr:colOff>
      <xdr:row>75</xdr:row>
      <xdr:rowOff>117059</xdr:rowOff>
    </xdr:from>
    <xdr:to>
      <xdr:col>6</xdr:col>
      <xdr:colOff>191701</xdr:colOff>
      <xdr:row>95</xdr:row>
      <xdr:rowOff>151439</xdr:rowOff>
    </xdr:to>
    <xdr:pic>
      <xdr:nvPicPr>
        <xdr:cNvPr id="15" name="Picture 14">
          <a:extLst>
            <a:ext uri="{FF2B5EF4-FFF2-40B4-BE49-F238E27FC236}">
              <a16:creationId xmlns:a16="http://schemas.microsoft.com/office/drawing/2014/main" id="{31642C02-63B4-441B-AA72-92728104654E}"/>
            </a:ext>
          </a:extLst>
        </xdr:cNvPr>
        <xdr:cNvPicPr>
          <a:picLocks noChangeAspect="1"/>
        </xdr:cNvPicPr>
      </xdr:nvPicPr>
      <xdr:blipFill>
        <a:blip xmlns:r="http://schemas.openxmlformats.org/officeDocument/2006/relationships" r:embed="rId1"/>
        <a:stretch>
          <a:fillRect/>
        </a:stretch>
      </xdr:blipFill>
      <xdr:spPr>
        <a:xfrm>
          <a:off x="3582465" y="16163883"/>
          <a:ext cx="4912795" cy="3396144"/>
        </a:xfrm>
        <a:prstGeom prst="rect">
          <a:avLst/>
        </a:prstGeom>
      </xdr:spPr>
    </xdr:pic>
    <xdr:clientData/>
  </xdr:twoCellAnchor>
  <xdr:twoCellAnchor>
    <xdr:from>
      <xdr:col>3</xdr:col>
      <xdr:colOff>230757</xdr:colOff>
      <xdr:row>97</xdr:row>
      <xdr:rowOff>160439</xdr:rowOff>
    </xdr:from>
    <xdr:to>
      <xdr:col>6</xdr:col>
      <xdr:colOff>307118</xdr:colOff>
      <xdr:row>107</xdr:row>
      <xdr:rowOff>172531</xdr:rowOff>
    </xdr:to>
    <xdr:pic>
      <xdr:nvPicPr>
        <xdr:cNvPr id="16" name="Picture 15">
          <a:extLst>
            <a:ext uri="{FF2B5EF4-FFF2-40B4-BE49-F238E27FC236}">
              <a16:creationId xmlns:a16="http://schemas.microsoft.com/office/drawing/2014/main" id="{A422335F-25AA-4AD7-80AC-F9D96C7BF1D7}"/>
            </a:ext>
          </a:extLst>
        </xdr:cNvPr>
        <xdr:cNvPicPr>
          <a:picLocks noChangeAspect="1"/>
        </xdr:cNvPicPr>
      </xdr:nvPicPr>
      <xdr:blipFill>
        <a:blip xmlns:r="http://schemas.openxmlformats.org/officeDocument/2006/relationships" r:embed="rId2"/>
        <a:stretch>
          <a:fillRect/>
        </a:stretch>
      </xdr:blipFill>
      <xdr:spPr>
        <a:xfrm>
          <a:off x="3614933" y="19905204"/>
          <a:ext cx="4995744" cy="1692974"/>
        </a:xfrm>
        <a:prstGeom prst="rect">
          <a:avLst/>
        </a:prstGeom>
      </xdr:spPr>
    </xdr:pic>
    <xdr:clientData/>
  </xdr:twoCellAnchor>
  <xdr:twoCellAnchor>
    <xdr:from>
      <xdr:col>0</xdr:col>
      <xdr:colOff>45223</xdr:colOff>
      <xdr:row>76</xdr:row>
      <xdr:rowOff>52098</xdr:rowOff>
    </xdr:from>
    <xdr:to>
      <xdr:col>3</xdr:col>
      <xdr:colOff>21688</xdr:colOff>
      <xdr:row>105</xdr:row>
      <xdr:rowOff>5715</xdr:rowOff>
    </xdr:to>
    <xdr:pic>
      <xdr:nvPicPr>
        <xdr:cNvPr id="17" name="Picture 1">
          <a:extLst>
            <a:ext uri="{FF2B5EF4-FFF2-40B4-BE49-F238E27FC236}">
              <a16:creationId xmlns:a16="http://schemas.microsoft.com/office/drawing/2014/main" id="{89E0B566-76BC-4D29-AD36-7E3EDBDBEC13}"/>
            </a:ext>
          </a:extLst>
        </xdr:cNvPr>
        <xdr:cNvPicPr>
          <a:picLocks noChangeAspect="1"/>
        </xdr:cNvPicPr>
      </xdr:nvPicPr>
      <xdr:blipFill>
        <a:blip xmlns:r="http://schemas.openxmlformats.org/officeDocument/2006/relationships" r:embed="rId3"/>
        <a:stretch>
          <a:fillRect/>
        </a:stretch>
      </xdr:blipFill>
      <xdr:spPr>
        <a:xfrm>
          <a:off x="45223" y="15623402"/>
          <a:ext cx="3248095" cy="4997726"/>
        </a:xfrm>
        <a:prstGeom prst="rect">
          <a:avLst/>
        </a:prstGeom>
      </xdr:spPr>
    </xdr:pic>
    <xdr:clientData/>
  </xdr:twoCellAnchor>
  <xdr:twoCellAnchor>
    <xdr:from>
      <xdr:col>5</xdr:col>
      <xdr:colOff>853732</xdr:colOff>
      <xdr:row>53</xdr:row>
      <xdr:rowOff>242719</xdr:rowOff>
    </xdr:from>
    <xdr:to>
      <xdr:col>11</xdr:col>
      <xdr:colOff>478964</xdr:colOff>
      <xdr:row>66</xdr:row>
      <xdr:rowOff>30030</xdr:rowOff>
    </xdr:to>
    <xdr:pic>
      <xdr:nvPicPr>
        <xdr:cNvPr id="18" name="Picture 17">
          <a:extLst>
            <a:ext uri="{FF2B5EF4-FFF2-40B4-BE49-F238E27FC236}">
              <a16:creationId xmlns:a16="http://schemas.microsoft.com/office/drawing/2014/main" id="{CE11BA7D-1C13-4799-B19E-57B11FD12712}"/>
            </a:ext>
          </a:extLst>
        </xdr:cNvPr>
        <xdr:cNvPicPr>
          <a:picLocks noChangeAspect="1"/>
        </xdr:cNvPicPr>
      </xdr:nvPicPr>
      <xdr:blipFill>
        <a:blip xmlns:r="http://schemas.openxmlformats.org/officeDocument/2006/relationships" r:embed="rId4"/>
        <a:stretch>
          <a:fillRect/>
        </a:stretch>
      </xdr:blipFill>
      <xdr:spPr>
        <a:xfrm>
          <a:off x="8070320" y="12737278"/>
          <a:ext cx="6505644" cy="2140546"/>
        </a:xfrm>
        <a:prstGeom prst="rect">
          <a:avLst/>
        </a:prstGeom>
      </xdr:spPr>
    </xdr:pic>
    <xdr:clientData/>
  </xdr:twoCellAnchor>
  <xdr:twoCellAnchor>
    <xdr:from>
      <xdr:col>7</xdr:col>
      <xdr:colOff>194062</xdr:colOff>
      <xdr:row>77</xdr:row>
      <xdr:rowOff>163525</xdr:rowOff>
    </xdr:from>
    <xdr:to>
      <xdr:col>10</xdr:col>
      <xdr:colOff>436929</xdr:colOff>
      <xdr:row>104</xdr:row>
      <xdr:rowOff>97145</xdr:rowOff>
    </xdr:to>
    <xdr:pic>
      <xdr:nvPicPr>
        <xdr:cNvPr id="19" name="Picture 18">
          <a:extLst>
            <a:ext uri="{FF2B5EF4-FFF2-40B4-BE49-F238E27FC236}">
              <a16:creationId xmlns:a16="http://schemas.microsoft.com/office/drawing/2014/main" id="{835E49ED-8B20-427D-88D9-FB78EEA9C32E}"/>
            </a:ext>
          </a:extLst>
        </xdr:cNvPr>
        <xdr:cNvPicPr>
          <a:picLocks noChangeAspect="1"/>
        </xdr:cNvPicPr>
      </xdr:nvPicPr>
      <xdr:blipFill>
        <a:blip xmlns:r="http://schemas.openxmlformats.org/officeDocument/2006/relationships" r:embed="rId5"/>
        <a:stretch>
          <a:fillRect/>
        </a:stretch>
      </xdr:blipFill>
      <xdr:spPr>
        <a:xfrm>
          <a:off x="9785323" y="15908764"/>
          <a:ext cx="4145218" cy="4633669"/>
        </a:xfrm>
        <a:prstGeom prst="rect">
          <a:avLst/>
        </a:prstGeom>
      </xdr:spPr>
    </xdr:pic>
    <xdr:clientData/>
  </xdr:twoCellAnchor>
  <xdr:twoCellAnchor>
    <xdr:from>
      <xdr:col>10</xdr:col>
      <xdr:colOff>124147</xdr:colOff>
      <xdr:row>97</xdr:row>
      <xdr:rowOff>102996</xdr:rowOff>
    </xdr:from>
    <xdr:to>
      <xdr:col>20</xdr:col>
      <xdr:colOff>432011</xdr:colOff>
      <xdr:row>106</xdr:row>
      <xdr:rowOff>97043</xdr:rowOff>
    </xdr:to>
    <xdr:pic>
      <xdr:nvPicPr>
        <xdr:cNvPr id="20" name="Picture 19">
          <a:extLst>
            <a:ext uri="{FF2B5EF4-FFF2-40B4-BE49-F238E27FC236}">
              <a16:creationId xmlns:a16="http://schemas.microsoft.com/office/drawing/2014/main" id="{B33520E0-C962-432D-AF78-C5BAA398C1BF}"/>
            </a:ext>
          </a:extLst>
        </xdr:cNvPr>
        <xdr:cNvPicPr>
          <a:picLocks noChangeAspect="1"/>
        </xdr:cNvPicPr>
      </xdr:nvPicPr>
      <xdr:blipFill>
        <a:blip xmlns:r="http://schemas.openxmlformats.org/officeDocument/2006/relationships" r:embed="rId6"/>
        <a:stretch>
          <a:fillRect/>
        </a:stretch>
      </xdr:blipFill>
      <xdr:spPr>
        <a:xfrm>
          <a:off x="13739294" y="19847761"/>
          <a:ext cx="5204835" cy="1506841"/>
        </a:xfrm>
        <a:prstGeom prst="rect">
          <a:avLst/>
        </a:prstGeom>
      </xdr:spPr>
    </xdr:pic>
    <xdr:clientData/>
  </xdr:twoCellAnchor>
  <xdr:twoCellAnchor>
    <xdr:from>
      <xdr:col>10</xdr:col>
      <xdr:colOff>193679</xdr:colOff>
      <xdr:row>77</xdr:row>
      <xdr:rowOff>38680</xdr:rowOff>
    </xdr:from>
    <xdr:to>
      <xdr:col>20</xdr:col>
      <xdr:colOff>123263</xdr:colOff>
      <xdr:row>95</xdr:row>
      <xdr:rowOff>118204</xdr:rowOff>
    </xdr:to>
    <xdr:pic>
      <xdr:nvPicPr>
        <xdr:cNvPr id="21" name="Picture 20">
          <a:extLst>
            <a:ext uri="{FF2B5EF4-FFF2-40B4-BE49-F238E27FC236}">
              <a16:creationId xmlns:a16="http://schemas.microsoft.com/office/drawing/2014/main" id="{A9C6C0A8-92D2-423D-B84F-29A3AA1A3508}"/>
            </a:ext>
          </a:extLst>
        </xdr:cNvPr>
        <xdr:cNvPicPr>
          <a:picLocks noChangeAspect="1"/>
        </xdr:cNvPicPr>
      </xdr:nvPicPr>
      <xdr:blipFill>
        <a:blip xmlns:r="http://schemas.openxmlformats.org/officeDocument/2006/relationships" r:embed="rId7"/>
        <a:stretch>
          <a:fillRect/>
        </a:stretch>
      </xdr:blipFill>
      <xdr:spPr>
        <a:xfrm>
          <a:off x="13808826" y="16421680"/>
          <a:ext cx="4826555" cy="3105112"/>
        </a:xfrm>
        <a:prstGeom prst="rect">
          <a:avLst/>
        </a:prstGeom>
      </xdr:spPr>
    </xdr:pic>
    <xdr:clientData/>
  </xdr:twoCellAnchor>
  <xdr:twoCellAnchor>
    <xdr:from>
      <xdr:col>0</xdr:col>
      <xdr:colOff>282271</xdr:colOff>
      <xdr:row>69</xdr:row>
      <xdr:rowOff>7620</xdr:rowOff>
    </xdr:from>
    <xdr:to>
      <xdr:col>3</xdr:col>
      <xdr:colOff>1274196</xdr:colOff>
      <xdr:row>76</xdr:row>
      <xdr:rowOff>54076</xdr:rowOff>
    </xdr:to>
    <xdr:pic>
      <xdr:nvPicPr>
        <xdr:cNvPr id="22" name="Picture 21">
          <a:extLst>
            <a:ext uri="{FF2B5EF4-FFF2-40B4-BE49-F238E27FC236}">
              <a16:creationId xmlns:a16="http://schemas.microsoft.com/office/drawing/2014/main" id="{6599AB33-3A3C-4631-C1E4-437FB4C560C4}"/>
            </a:ext>
          </a:extLst>
        </xdr:cNvPr>
        <xdr:cNvPicPr>
          <a:picLocks noChangeAspect="1"/>
        </xdr:cNvPicPr>
      </xdr:nvPicPr>
      <xdr:blipFill>
        <a:blip xmlns:r="http://schemas.openxmlformats.org/officeDocument/2006/relationships" r:embed="rId8"/>
        <a:stretch>
          <a:fillRect/>
        </a:stretch>
      </xdr:blipFill>
      <xdr:spPr>
        <a:xfrm>
          <a:off x="282271" y="14170881"/>
          <a:ext cx="4372555" cy="1452594"/>
        </a:xfrm>
        <a:prstGeom prst="rect">
          <a:avLst/>
        </a:prstGeom>
      </xdr:spPr>
    </xdr:pic>
    <xdr:clientData/>
  </xdr:twoCellAnchor>
  <xdr:twoCellAnchor>
    <xdr:from>
      <xdr:col>7</xdr:col>
      <xdr:colOff>298836</xdr:colOff>
      <xdr:row>68</xdr:row>
      <xdr:rowOff>135096</xdr:rowOff>
    </xdr:from>
    <xdr:to>
      <xdr:col>13</xdr:col>
      <xdr:colOff>397944</xdr:colOff>
      <xdr:row>75</xdr:row>
      <xdr:rowOff>157210</xdr:rowOff>
    </xdr:to>
    <xdr:pic>
      <xdr:nvPicPr>
        <xdr:cNvPr id="23" name="Picture 22">
          <a:extLst>
            <a:ext uri="{FF2B5EF4-FFF2-40B4-BE49-F238E27FC236}">
              <a16:creationId xmlns:a16="http://schemas.microsoft.com/office/drawing/2014/main" id="{D20CA670-59FC-E7D2-DB58-9403F530095C}"/>
            </a:ext>
          </a:extLst>
        </xdr:cNvPr>
        <xdr:cNvPicPr>
          <a:picLocks noChangeAspect="1"/>
        </xdr:cNvPicPr>
      </xdr:nvPicPr>
      <xdr:blipFill>
        <a:blip xmlns:r="http://schemas.openxmlformats.org/officeDocument/2006/relationships" r:embed="rId9"/>
        <a:stretch>
          <a:fillRect/>
        </a:stretch>
      </xdr:blipFill>
      <xdr:spPr>
        <a:xfrm>
          <a:off x="9890097" y="14124422"/>
          <a:ext cx="5461766" cy="1424443"/>
        </a:xfrm>
        <a:prstGeom prst="rect">
          <a:avLst/>
        </a:prstGeom>
      </xdr:spPr>
    </xdr:pic>
    <xdr:clientData/>
  </xdr:twoCellAnchor>
  <xdr:twoCellAnchor>
    <xdr:from>
      <xdr:col>12</xdr:col>
      <xdr:colOff>125170</xdr:colOff>
      <xdr:row>55</xdr:row>
      <xdr:rowOff>126338</xdr:rowOff>
    </xdr:from>
    <xdr:to>
      <xdr:col>25</xdr:col>
      <xdr:colOff>382905</xdr:colOff>
      <xdr:row>66</xdr:row>
      <xdr:rowOff>46168</xdr:rowOff>
    </xdr:to>
    <xdr:pic>
      <xdr:nvPicPr>
        <xdr:cNvPr id="24" name="Picture 23">
          <a:extLst>
            <a:ext uri="{FF2B5EF4-FFF2-40B4-BE49-F238E27FC236}">
              <a16:creationId xmlns:a16="http://schemas.microsoft.com/office/drawing/2014/main" id="{A120E7DE-A329-1507-668D-26780BCB396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4704023" y="12867426"/>
          <a:ext cx="6801970" cy="17704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408017</xdr:colOff>
      <xdr:row>70</xdr:row>
      <xdr:rowOff>74035</xdr:rowOff>
    </xdr:from>
    <xdr:to>
      <xdr:col>32</xdr:col>
      <xdr:colOff>211229</xdr:colOff>
      <xdr:row>93</xdr:row>
      <xdr:rowOff>156883</xdr:rowOff>
    </xdr:to>
    <xdr:pic>
      <xdr:nvPicPr>
        <xdr:cNvPr id="25" name="Picture 24">
          <a:extLst>
            <a:ext uri="{FF2B5EF4-FFF2-40B4-BE49-F238E27FC236}">
              <a16:creationId xmlns:a16="http://schemas.microsoft.com/office/drawing/2014/main" id="{85E44CAD-0AF9-ECCE-4C27-BE84AABF8FA5}"/>
            </a:ext>
          </a:extLst>
        </xdr:cNvPr>
        <xdr:cNvPicPr>
          <a:picLocks noChangeAspect="1"/>
        </xdr:cNvPicPr>
      </xdr:nvPicPr>
      <xdr:blipFill>
        <a:blip xmlns:r="http://schemas.openxmlformats.org/officeDocument/2006/relationships" r:embed="rId11"/>
        <a:stretch>
          <a:fillRect/>
        </a:stretch>
      </xdr:blipFill>
      <xdr:spPr>
        <a:xfrm>
          <a:off x="20892370" y="15706241"/>
          <a:ext cx="4375212" cy="413937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35</xdr:row>
      <xdr:rowOff>161012</xdr:rowOff>
    </xdr:from>
    <xdr:to>
      <xdr:col>3</xdr:col>
      <xdr:colOff>1657602</xdr:colOff>
      <xdr:row>66</xdr:row>
      <xdr:rowOff>943</xdr:rowOff>
    </xdr:to>
    <xdr:pic>
      <xdr:nvPicPr>
        <xdr:cNvPr id="3" name="Picture 2">
          <a:extLst>
            <a:ext uri="{FF2B5EF4-FFF2-40B4-BE49-F238E27FC236}">
              <a16:creationId xmlns:a16="http://schemas.microsoft.com/office/drawing/2014/main" id="{402B393C-3A1B-5D8C-FC09-78C8977840C6}"/>
            </a:ext>
          </a:extLst>
        </xdr:cNvPr>
        <xdr:cNvPicPr>
          <a:picLocks noChangeAspect="1"/>
        </xdr:cNvPicPr>
      </xdr:nvPicPr>
      <xdr:blipFill>
        <a:blip xmlns:r="http://schemas.openxmlformats.org/officeDocument/2006/relationships" r:embed="rId1"/>
        <a:stretch>
          <a:fillRect/>
        </a:stretch>
      </xdr:blipFill>
      <xdr:spPr>
        <a:xfrm>
          <a:off x="0" y="6786644"/>
          <a:ext cx="6241199" cy="5023959"/>
        </a:xfrm>
        <a:prstGeom prst="rect">
          <a:avLst/>
        </a:prstGeom>
      </xdr:spPr>
    </xdr:pic>
    <xdr:clientData/>
  </xdr:twoCellAnchor>
  <xdr:twoCellAnchor>
    <xdr:from>
      <xdr:col>4</xdr:col>
      <xdr:colOff>177752</xdr:colOff>
      <xdr:row>37</xdr:row>
      <xdr:rowOff>148443</xdr:rowOff>
    </xdr:from>
    <xdr:to>
      <xdr:col>10</xdr:col>
      <xdr:colOff>299232</xdr:colOff>
      <xdr:row>41</xdr:row>
      <xdr:rowOff>41867</xdr:rowOff>
    </xdr:to>
    <xdr:pic>
      <xdr:nvPicPr>
        <xdr:cNvPr id="4" name="Picture 3">
          <a:extLst>
            <a:ext uri="{FF2B5EF4-FFF2-40B4-BE49-F238E27FC236}">
              <a16:creationId xmlns:a16="http://schemas.microsoft.com/office/drawing/2014/main" id="{FB71FE12-8A5C-D369-F585-13A86E275496}"/>
            </a:ext>
          </a:extLst>
        </xdr:cNvPr>
        <xdr:cNvPicPr>
          <a:picLocks noChangeAspect="1"/>
        </xdr:cNvPicPr>
      </xdr:nvPicPr>
      <xdr:blipFill>
        <a:blip xmlns:r="http://schemas.openxmlformats.org/officeDocument/2006/relationships" r:embed="rId2"/>
        <a:stretch>
          <a:fillRect/>
        </a:stretch>
      </xdr:blipFill>
      <xdr:spPr>
        <a:xfrm>
          <a:off x="6803384" y="7674240"/>
          <a:ext cx="8399982" cy="563315"/>
        </a:xfrm>
        <a:prstGeom prst="rect">
          <a:avLst/>
        </a:prstGeom>
      </xdr:spPr>
    </xdr:pic>
    <xdr:clientData/>
  </xdr:twoCellAnchor>
  <xdr:twoCellAnchor editAs="oneCell">
    <xdr:from>
      <xdr:col>0</xdr:col>
      <xdr:colOff>0</xdr:colOff>
      <xdr:row>93</xdr:row>
      <xdr:rowOff>0</xdr:rowOff>
    </xdr:from>
    <xdr:to>
      <xdr:col>0</xdr:col>
      <xdr:colOff>304800</xdr:colOff>
      <xdr:row>200</xdr:row>
      <xdr:rowOff>144235</xdr:rowOff>
    </xdr:to>
    <xdr:sp macro="" textlink="">
      <xdr:nvSpPr>
        <xdr:cNvPr id="7169" name="AutoShape 1" descr="Hot Sale Industrial Fast Food Kitchen Equipment KFC Full Set - Electric Gas">
          <a:extLst>
            <a:ext uri="{FF2B5EF4-FFF2-40B4-BE49-F238E27FC236}">
              <a16:creationId xmlns:a16="http://schemas.microsoft.com/office/drawing/2014/main" id="{A5204988-3122-52CE-2FE9-E3CDD8AF4C9A}"/>
            </a:ext>
          </a:extLst>
        </xdr:cNvPr>
        <xdr:cNvSpPr>
          <a:spLocks noChangeAspect="1" noChangeArrowheads="1"/>
        </xdr:cNvSpPr>
      </xdr:nvSpPr>
      <xdr:spPr bwMode="auto">
        <a:xfrm>
          <a:off x="0" y="14485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88</xdr:row>
      <xdr:rowOff>0</xdr:rowOff>
    </xdr:from>
    <xdr:to>
      <xdr:col>0</xdr:col>
      <xdr:colOff>304800</xdr:colOff>
      <xdr:row>200</xdr:row>
      <xdr:rowOff>144235</xdr:rowOff>
    </xdr:to>
    <xdr:sp macro="" textlink="">
      <xdr:nvSpPr>
        <xdr:cNvPr id="7170" name="AutoShape 2" descr="Hot Sale Industrial Fast Food Kitchen Equipment KFC Full Set - Electric Gas">
          <a:extLst>
            <a:ext uri="{FF2B5EF4-FFF2-40B4-BE49-F238E27FC236}">
              <a16:creationId xmlns:a16="http://schemas.microsoft.com/office/drawing/2014/main" id="{7E0E2C31-A1A0-CC43-0907-5629DAD17BE6}"/>
            </a:ext>
          </a:extLst>
        </xdr:cNvPr>
        <xdr:cNvSpPr>
          <a:spLocks noChangeAspect="1" noChangeArrowheads="1"/>
        </xdr:cNvSpPr>
      </xdr:nvSpPr>
      <xdr:spPr bwMode="auto">
        <a:xfrm>
          <a:off x="0" y="13609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762000</xdr:colOff>
      <xdr:row>86</xdr:row>
      <xdr:rowOff>16747</xdr:rowOff>
    </xdr:from>
    <xdr:to>
      <xdr:col>3</xdr:col>
      <xdr:colOff>510792</xdr:colOff>
      <xdr:row>111</xdr:row>
      <xdr:rowOff>3690</xdr:rowOff>
    </xdr:to>
    <xdr:pic>
      <xdr:nvPicPr>
        <xdr:cNvPr id="5" name="Picture 4">
          <a:extLst>
            <a:ext uri="{FF2B5EF4-FFF2-40B4-BE49-F238E27FC236}">
              <a16:creationId xmlns:a16="http://schemas.microsoft.com/office/drawing/2014/main" id="{3C991FC7-32AA-88E4-995B-AA61CBFD8FE6}"/>
            </a:ext>
          </a:extLst>
        </xdr:cNvPr>
        <xdr:cNvPicPr>
          <a:picLocks noChangeAspect="1"/>
        </xdr:cNvPicPr>
      </xdr:nvPicPr>
      <xdr:blipFill>
        <a:blip xmlns:r="http://schemas.openxmlformats.org/officeDocument/2006/relationships" r:embed="rId3"/>
        <a:stretch>
          <a:fillRect/>
        </a:stretch>
      </xdr:blipFill>
      <xdr:spPr>
        <a:xfrm>
          <a:off x="762000" y="13314066"/>
          <a:ext cx="4353533" cy="4391638"/>
        </a:xfrm>
        <a:prstGeom prst="rect">
          <a:avLst/>
        </a:prstGeom>
      </xdr:spPr>
    </xdr:pic>
    <xdr:clientData/>
  </xdr:twoCellAnchor>
  <xdr:twoCellAnchor>
    <xdr:from>
      <xdr:col>3</xdr:col>
      <xdr:colOff>1122066</xdr:colOff>
      <xdr:row>85</xdr:row>
      <xdr:rowOff>117231</xdr:rowOff>
    </xdr:from>
    <xdr:to>
      <xdr:col>7</xdr:col>
      <xdr:colOff>433274</xdr:colOff>
      <xdr:row>110</xdr:row>
      <xdr:rowOff>94064</xdr:rowOff>
    </xdr:to>
    <xdr:pic>
      <xdr:nvPicPr>
        <xdr:cNvPr id="6" name="Picture 5">
          <a:extLst>
            <a:ext uri="{FF2B5EF4-FFF2-40B4-BE49-F238E27FC236}">
              <a16:creationId xmlns:a16="http://schemas.microsoft.com/office/drawing/2014/main" id="{9F41CFD8-F82E-D8AE-122B-00E382AAB2D9}"/>
            </a:ext>
          </a:extLst>
        </xdr:cNvPr>
        <xdr:cNvPicPr>
          <a:picLocks noChangeAspect="1"/>
        </xdr:cNvPicPr>
      </xdr:nvPicPr>
      <xdr:blipFill>
        <a:blip xmlns:r="http://schemas.openxmlformats.org/officeDocument/2006/relationships" r:embed="rId4"/>
        <a:stretch>
          <a:fillRect/>
        </a:stretch>
      </xdr:blipFill>
      <xdr:spPr>
        <a:xfrm>
          <a:off x="5719187" y="13238704"/>
          <a:ext cx="6611273" cy="4401164"/>
        </a:xfrm>
        <a:prstGeom prst="rect">
          <a:avLst/>
        </a:prstGeom>
      </xdr:spPr>
    </xdr:pic>
    <xdr:clientData/>
  </xdr:twoCellAnchor>
  <xdr:twoCellAnchor>
    <xdr:from>
      <xdr:col>7</xdr:col>
      <xdr:colOff>990601</xdr:colOff>
      <xdr:row>85</xdr:row>
      <xdr:rowOff>97971</xdr:rowOff>
    </xdr:from>
    <xdr:to>
      <xdr:col>10</xdr:col>
      <xdr:colOff>1350317</xdr:colOff>
      <xdr:row>110</xdr:row>
      <xdr:rowOff>113552</xdr:rowOff>
    </xdr:to>
    <xdr:pic>
      <xdr:nvPicPr>
        <xdr:cNvPr id="7" name="Picture 6">
          <a:extLst>
            <a:ext uri="{FF2B5EF4-FFF2-40B4-BE49-F238E27FC236}">
              <a16:creationId xmlns:a16="http://schemas.microsoft.com/office/drawing/2014/main" id="{0EE31AAC-F3DE-5826-7FD5-59F97A06E788}"/>
            </a:ext>
          </a:extLst>
        </xdr:cNvPr>
        <xdr:cNvPicPr>
          <a:picLocks noChangeAspect="1"/>
        </xdr:cNvPicPr>
      </xdr:nvPicPr>
      <xdr:blipFill>
        <a:blip xmlns:r="http://schemas.openxmlformats.org/officeDocument/2006/relationships" r:embed="rId5"/>
        <a:stretch>
          <a:fillRect/>
        </a:stretch>
      </xdr:blipFill>
      <xdr:spPr>
        <a:xfrm>
          <a:off x="12714515" y="13139057"/>
          <a:ext cx="3496163" cy="4391638"/>
        </a:xfrm>
        <a:prstGeom prst="rect">
          <a:avLst/>
        </a:prstGeom>
      </xdr:spPr>
    </xdr:pic>
    <xdr:clientData/>
  </xdr:twoCellAnchor>
  <xdr:twoCellAnchor>
    <xdr:from>
      <xdr:col>11</xdr:col>
      <xdr:colOff>0</xdr:colOff>
      <xdr:row>85</xdr:row>
      <xdr:rowOff>0</xdr:rowOff>
    </xdr:from>
    <xdr:to>
      <xdr:col>18</xdr:col>
      <xdr:colOff>286662</xdr:colOff>
      <xdr:row>110</xdr:row>
      <xdr:rowOff>15581</xdr:rowOff>
    </xdr:to>
    <xdr:pic>
      <xdr:nvPicPr>
        <xdr:cNvPr id="8" name="Picture 7">
          <a:extLst>
            <a:ext uri="{FF2B5EF4-FFF2-40B4-BE49-F238E27FC236}">
              <a16:creationId xmlns:a16="http://schemas.microsoft.com/office/drawing/2014/main" id="{52C5AEE0-21A6-578C-2AD9-5BD0DC151AA0}"/>
            </a:ext>
          </a:extLst>
        </xdr:cNvPr>
        <xdr:cNvPicPr>
          <a:picLocks noChangeAspect="1"/>
        </xdr:cNvPicPr>
      </xdr:nvPicPr>
      <xdr:blipFill>
        <a:blip xmlns:r="http://schemas.openxmlformats.org/officeDocument/2006/relationships" r:embed="rId6"/>
        <a:stretch>
          <a:fillRect/>
        </a:stretch>
      </xdr:blipFill>
      <xdr:spPr>
        <a:xfrm>
          <a:off x="17112343" y="13041086"/>
          <a:ext cx="6535062" cy="4391638"/>
        </a:xfrm>
        <a:prstGeom prst="rect">
          <a:avLst/>
        </a:prstGeom>
      </xdr:spPr>
    </xdr:pic>
    <xdr:clientData/>
  </xdr:twoCellAnchor>
  <xdr:twoCellAnchor>
    <xdr:from>
      <xdr:col>0</xdr:col>
      <xdr:colOff>163285</xdr:colOff>
      <xdr:row>112</xdr:row>
      <xdr:rowOff>21771</xdr:rowOff>
    </xdr:from>
    <xdr:to>
      <xdr:col>3</xdr:col>
      <xdr:colOff>403174</xdr:colOff>
      <xdr:row>137</xdr:row>
      <xdr:rowOff>78177</xdr:rowOff>
    </xdr:to>
    <xdr:pic>
      <xdr:nvPicPr>
        <xdr:cNvPr id="9" name="Picture 8">
          <a:extLst>
            <a:ext uri="{FF2B5EF4-FFF2-40B4-BE49-F238E27FC236}">
              <a16:creationId xmlns:a16="http://schemas.microsoft.com/office/drawing/2014/main" id="{6CED3374-26CF-FB5E-1EA7-17938DFC1DC4}"/>
            </a:ext>
          </a:extLst>
        </xdr:cNvPr>
        <xdr:cNvPicPr>
          <a:picLocks noChangeAspect="1"/>
        </xdr:cNvPicPr>
      </xdr:nvPicPr>
      <xdr:blipFill>
        <a:blip xmlns:r="http://schemas.openxmlformats.org/officeDocument/2006/relationships" r:embed="rId7"/>
        <a:stretch>
          <a:fillRect/>
        </a:stretch>
      </xdr:blipFill>
      <xdr:spPr>
        <a:xfrm>
          <a:off x="163285" y="17787257"/>
          <a:ext cx="4839375" cy="4410691"/>
        </a:xfrm>
        <a:prstGeom prst="rect">
          <a:avLst/>
        </a:prstGeom>
      </xdr:spPr>
    </xdr:pic>
    <xdr:clientData/>
  </xdr:twoCellAnchor>
  <xdr:twoCellAnchor>
    <xdr:from>
      <xdr:col>3</xdr:col>
      <xdr:colOff>1001486</xdr:colOff>
      <xdr:row>112</xdr:row>
      <xdr:rowOff>119743</xdr:rowOff>
    </xdr:from>
    <xdr:to>
      <xdr:col>8</xdr:col>
      <xdr:colOff>981420</xdr:colOff>
      <xdr:row>138</xdr:row>
      <xdr:rowOff>21029</xdr:rowOff>
    </xdr:to>
    <xdr:pic>
      <xdr:nvPicPr>
        <xdr:cNvPr id="10" name="Picture 9">
          <a:extLst>
            <a:ext uri="{FF2B5EF4-FFF2-40B4-BE49-F238E27FC236}">
              <a16:creationId xmlns:a16="http://schemas.microsoft.com/office/drawing/2014/main" id="{7784F749-B0AB-D53A-8EE6-2B7C0879B581}"/>
            </a:ext>
          </a:extLst>
        </xdr:cNvPr>
        <xdr:cNvPicPr>
          <a:picLocks noChangeAspect="1"/>
        </xdr:cNvPicPr>
      </xdr:nvPicPr>
      <xdr:blipFill>
        <a:blip xmlns:r="http://schemas.openxmlformats.org/officeDocument/2006/relationships" r:embed="rId8"/>
        <a:stretch>
          <a:fillRect/>
        </a:stretch>
      </xdr:blipFill>
      <xdr:spPr>
        <a:xfrm>
          <a:off x="5595257" y="17885229"/>
          <a:ext cx="8326012" cy="4429743"/>
        </a:xfrm>
        <a:prstGeom prst="rect">
          <a:avLst/>
        </a:prstGeom>
      </xdr:spPr>
    </xdr:pic>
    <xdr:clientData/>
  </xdr:twoCellAnchor>
  <xdr:twoCellAnchor>
    <xdr:from>
      <xdr:col>9</xdr:col>
      <xdr:colOff>283029</xdr:colOff>
      <xdr:row>112</xdr:row>
      <xdr:rowOff>163285</xdr:rowOff>
    </xdr:from>
    <xdr:to>
      <xdr:col>15</xdr:col>
      <xdr:colOff>396353</xdr:colOff>
      <xdr:row>138</xdr:row>
      <xdr:rowOff>35992</xdr:rowOff>
    </xdr:to>
    <xdr:pic>
      <xdr:nvPicPr>
        <xdr:cNvPr id="11" name="Picture 10">
          <a:extLst>
            <a:ext uri="{FF2B5EF4-FFF2-40B4-BE49-F238E27FC236}">
              <a16:creationId xmlns:a16="http://schemas.microsoft.com/office/drawing/2014/main" id="{827C7C48-F9BF-3D2F-5BA1-1C45F41A3084}"/>
            </a:ext>
          </a:extLst>
        </xdr:cNvPr>
        <xdr:cNvPicPr>
          <a:picLocks noChangeAspect="1"/>
        </xdr:cNvPicPr>
      </xdr:nvPicPr>
      <xdr:blipFill>
        <a:blip xmlns:r="http://schemas.openxmlformats.org/officeDocument/2006/relationships" r:embed="rId9"/>
        <a:stretch>
          <a:fillRect/>
        </a:stretch>
      </xdr:blipFill>
      <xdr:spPr>
        <a:xfrm>
          <a:off x="14216743" y="17928771"/>
          <a:ext cx="6658904" cy="4401164"/>
        </a:xfrm>
        <a:prstGeom prst="rect">
          <a:avLst/>
        </a:prstGeom>
      </xdr:spPr>
    </xdr:pic>
    <xdr:clientData/>
  </xdr:twoCellAnchor>
  <xdr:twoCellAnchor>
    <xdr:from>
      <xdr:col>0</xdr:col>
      <xdr:colOff>0</xdr:colOff>
      <xdr:row>139</xdr:row>
      <xdr:rowOff>0</xdr:rowOff>
    </xdr:from>
    <xdr:to>
      <xdr:col>2</xdr:col>
      <xdr:colOff>1162670</xdr:colOff>
      <xdr:row>164</xdr:row>
      <xdr:rowOff>134519</xdr:rowOff>
    </xdr:to>
    <xdr:pic>
      <xdr:nvPicPr>
        <xdr:cNvPr id="12" name="Picture 11">
          <a:extLst>
            <a:ext uri="{FF2B5EF4-FFF2-40B4-BE49-F238E27FC236}">
              <a16:creationId xmlns:a16="http://schemas.microsoft.com/office/drawing/2014/main" id="{2A84E5BE-5F6E-9E83-3F92-60ACF47911D4}"/>
            </a:ext>
          </a:extLst>
        </xdr:cNvPr>
        <xdr:cNvPicPr>
          <a:picLocks noChangeAspect="1"/>
        </xdr:cNvPicPr>
      </xdr:nvPicPr>
      <xdr:blipFill>
        <a:blip xmlns:r="http://schemas.openxmlformats.org/officeDocument/2006/relationships" r:embed="rId10"/>
        <a:stretch>
          <a:fillRect/>
        </a:stretch>
      </xdr:blipFill>
      <xdr:spPr>
        <a:xfrm>
          <a:off x="0" y="22468114"/>
          <a:ext cx="4439270" cy="4477375"/>
        </a:xfrm>
        <a:prstGeom prst="rect">
          <a:avLst/>
        </a:prstGeom>
      </xdr:spPr>
    </xdr:pic>
    <xdr:clientData/>
  </xdr:twoCellAnchor>
  <xdr:twoCellAnchor>
    <xdr:from>
      <xdr:col>3</xdr:col>
      <xdr:colOff>0</xdr:colOff>
      <xdr:row>140</xdr:row>
      <xdr:rowOff>0</xdr:rowOff>
    </xdr:from>
    <xdr:to>
      <xdr:col>6</xdr:col>
      <xdr:colOff>700642</xdr:colOff>
      <xdr:row>163</xdr:row>
      <xdr:rowOff>132297</xdr:rowOff>
    </xdr:to>
    <xdr:pic>
      <xdr:nvPicPr>
        <xdr:cNvPr id="13" name="Picture 12">
          <a:extLst>
            <a:ext uri="{FF2B5EF4-FFF2-40B4-BE49-F238E27FC236}">
              <a16:creationId xmlns:a16="http://schemas.microsoft.com/office/drawing/2014/main" id="{8AB135C1-6BC0-A5B6-066D-54087564B9DD}"/>
            </a:ext>
          </a:extLst>
        </xdr:cNvPr>
        <xdr:cNvPicPr>
          <a:picLocks noChangeAspect="1"/>
        </xdr:cNvPicPr>
      </xdr:nvPicPr>
      <xdr:blipFill>
        <a:blip xmlns:r="http://schemas.openxmlformats.org/officeDocument/2006/relationships" r:embed="rId11"/>
        <a:stretch>
          <a:fillRect/>
        </a:stretch>
      </xdr:blipFill>
      <xdr:spPr>
        <a:xfrm>
          <a:off x="4593771" y="22642286"/>
          <a:ext cx="6897063" cy="4153480"/>
        </a:xfrm>
        <a:prstGeom prst="rect">
          <a:avLst/>
        </a:prstGeom>
      </xdr:spPr>
    </xdr:pic>
    <xdr:clientData/>
  </xdr:twoCellAnchor>
  <xdr:twoCellAnchor>
    <xdr:from>
      <xdr:col>7</xdr:col>
      <xdr:colOff>0</xdr:colOff>
      <xdr:row>140</xdr:row>
      <xdr:rowOff>0</xdr:rowOff>
    </xdr:from>
    <xdr:to>
      <xdr:col>10</xdr:col>
      <xdr:colOff>1807718</xdr:colOff>
      <xdr:row>161</xdr:row>
      <xdr:rowOff>38616</xdr:rowOff>
    </xdr:to>
    <xdr:pic>
      <xdr:nvPicPr>
        <xdr:cNvPr id="14" name="Picture 13">
          <a:extLst>
            <a:ext uri="{FF2B5EF4-FFF2-40B4-BE49-F238E27FC236}">
              <a16:creationId xmlns:a16="http://schemas.microsoft.com/office/drawing/2014/main" id="{75A58042-F39F-A883-F914-2D017779649E}"/>
            </a:ext>
          </a:extLst>
        </xdr:cNvPr>
        <xdr:cNvPicPr>
          <a:picLocks noChangeAspect="1"/>
        </xdr:cNvPicPr>
      </xdr:nvPicPr>
      <xdr:blipFill>
        <a:blip xmlns:r="http://schemas.openxmlformats.org/officeDocument/2006/relationships" r:embed="rId12"/>
        <a:stretch>
          <a:fillRect/>
        </a:stretch>
      </xdr:blipFill>
      <xdr:spPr>
        <a:xfrm>
          <a:off x="11723914" y="22642286"/>
          <a:ext cx="4944165" cy="3696216"/>
        </a:xfrm>
        <a:prstGeom prst="rect">
          <a:avLst/>
        </a:prstGeom>
      </xdr:spPr>
    </xdr:pic>
    <xdr:clientData/>
  </xdr:twoCellAnchor>
  <xdr:twoCellAnchor>
    <xdr:from>
      <xdr:col>0</xdr:col>
      <xdr:colOff>0</xdr:colOff>
      <xdr:row>165</xdr:row>
      <xdr:rowOff>0</xdr:rowOff>
    </xdr:from>
    <xdr:to>
      <xdr:col>4</xdr:col>
      <xdr:colOff>874916</xdr:colOff>
      <xdr:row>194</xdr:row>
      <xdr:rowOff>93245</xdr:rowOff>
    </xdr:to>
    <xdr:pic>
      <xdr:nvPicPr>
        <xdr:cNvPr id="15" name="Picture 14">
          <a:extLst>
            <a:ext uri="{FF2B5EF4-FFF2-40B4-BE49-F238E27FC236}">
              <a16:creationId xmlns:a16="http://schemas.microsoft.com/office/drawing/2014/main" id="{A0D7244E-6335-65C9-EB61-24E94D2F35DD}"/>
            </a:ext>
          </a:extLst>
        </xdr:cNvPr>
        <xdr:cNvPicPr>
          <a:picLocks noChangeAspect="1"/>
        </xdr:cNvPicPr>
      </xdr:nvPicPr>
      <xdr:blipFill>
        <a:blip xmlns:r="http://schemas.openxmlformats.org/officeDocument/2006/relationships" r:embed="rId13"/>
        <a:stretch>
          <a:fillRect/>
        </a:stretch>
      </xdr:blipFill>
      <xdr:spPr>
        <a:xfrm>
          <a:off x="0" y="26996571"/>
          <a:ext cx="7630590" cy="5134692"/>
        </a:xfrm>
        <a:prstGeom prst="rect">
          <a:avLst/>
        </a:prstGeom>
      </xdr:spPr>
    </xdr:pic>
    <xdr:clientData/>
  </xdr:twoCellAnchor>
  <xdr:twoCellAnchor>
    <xdr:from>
      <xdr:col>4</xdr:col>
      <xdr:colOff>1273629</xdr:colOff>
      <xdr:row>165</xdr:row>
      <xdr:rowOff>32657</xdr:rowOff>
    </xdr:from>
    <xdr:to>
      <xdr:col>9</xdr:col>
      <xdr:colOff>523980</xdr:colOff>
      <xdr:row>191</xdr:row>
      <xdr:rowOff>92078</xdr:rowOff>
    </xdr:to>
    <xdr:pic>
      <xdr:nvPicPr>
        <xdr:cNvPr id="16" name="Picture 15">
          <a:extLst>
            <a:ext uri="{FF2B5EF4-FFF2-40B4-BE49-F238E27FC236}">
              <a16:creationId xmlns:a16="http://schemas.microsoft.com/office/drawing/2014/main" id="{8339D7E3-C80D-5B06-5CE7-796996BCE543}"/>
            </a:ext>
          </a:extLst>
        </xdr:cNvPr>
        <xdr:cNvPicPr>
          <a:picLocks noChangeAspect="1"/>
        </xdr:cNvPicPr>
      </xdr:nvPicPr>
      <xdr:blipFill>
        <a:blip xmlns:r="http://schemas.openxmlformats.org/officeDocument/2006/relationships" r:embed="rId14"/>
        <a:stretch>
          <a:fillRect/>
        </a:stretch>
      </xdr:blipFill>
      <xdr:spPr>
        <a:xfrm>
          <a:off x="7892143" y="27029228"/>
          <a:ext cx="6601746" cy="4582164"/>
        </a:xfrm>
        <a:prstGeom prst="rect">
          <a:avLst/>
        </a:prstGeom>
      </xdr:spPr>
    </xdr:pic>
    <xdr:clientData/>
  </xdr:twoCellAnchor>
  <xdr:twoCellAnchor>
    <xdr:from>
      <xdr:col>10</xdr:col>
      <xdr:colOff>0</xdr:colOff>
      <xdr:row>166</xdr:row>
      <xdr:rowOff>0</xdr:rowOff>
    </xdr:from>
    <xdr:to>
      <xdr:col>15</xdr:col>
      <xdr:colOff>706551</xdr:colOff>
      <xdr:row>193</xdr:row>
      <xdr:rowOff>60538</xdr:rowOff>
    </xdr:to>
    <xdr:pic>
      <xdr:nvPicPr>
        <xdr:cNvPr id="17" name="Picture 16">
          <a:extLst>
            <a:ext uri="{FF2B5EF4-FFF2-40B4-BE49-F238E27FC236}">
              <a16:creationId xmlns:a16="http://schemas.microsoft.com/office/drawing/2014/main" id="{C2A6AAFC-DADF-5762-F996-C2EAD9169CB7}"/>
            </a:ext>
          </a:extLst>
        </xdr:cNvPr>
        <xdr:cNvPicPr>
          <a:picLocks noChangeAspect="1"/>
        </xdr:cNvPicPr>
      </xdr:nvPicPr>
      <xdr:blipFill>
        <a:blip xmlns:r="http://schemas.openxmlformats.org/officeDocument/2006/relationships" r:embed="rId15"/>
        <a:stretch>
          <a:fillRect/>
        </a:stretch>
      </xdr:blipFill>
      <xdr:spPr>
        <a:xfrm>
          <a:off x="14869886" y="27170743"/>
          <a:ext cx="6335009" cy="4772691"/>
        </a:xfrm>
        <a:prstGeom prst="rect">
          <a:avLst/>
        </a:prstGeom>
      </xdr:spPr>
    </xdr:pic>
    <xdr:clientData/>
  </xdr:twoCellAnchor>
  <xdr:twoCellAnchor>
    <xdr:from>
      <xdr:col>11</xdr:col>
      <xdr:colOff>0</xdr:colOff>
      <xdr:row>140</xdr:row>
      <xdr:rowOff>0</xdr:rowOff>
    </xdr:from>
    <xdr:to>
      <xdr:col>18</xdr:col>
      <xdr:colOff>58030</xdr:colOff>
      <xdr:row>163</xdr:row>
      <xdr:rowOff>136104</xdr:rowOff>
    </xdr:to>
    <xdr:pic>
      <xdr:nvPicPr>
        <xdr:cNvPr id="18" name="Picture 17">
          <a:extLst>
            <a:ext uri="{FF2B5EF4-FFF2-40B4-BE49-F238E27FC236}">
              <a16:creationId xmlns:a16="http://schemas.microsoft.com/office/drawing/2014/main" id="{3AA73F08-1E2D-52C0-18B4-AE2DC986F8C5}"/>
            </a:ext>
          </a:extLst>
        </xdr:cNvPr>
        <xdr:cNvPicPr>
          <a:picLocks noChangeAspect="1"/>
        </xdr:cNvPicPr>
      </xdr:nvPicPr>
      <xdr:blipFill>
        <a:blip xmlns:r="http://schemas.openxmlformats.org/officeDocument/2006/relationships" r:embed="rId16"/>
        <a:stretch>
          <a:fillRect/>
        </a:stretch>
      </xdr:blipFill>
      <xdr:spPr>
        <a:xfrm>
          <a:off x="17112343" y="22642286"/>
          <a:ext cx="6306430" cy="4134427"/>
        </a:xfrm>
        <a:prstGeom prst="rect">
          <a:avLst/>
        </a:prstGeom>
      </xdr:spPr>
    </xdr:pic>
    <xdr:clientData/>
  </xdr:twoCellAnchor>
  <xdr:twoCellAnchor>
    <xdr:from>
      <xdr:col>15</xdr:col>
      <xdr:colOff>533399</xdr:colOff>
      <xdr:row>112</xdr:row>
      <xdr:rowOff>133350</xdr:rowOff>
    </xdr:from>
    <xdr:to>
      <xdr:col>23</xdr:col>
      <xdr:colOff>188782</xdr:colOff>
      <xdr:row>137</xdr:row>
      <xdr:rowOff>692</xdr:rowOff>
    </xdr:to>
    <xdr:pic>
      <xdr:nvPicPr>
        <xdr:cNvPr id="19" name="Picture 18">
          <a:extLst>
            <a:ext uri="{FF2B5EF4-FFF2-40B4-BE49-F238E27FC236}">
              <a16:creationId xmlns:a16="http://schemas.microsoft.com/office/drawing/2014/main" id="{01A9B2B6-E752-9922-BFA9-1BE401F2B310}"/>
            </a:ext>
          </a:extLst>
        </xdr:cNvPr>
        <xdr:cNvPicPr>
          <a:picLocks noChangeAspect="1"/>
        </xdr:cNvPicPr>
      </xdr:nvPicPr>
      <xdr:blipFill>
        <a:blip xmlns:r="http://schemas.openxmlformats.org/officeDocument/2006/relationships" r:embed="rId17"/>
        <a:stretch>
          <a:fillRect/>
        </a:stretch>
      </xdr:blipFill>
      <xdr:spPr>
        <a:xfrm>
          <a:off x="21145499" y="17678400"/>
          <a:ext cx="6037133" cy="4144067"/>
        </a:xfrm>
        <a:prstGeom prst="rect">
          <a:avLst/>
        </a:prstGeom>
      </xdr:spPr>
    </xdr:pic>
    <xdr:clientData/>
  </xdr:twoCellAnchor>
  <xdr:twoCellAnchor>
    <xdr:from>
      <xdr:col>0</xdr:col>
      <xdr:colOff>1783080</xdr:colOff>
      <xdr:row>70</xdr:row>
      <xdr:rowOff>20955</xdr:rowOff>
    </xdr:from>
    <xdr:to>
      <xdr:col>4</xdr:col>
      <xdr:colOff>571567</xdr:colOff>
      <xdr:row>83</xdr:row>
      <xdr:rowOff>130327</xdr:rowOff>
    </xdr:to>
    <xdr:pic>
      <xdr:nvPicPr>
        <xdr:cNvPr id="2" name="Picture 1">
          <a:extLst>
            <a:ext uri="{FF2B5EF4-FFF2-40B4-BE49-F238E27FC236}">
              <a16:creationId xmlns:a16="http://schemas.microsoft.com/office/drawing/2014/main" id="{859DD1BF-E61F-2BAA-34C4-1E50BB2E66DF}"/>
            </a:ext>
          </a:extLst>
        </xdr:cNvPr>
        <xdr:cNvPicPr>
          <a:picLocks noChangeAspect="1"/>
        </xdr:cNvPicPr>
      </xdr:nvPicPr>
      <xdr:blipFill>
        <a:blip xmlns:r="http://schemas.openxmlformats.org/officeDocument/2006/relationships" r:embed="rId18"/>
        <a:stretch>
          <a:fillRect/>
        </a:stretch>
      </xdr:blipFill>
      <xdr:spPr>
        <a:xfrm>
          <a:off x="1783080" y="13946505"/>
          <a:ext cx="5534092" cy="234203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34</xdr:row>
      <xdr:rowOff>91558</xdr:rowOff>
    </xdr:from>
    <xdr:to>
      <xdr:col>2</xdr:col>
      <xdr:colOff>800100</xdr:colOff>
      <xdr:row>38</xdr:row>
      <xdr:rowOff>19187</xdr:rowOff>
    </xdr:to>
    <xdr:pic>
      <xdr:nvPicPr>
        <xdr:cNvPr id="2" name="Picture 1">
          <a:extLst>
            <a:ext uri="{FF2B5EF4-FFF2-40B4-BE49-F238E27FC236}">
              <a16:creationId xmlns:a16="http://schemas.microsoft.com/office/drawing/2014/main" id="{727FD934-94A3-09C1-56CA-0B846D50F21B}"/>
            </a:ext>
          </a:extLst>
        </xdr:cNvPr>
        <xdr:cNvPicPr>
          <a:picLocks noChangeAspect="1"/>
        </xdr:cNvPicPr>
      </xdr:nvPicPr>
      <xdr:blipFill>
        <a:blip xmlns:r="http://schemas.openxmlformats.org/officeDocument/2006/relationships" r:embed="rId1"/>
        <a:stretch>
          <a:fillRect/>
        </a:stretch>
      </xdr:blipFill>
      <xdr:spPr>
        <a:xfrm>
          <a:off x="0" y="8797408"/>
          <a:ext cx="5734050" cy="6134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29</xdr:col>
      <xdr:colOff>268943</xdr:colOff>
      <xdr:row>6</xdr:row>
      <xdr:rowOff>22412</xdr:rowOff>
    </xdr:from>
    <xdr:to>
      <xdr:col>35</xdr:col>
      <xdr:colOff>620471</xdr:colOff>
      <xdr:row>8</xdr:row>
      <xdr:rowOff>429092</xdr:rowOff>
    </xdr:to>
    <xdr:graphicFrame macro="">
      <xdr:nvGraphicFramePr>
        <xdr:cNvPr id="2" name="Chart 5">
          <a:extLst>
            <a:ext uri="{FF2B5EF4-FFF2-40B4-BE49-F238E27FC236}">
              <a16:creationId xmlns:a16="http://schemas.microsoft.com/office/drawing/2014/main" id="{7F887ED4-EF83-451C-B1B7-74B19AE4617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289560</xdr:colOff>
      <xdr:row>9</xdr:row>
      <xdr:rowOff>0</xdr:rowOff>
    </xdr:from>
    <xdr:to>
      <xdr:col>36</xdr:col>
      <xdr:colOff>0</xdr:colOff>
      <xdr:row>11</xdr:row>
      <xdr:rowOff>391886</xdr:rowOff>
    </xdr:to>
    <xdr:graphicFrame macro="">
      <xdr:nvGraphicFramePr>
        <xdr:cNvPr id="3" name="Chart 5">
          <a:extLst>
            <a:ext uri="{FF2B5EF4-FFF2-40B4-BE49-F238E27FC236}">
              <a16:creationId xmlns:a16="http://schemas.microsoft.com/office/drawing/2014/main" id="{562C7D60-D222-45AF-9013-A79B918CAA5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289560</xdr:colOff>
      <xdr:row>37</xdr:row>
      <xdr:rowOff>0</xdr:rowOff>
    </xdr:from>
    <xdr:to>
      <xdr:col>36</xdr:col>
      <xdr:colOff>0</xdr:colOff>
      <xdr:row>39</xdr:row>
      <xdr:rowOff>391886</xdr:rowOff>
    </xdr:to>
    <xdr:graphicFrame macro="">
      <xdr:nvGraphicFramePr>
        <xdr:cNvPr id="5" name="Chart 5">
          <a:extLst>
            <a:ext uri="{FF2B5EF4-FFF2-40B4-BE49-F238E27FC236}">
              <a16:creationId xmlns:a16="http://schemas.microsoft.com/office/drawing/2014/main" id="{F8649B1F-C1B4-4ACF-B5FC-61526761CFE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289560</xdr:colOff>
      <xdr:row>18</xdr:row>
      <xdr:rowOff>0</xdr:rowOff>
    </xdr:from>
    <xdr:to>
      <xdr:col>36</xdr:col>
      <xdr:colOff>0</xdr:colOff>
      <xdr:row>20</xdr:row>
      <xdr:rowOff>391886</xdr:rowOff>
    </xdr:to>
    <xdr:graphicFrame macro="">
      <xdr:nvGraphicFramePr>
        <xdr:cNvPr id="6" name="Chart 5">
          <a:extLst>
            <a:ext uri="{FF2B5EF4-FFF2-40B4-BE49-F238E27FC236}">
              <a16:creationId xmlns:a16="http://schemas.microsoft.com/office/drawing/2014/main" id="{3829B692-84CA-4F11-A572-28334A0337A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289560</xdr:colOff>
      <xdr:row>12</xdr:row>
      <xdr:rowOff>0</xdr:rowOff>
    </xdr:from>
    <xdr:to>
      <xdr:col>36</xdr:col>
      <xdr:colOff>0</xdr:colOff>
      <xdr:row>14</xdr:row>
      <xdr:rowOff>391886</xdr:rowOff>
    </xdr:to>
    <xdr:graphicFrame macro="">
      <xdr:nvGraphicFramePr>
        <xdr:cNvPr id="7" name="Chart 5">
          <a:extLst>
            <a:ext uri="{FF2B5EF4-FFF2-40B4-BE49-F238E27FC236}">
              <a16:creationId xmlns:a16="http://schemas.microsoft.com/office/drawing/2014/main" id="{44729C12-D2A0-4BBC-B561-E4199A740F8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289560</xdr:colOff>
      <xdr:row>15</xdr:row>
      <xdr:rowOff>0</xdr:rowOff>
    </xdr:from>
    <xdr:to>
      <xdr:col>36</xdr:col>
      <xdr:colOff>0</xdr:colOff>
      <xdr:row>17</xdr:row>
      <xdr:rowOff>391886</xdr:rowOff>
    </xdr:to>
    <xdr:graphicFrame macro="">
      <xdr:nvGraphicFramePr>
        <xdr:cNvPr id="8" name="Chart 7">
          <a:extLst>
            <a:ext uri="{FF2B5EF4-FFF2-40B4-BE49-F238E27FC236}">
              <a16:creationId xmlns:a16="http://schemas.microsoft.com/office/drawing/2014/main" id="{64306D0B-239D-466F-B383-D93A0723FCC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319368</xdr:colOff>
      <xdr:row>40</xdr:row>
      <xdr:rowOff>33617</xdr:rowOff>
    </xdr:from>
    <xdr:to>
      <xdr:col>36</xdr:col>
      <xdr:colOff>33618</xdr:colOff>
      <xdr:row>42</xdr:row>
      <xdr:rowOff>427408</xdr:rowOff>
    </xdr:to>
    <xdr:graphicFrame macro="">
      <xdr:nvGraphicFramePr>
        <xdr:cNvPr id="10" name="Chart 5">
          <a:extLst>
            <a:ext uri="{FF2B5EF4-FFF2-40B4-BE49-F238E27FC236}">
              <a16:creationId xmlns:a16="http://schemas.microsoft.com/office/drawing/2014/main" id="{C48C3029-B5F1-4B32-B1A3-D5B22C5C63C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277233</xdr:colOff>
      <xdr:row>30</xdr:row>
      <xdr:rowOff>468407</xdr:rowOff>
    </xdr:from>
    <xdr:to>
      <xdr:col>35</xdr:col>
      <xdr:colOff>609600</xdr:colOff>
      <xdr:row>33</xdr:row>
      <xdr:rowOff>376518</xdr:rowOff>
    </xdr:to>
    <xdr:graphicFrame macro="">
      <xdr:nvGraphicFramePr>
        <xdr:cNvPr id="11" name="Chart 5">
          <a:extLst>
            <a:ext uri="{FF2B5EF4-FFF2-40B4-BE49-F238E27FC236}">
              <a16:creationId xmlns:a16="http://schemas.microsoft.com/office/drawing/2014/main" id="{AD13ECEB-16E4-4AFF-8E89-282EEAAE886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278355</xdr:colOff>
      <xdr:row>43</xdr:row>
      <xdr:rowOff>75079</xdr:rowOff>
    </xdr:from>
    <xdr:to>
      <xdr:col>35</xdr:col>
      <xdr:colOff>618566</xdr:colOff>
      <xdr:row>45</xdr:row>
      <xdr:rowOff>349624</xdr:rowOff>
    </xdr:to>
    <xdr:graphicFrame macro="">
      <xdr:nvGraphicFramePr>
        <xdr:cNvPr id="30" name="Chart 5">
          <a:extLst>
            <a:ext uri="{FF2B5EF4-FFF2-40B4-BE49-F238E27FC236}">
              <a16:creationId xmlns:a16="http://schemas.microsoft.com/office/drawing/2014/main" id="{C5525377-4094-49D7-A558-50BC6FA52BB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281940</xdr:colOff>
      <xdr:row>34</xdr:row>
      <xdr:rowOff>0</xdr:rowOff>
    </xdr:from>
    <xdr:to>
      <xdr:col>35</xdr:col>
      <xdr:colOff>634365</xdr:colOff>
      <xdr:row>36</xdr:row>
      <xdr:rowOff>332831</xdr:rowOff>
    </xdr:to>
    <xdr:graphicFrame macro="">
      <xdr:nvGraphicFramePr>
        <xdr:cNvPr id="13" name="Chart 5">
          <a:extLst>
            <a:ext uri="{FF2B5EF4-FFF2-40B4-BE49-F238E27FC236}">
              <a16:creationId xmlns:a16="http://schemas.microsoft.com/office/drawing/2014/main" id="{5D80E14B-9B99-49BA-A8A8-57450D8BBB6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312115</xdr:colOff>
      <xdr:row>52</xdr:row>
      <xdr:rowOff>110763</xdr:rowOff>
    </xdr:from>
    <xdr:to>
      <xdr:col>36</xdr:col>
      <xdr:colOff>50906</xdr:colOff>
      <xdr:row>54</xdr:row>
      <xdr:rowOff>421821</xdr:rowOff>
    </xdr:to>
    <xdr:graphicFrame macro="">
      <xdr:nvGraphicFramePr>
        <xdr:cNvPr id="40" name="Chart 5">
          <a:extLst>
            <a:ext uri="{FF2B5EF4-FFF2-40B4-BE49-F238E27FC236}">
              <a16:creationId xmlns:a16="http://schemas.microsoft.com/office/drawing/2014/main" id="{2ED0622F-48A9-48EC-BE0A-FCEF3C51A4B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309379</xdr:colOff>
      <xdr:row>49</xdr:row>
      <xdr:rowOff>39733</xdr:rowOff>
    </xdr:from>
    <xdr:to>
      <xdr:col>36</xdr:col>
      <xdr:colOff>27215</xdr:colOff>
      <xdr:row>51</xdr:row>
      <xdr:rowOff>433524</xdr:rowOff>
    </xdr:to>
    <xdr:graphicFrame macro="">
      <xdr:nvGraphicFramePr>
        <xdr:cNvPr id="29" name="Chart 5">
          <a:extLst>
            <a:ext uri="{FF2B5EF4-FFF2-40B4-BE49-F238E27FC236}">
              <a16:creationId xmlns:a16="http://schemas.microsoft.com/office/drawing/2014/main" id="{4CF35C84-2205-461F-BE9D-DE7A96498FA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286870</xdr:colOff>
      <xdr:row>17</xdr:row>
      <xdr:rowOff>466165</xdr:rowOff>
    </xdr:from>
    <xdr:to>
      <xdr:col>35</xdr:col>
      <xdr:colOff>633804</xdr:colOff>
      <xdr:row>18</xdr:row>
      <xdr:rowOff>0</xdr:rowOff>
    </xdr:to>
    <xdr:graphicFrame macro="">
      <xdr:nvGraphicFramePr>
        <xdr:cNvPr id="27" name="Chart 5">
          <a:extLst>
            <a:ext uri="{FF2B5EF4-FFF2-40B4-BE49-F238E27FC236}">
              <a16:creationId xmlns:a16="http://schemas.microsoft.com/office/drawing/2014/main" id="{B2EDD7BD-9E89-4747-92BE-83BD9B7BB81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272751</xdr:colOff>
      <xdr:row>3</xdr:row>
      <xdr:rowOff>53340</xdr:rowOff>
    </xdr:from>
    <xdr:to>
      <xdr:col>35</xdr:col>
      <xdr:colOff>620469</xdr:colOff>
      <xdr:row>5</xdr:row>
      <xdr:rowOff>351193</xdr:rowOff>
    </xdr:to>
    <xdr:graphicFrame macro="">
      <xdr:nvGraphicFramePr>
        <xdr:cNvPr id="9" name="Chart 5">
          <a:extLst>
            <a:ext uri="{FF2B5EF4-FFF2-40B4-BE49-F238E27FC236}">
              <a16:creationId xmlns:a16="http://schemas.microsoft.com/office/drawing/2014/main" id="{BFB5E6CE-1DC8-43BD-AB76-7B507BEB194C}"/>
            </a:ext>
            <a:ext uri="{147F2762-F138-4A5C-976F-8EAC2B608ADB}">
              <a16:predDERef xmlns:a16="http://schemas.microsoft.com/office/drawing/2014/main" pred="{B2EDD7BD-9E89-4747-92BE-83BD9B7BB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180356</xdr:colOff>
      <xdr:row>100</xdr:row>
      <xdr:rowOff>13610</xdr:rowOff>
    </xdr:from>
    <xdr:to>
      <xdr:col>11</xdr:col>
      <xdr:colOff>77833</xdr:colOff>
      <xdr:row>119</xdr:row>
      <xdr:rowOff>79738</xdr:rowOff>
    </xdr:to>
    <xdr:graphicFrame macro="">
      <xdr:nvGraphicFramePr>
        <xdr:cNvPr id="4" name="Chart 3">
          <a:extLst>
            <a:ext uri="{FF2B5EF4-FFF2-40B4-BE49-F238E27FC236}">
              <a16:creationId xmlns:a16="http://schemas.microsoft.com/office/drawing/2014/main" id="{6C00F964-3302-B551-21D9-7092763F72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0</xdr:colOff>
      <xdr:row>99</xdr:row>
      <xdr:rowOff>0</xdr:rowOff>
    </xdr:from>
    <xdr:to>
      <xdr:col>30</xdr:col>
      <xdr:colOff>381486</xdr:colOff>
      <xdr:row>120</xdr:row>
      <xdr:rowOff>91936</xdr:rowOff>
    </xdr:to>
    <xdr:pic>
      <xdr:nvPicPr>
        <xdr:cNvPr id="23" name="Picture 22">
          <a:extLst>
            <a:ext uri="{FF2B5EF4-FFF2-40B4-BE49-F238E27FC236}">
              <a16:creationId xmlns:a16="http://schemas.microsoft.com/office/drawing/2014/main" id="{3E4EC8C5-EF15-4426-19E4-D7CA80963C24}"/>
            </a:ext>
          </a:extLst>
        </xdr:cNvPr>
        <xdr:cNvPicPr>
          <a:picLocks noChangeAspect="1"/>
        </xdr:cNvPicPr>
      </xdr:nvPicPr>
      <xdr:blipFill>
        <a:blip xmlns:r="http://schemas.openxmlformats.org/officeDocument/2006/relationships" r:embed="rId16"/>
        <a:stretch>
          <a:fillRect/>
        </a:stretch>
      </xdr:blipFill>
      <xdr:spPr>
        <a:xfrm>
          <a:off x="8157882" y="20148176"/>
          <a:ext cx="7687722" cy="3139712"/>
        </a:xfrm>
        <a:prstGeom prst="rect">
          <a:avLst/>
        </a:prstGeom>
      </xdr:spPr>
    </xdr:pic>
    <xdr:clientData/>
  </xdr:twoCellAnchor>
  <xdr:twoCellAnchor>
    <xdr:from>
      <xdr:col>29</xdr:col>
      <xdr:colOff>278354</xdr:colOff>
      <xdr:row>46</xdr:row>
      <xdr:rowOff>57150</xdr:rowOff>
    </xdr:from>
    <xdr:to>
      <xdr:col>36</xdr:col>
      <xdr:colOff>0</xdr:colOff>
      <xdr:row>48</xdr:row>
      <xdr:rowOff>449036</xdr:rowOff>
    </xdr:to>
    <xdr:graphicFrame macro="">
      <xdr:nvGraphicFramePr>
        <xdr:cNvPr id="16" name="Chart 5">
          <a:extLst>
            <a:ext uri="{FF2B5EF4-FFF2-40B4-BE49-F238E27FC236}">
              <a16:creationId xmlns:a16="http://schemas.microsoft.com/office/drawing/2014/main" id="{8437B282-FB30-4DC9-B4BD-3876BEEFA48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12</xdr:col>
      <xdr:colOff>552450</xdr:colOff>
      <xdr:row>56</xdr:row>
      <xdr:rowOff>137160</xdr:rowOff>
    </xdr:from>
    <xdr:to>
      <xdr:col>19</xdr:col>
      <xdr:colOff>195230</xdr:colOff>
      <xdr:row>80</xdr:row>
      <xdr:rowOff>73522</xdr:rowOff>
    </xdr:to>
    <xdr:pic>
      <xdr:nvPicPr>
        <xdr:cNvPr id="6" name="Picture 2">
          <a:extLst>
            <a:ext uri="{FF2B5EF4-FFF2-40B4-BE49-F238E27FC236}">
              <a16:creationId xmlns:a16="http://schemas.microsoft.com/office/drawing/2014/main" id="{126E17D4-DBF9-19F2-BB49-4E3381566922}"/>
            </a:ext>
          </a:extLst>
        </xdr:cNvPr>
        <xdr:cNvPicPr>
          <a:picLocks noChangeAspect="1"/>
        </xdr:cNvPicPr>
      </xdr:nvPicPr>
      <xdr:blipFill>
        <a:blip xmlns:r="http://schemas.openxmlformats.org/officeDocument/2006/relationships" r:embed="rId1"/>
        <a:stretch>
          <a:fillRect/>
        </a:stretch>
      </xdr:blipFill>
      <xdr:spPr>
        <a:xfrm>
          <a:off x="11953875" y="11271885"/>
          <a:ext cx="6439820" cy="3968687"/>
        </a:xfrm>
        <a:prstGeom prst="rect">
          <a:avLst/>
        </a:prstGeom>
      </xdr:spPr>
    </xdr:pic>
    <xdr:clientData/>
  </xdr:twoCellAnchor>
  <xdr:twoCellAnchor>
    <xdr:from>
      <xdr:col>19</xdr:col>
      <xdr:colOff>714375</xdr:colOff>
      <xdr:row>57</xdr:row>
      <xdr:rowOff>66675</xdr:rowOff>
    </xdr:from>
    <xdr:to>
      <xdr:col>26</xdr:col>
      <xdr:colOff>496181</xdr:colOff>
      <xdr:row>79</xdr:row>
      <xdr:rowOff>111591</xdr:rowOff>
    </xdr:to>
    <xdr:pic>
      <xdr:nvPicPr>
        <xdr:cNvPr id="12" name="Picture 3">
          <a:extLst>
            <a:ext uri="{FF2B5EF4-FFF2-40B4-BE49-F238E27FC236}">
              <a16:creationId xmlns:a16="http://schemas.microsoft.com/office/drawing/2014/main" id="{7984C760-6552-D76D-D5BE-6414038A3BFB}"/>
            </a:ext>
            <a:ext uri="{147F2762-F138-4A5C-976F-8EAC2B608ADB}">
              <a16:predDERef xmlns:a16="http://schemas.microsoft.com/office/drawing/2014/main" pred="{126E17D4-DBF9-19F2-BB49-4E3381566922}"/>
            </a:ext>
          </a:extLst>
        </xdr:cNvPr>
        <xdr:cNvPicPr>
          <a:picLocks noChangeAspect="1"/>
        </xdr:cNvPicPr>
      </xdr:nvPicPr>
      <xdr:blipFill>
        <a:blip xmlns:r="http://schemas.openxmlformats.org/officeDocument/2006/relationships" r:embed="rId2"/>
        <a:stretch>
          <a:fillRect/>
        </a:stretch>
      </xdr:blipFill>
      <xdr:spPr>
        <a:xfrm>
          <a:off x="18726150" y="11363325"/>
          <a:ext cx="6136886" cy="3741961"/>
        </a:xfrm>
        <a:prstGeom prst="rect">
          <a:avLst/>
        </a:prstGeom>
      </xdr:spPr>
    </xdr:pic>
    <xdr:clientData/>
  </xdr:twoCellAnchor>
  <xdr:twoCellAnchor>
    <xdr:from>
      <xdr:col>23</xdr:col>
      <xdr:colOff>438150</xdr:colOff>
      <xdr:row>1</xdr:row>
      <xdr:rowOff>173355</xdr:rowOff>
    </xdr:from>
    <xdr:to>
      <xdr:col>39</xdr:col>
      <xdr:colOff>161715</xdr:colOff>
      <xdr:row>18</xdr:row>
      <xdr:rowOff>88265</xdr:rowOff>
    </xdr:to>
    <xdr:graphicFrame macro="">
      <xdr:nvGraphicFramePr>
        <xdr:cNvPr id="5" name="Chart 1">
          <a:extLst>
            <a:ext uri="{FF2B5EF4-FFF2-40B4-BE49-F238E27FC236}">
              <a16:creationId xmlns:a16="http://schemas.microsoft.com/office/drawing/2014/main" id="{C4376722-137E-4A81-B2DE-179229AA5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447675</xdr:colOff>
      <xdr:row>19</xdr:row>
      <xdr:rowOff>114300</xdr:rowOff>
    </xdr:from>
    <xdr:to>
      <xdr:col>39</xdr:col>
      <xdr:colOff>222824</xdr:colOff>
      <xdr:row>44</xdr:row>
      <xdr:rowOff>133043</xdr:rowOff>
    </xdr:to>
    <xdr:graphicFrame macro="">
      <xdr:nvGraphicFramePr>
        <xdr:cNvPr id="7" name="Chart 2">
          <a:extLst>
            <a:ext uri="{FF2B5EF4-FFF2-40B4-BE49-F238E27FC236}">
              <a16:creationId xmlns:a16="http://schemas.microsoft.com/office/drawing/2014/main" id="{57823696-3722-44AE-AB80-0E82B31A69AF}"/>
            </a:ext>
            <a:ext uri="{147F2762-F138-4A5C-976F-8EAC2B608ADB}">
              <a16:predDERef xmlns:a16="http://schemas.microsoft.com/office/drawing/2014/main" pred="{739FCDD5-3C6A-46AF-B213-5AEAD1255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275992</xdr:colOff>
      <xdr:row>55</xdr:row>
      <xdr:rowOff>56592</xdr:rowOff>
    </xdr:from>
    <xdr:to>
      <xdr:col>12</xdr:col>
      <xdr:colOff>133109</xdr:colOff>
      <xdr:row>60</xdr:row>
      <xdr:rowOff>71718</xdr:rowOff>
    </xdr:to>
    <xdr:pic>
      <xdr:nvPicPr>
        <xdr:cNvPr id="15" name="Picture 1">
          <a:extLst>
            <a:ext uri="{FF2B5EF4-FFF2-40B4-BE49-F238E27FC236}">
              <a16:creationId xmlns:a16="http://schemas.microsoft.com/office/drawing/2014/main" id="{9A590C60-08DB-6F41-3522-A1743F8C53BD}"/>
            </a:ext>
            <a:ext uri="{147F2762-F138-4A5C-976F-8EAC2B608ADB}">
              <a16:predDERef xmlns:a16="http://schemas.microsoft.com/office/drawing/2014/main" pred="{57823696-3722-44AE-AB80-0E82B31A69AF}"/>
            </a:ext>
          </a:extLst>
        </xdr:cNvPr>
        <xdr:cNvPicPr>
          <a:picLocks noChangeAspect="1"/>
        </xdr:cNvPicPr>
      </xdr:nvPicPr>
      <xdr:blipFill>
        <a:blip xmlns:r="http://schemas.openxmlformats.org/officeDocument/2006/relationships" r:embed="rId5"/>
        <a:stretch>
          <a:fillRect/>
        </a:stretch>
      </xdr:blipFill>
      <xdr:spPr>
        <a:xfrm>
          <a:off x="7940816" y="11217651"/>
          <a:ext cx="3945022" cy="875738"/>
        </a:xfrm>
        <a:prstGeom prst="rect">
          <a:avLst/>
        </a:prstGeom>
      </xdr:spPr>
    </xdr:pic>
    <xdr:clientData/>
  </xdr:twoCellAnchor>
  <xdr:twoCellAnchor>
    <xdr:from>
      <xdr:col>2</xdr:col>
      <xdr:colOff>0</xdr:colOff>
      <xdr:row>62</xdr:row>
      <xdr:rowOff>152400</xdr:rowOff>
    </xdr:from>
    <xdr:to>
      <xdr:col>7</xdr:col>
      <xdr:colOff>390525</xdr:colOff>
      <xdr:row>90</xdr:row>
      <xdr:rowOff>152400</xdr:rowOff>
    </xdr:to>
    <xdr:pic>
      <xdr:nvPicPr>
        <xdr:cNvPr id="9" name="Picture 8">
          <a:extLst>
            <a:ext uri="{FF2B5EF4-FFF2-40B4-BE49-F238E27FC236}">
              <a16:creationId xmlns:a16="http://schemas.microsoft.com/office/drawing/2014/main" id="{18285506-6BEC-8E1C-D4DD-1DBDD029144A}"/>
            </a:ext>
            <a:ext uri="{147F2762-F138-4A5C-976F-8EAC2B608ADB}">
              <a16:predDERef xmlns:a16="http://schemas.microsoft.com/office/drawing/2014/main" pred="{E0538144-8E23-7116-BC8E-2FA266117C23}"/>
            </a:ext>
          </a:extLst>
        </xdr:cNvPr>
        <xdr:cNvPicPr>
          <a:picLocks noChangeAspect="1"/>
        </xdr:cNvPicPr>
      </xdr:nvPicPr>
      <xdr:blipFill>
        <a:blip xmlns:r="http://schemas.openxmlformats.org/officeDocument/2006/relationships" r:embed="rId6"/>
        <a:stretch>
          <a:fillRect/>
        </a:stretch>
      </xdr:blipFill>
      <xdr:spPr>
        <a:xfrm>
          <a:off x="1162050" y="12258675"/>
          <a:ext cx="5534025" cy="4533900"/>
        </a:xfrm>
        <a:prstGeom prst="rect">
          <a:avLst/>
        </a:prstGeom>
      </xdr:spPr>
    </xdr:pic>
    <xdr:clientData/>
  </xdr:twoCellAnchor>
  <xdr:twoCellAnchor>
    <xdr:from>
      <xdr:col>2</xdr:col>
      <xdr:colOff>0</xdr:colOff>
      <xdr:row>94</xdr:row>
      <xdr:rowOff>0</xdr:rowOff>
    </xdr:from>
    <xdr:to>
      <xdr:col>6</xdr:col>
      <xdr:colOff>571500</xdr:colOff>
      <xdr:row>115</xdr:row>
      <xdr:rowOff>123824</xdr:rowOff>
    </xdr:to>
    <xdr:pic>
      <xdr:nvPicPr>
        <xdr:cNvPr id="10" name="Picture 9">
          <a:extLst>
            <a:ext uri="{FF2B5EF4-FFF2-40B4-BE49-F238E27FC236}">
              <a16:creationId xmlns:a16="http://schemas.microsoft.com/office/drawing/2014/main" id="{1D886C86-8A61-A0AC-B74C-70ABC6C06B52}"/>
            </a:ext>
            <a:ext uri="{147F2762-F138-4A5C-976F-8EAC2B608ADB}">
              <a16:predDERef xmlns:a16="http://schemas.microsoft.com/office/drawing/2014/main" pred="{18285506-6BEC-8E1C-D4DD-1DBDD029144A}"/>
            </a:ext>
          </a:extLst>
        </xdr:cNvPr>
        <xdr:cNvPicPr>
          <a:picLocks noChangeAspect="1"/>
        </xdr:cNvPicPr>
      </xdr:nvPicPr>
      <xdr:blipFill>
        <a:blip xmlns:r="http://schemas.openxmlformats.org/officeDocument/2006/relationships" r:embed="rId7"/>
        <a:stretch>
          <a:fillRect/>
        </a:stretch>
      </xdr:blipFill>
      <xdr:spPr>
        <a:xfrm>
          <a:off x="1162050" y="17287875"/>
          <a:ext cx="4572000" cy="3524250"/>
        </a:xfrm>
        <a:prstGeom prst="rect">
          <a:avLst/>
        </a:prstGeom>
      </xdr:spPr>
    </xdr:pic>
    <xdr:clientData/>
  </xdr:twoCellAnchor>
  <xdr:twoCellAnchor>
    <xdr:from>
      <xdr:col>2</xdr:col>
      <xdr:colOff>9525</xdr:colOff>
      <xdr:row>116</xdr:row>
      <xdr:rowOff>28575</xdr:rowOff>
    </xdr:from>
    <xdr:to>
      <xdr:col>6</xdr:col>
      <xdr:colOff>581025</xdr:colOff>
      <xdr:row>145</xdr:row>
      <xdr:rowOff>95250</xdr:rowOff>
    </xdr:to>
    <xdr:pic>
      <xdr:nvPicPr>
        <xdr:cNvPr id="11" name="Picture 10">
          <a:extLst>
            <a:ext uri="{FF2B5EF4-FFF2-40B4-BE49-F238E27FC236}">
              <a16:creationId xmlns:a16="http://schemas.microsoft.com/office/drawing/2014/main" id="{FCF2D122-F29A-9ABD-1C1B-9A7224827DCE}"/>
            </a:ext>
            <a:ext uri="{147F2762-F138-4A5C-976F-8EAC2B608ADB}">
              <a16:predDERef xmlns:a16="http://schemas.microsoft.com/office/drawing/2014/main" pred="{1D886C86-8A61-A0AC-B74C-70ABC6C06B52}"/>
            </a:ext>
          </a:extLst>
        </xdr:cNvPr>
        <xdr:cNvPicPr>
          <a:picLocks noChangeAspect="1"/>
        </xdr:cNvPicPr>
      </xdr:nvPicPr>
      <xdr:blipFill>
        <a:blip xmlns:r="http://schemas.openxmlformats.org/officeDocument/2006/relationships" r:embed="rId8"/>
        <a:stretch>
          <a:fillRect/>
        </a:stretch>
      </xdr:blipFill>
      <xdr:spPr>
        <a:xfrm>
          <a:off x="1171575" y="20878800"/>
          <a:ext cx="4572000" cy="47625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title24stakeholders.com/wp-content/uploads/2016/10/T24-2019-CASE-Study-Results-Report-Outdoor-Sources_Final_with-Attachments.pdf" TargetMode="External"/><Relationship Id="rId13" Type="http://schemas.openxmlformats.org/officeDocument/2006/relationships/drawing" Target="../drawings/drawing1.xml"/><Relationship Id="rId3" Type="http://schemas.openxmlformats.org/officeDocument/2006/relationships/hyperlink" Target="https://github.com/sound-data/DEER-Prototypes-EnergyPlus" TargetMode="External"/><Relationship Id="rId7" Type="http://schemas.openxmlformats.org/officeDocument/2006/relationships/hyperlink" Target="https://2050partners.sharepoint.com/:w:/r/sites/CalBEMCollaborativeEfforts/_layouts/15/Doc.aspx?sourcedoc=%7B3BEF8F74-7FAC-44F2-A70C-D76617660066%7D&amp;file=Infiltration_rate_report_14May2025-Short-Version.docx&amp;action=default&amp;mobileredirect=true" TargetMode="External"/><Relationship Id="rId12" Type="http://schemas.openxmlformats.org/officeDocument/2006/relationships/hyperlink" Target="https://caenergywise.com/design-guides/hot-water/Technical_Design_Guide.pdf" TargetMode="External"/><Relationship Id="rId2" Type="http://schemas.openxmlformats.org/officeDocument/2006/relationships/hyperlink" Target="https://www.energycodes.gov/prototype-building-models" TargetMode="External"/><Relationship Id="rId1" Type="http://schemas.openxmlformats.org/officeDocument/2006/relationships/hyperlink" Target="https://bees.noresco.com/software2022.html" TargetMode="External"/><Relationship Id="rId6" Type="http://schemas.openxmlformats.org/officeDocument/2006/relationships/hyperlink" Target="https://www.pnnl.gov/main/publications/external/technical_reports/PNNL-20405.pdf" TargetMode="External"/><Relationship Id="rId11" Type="http://schemas.openxmlformats.org/officeDocument/2006/relationships/hyperlink" Target="https://efiling.energy.ca.gov/GetDocument.aspx?tn=265693&amp;DocumentContentId=102545" TargetMode="External"/><Relationship Id="rId5" Type="http://schemas.openxmlformats.org/officeDocument/2006/relationships/hyperlink" Target="https://title24stakeholders.com/wp-content/uploads/2020/10/2022-T24-Final-CASE-Report_Reduce-Infiltration.pdf" TargetMode="External"/><Relationship Id="rId10" Type="http://schemas.openxmlformats.org/officeDocument/2006/relationships/hyperlink" Target="https://www.streivor.com/wp-content/uploads/2020/11/CKV-Design-Guide-1-Selecting-and-Sizing-Exhaust-Hoods.pdf" TargetMode="External"/><Relationship Id="rId4" Type="http://schemas.openxmlformats.org/officeDocument/2006/relationships/hyperlink" Target="https://www.energy.ca.gov/publications/2022/2022-nonresidential-and-multifamily-alternative-calculation-method-reference" TargetMode="External"/><Relationship Id="rId9" Type="http://schemas.openxmlformats.org/officeDocument/2006/relationships/hyperlink" Target="https://www.eia.gov/consumption/commercial/pba/food-service.php"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s://www.naksinc.com/ceiling-height-and-cooking-equipment-specifications-for-hoods-an-in-depth-look/"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2050partners.sharepoint.com/:w:/r/sites/CalBEMCollaborativeEfforts/_layouts/15/Doc.aspx?sourcedoc=%7B3BEF8F74-7FAC-44F2-A70C-D76617660066%7D&amp;file=Infiltration_rate_report_14May2025-Short-Version.docx&amp;action=default&amp;mobileredirect=true&amp;wdLOR=c37D90580-1DC7-4CAF-9995-F2723497E773" TargetMode="External"/><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title24stakeholders.com/wp-content/uploads/2020/10/2022-T24-Final-CASE-Report_Reduce-Infiltration.pdf"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streivor.com/wp-content/uploads/2020/11/CKV-Design-Guide-1-Selecting-and-Sizing-Exhaust-Hoods.pdf"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https://github.com/pnnl/COMNET/blob/master/Building_Space_Specific_Loads/dining__cafeteria_fast_food/dining_cafeteria_fast_food/space_specific_schedules.json" TargetMode="External"/><Relationship Id="rId1" Type="http://schemas.openxmlformats.org/officeDocument/2006/relationships/hyperlink" Target="https://github.com/pnnl/COMNET/blob/master/Building_Space_Specific_Loads/dining__cafeteria_fast_food/kitchen/space_specific_schedules.json"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https://portfoliomanager.energystar.gov/pm/targetFinder?execution=e1s1" TargetMode="External"/><Relationship Id="rId1" Type="http://schemas.openxmlformats.org/officeDocument/2006/relationships/hyperlink" Target="https://www.eia.gov/consumption/commercial/pba/food-service.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E71"/>
  <sheetViews>
    <sheetView zoomScaleNormal="100" workbookViewId="0">
      <selection sqref="A1:C1"/>
    </sheetView>
  </sheetViews>
  <sheetFormatPr defaultColWidth="9.33203125" defaultRowHeight="13.2" x14ac:dyDescent="0.25"/>
  <cols>
    <col min="1" max="1" width="20.33203125" style="5" customWidth="1"/>
    <col min="2" max="2" width="105.33203125" style="5" customWidth="1"/>
    <col min="3" max="3" width="39.6640625" style="5" customWidth="1"/>
    <col min="4" max="4" width="9.33203125" style="5"/>
    <col min="5" max="5" width="21.6640625" style="5" customWidth="1"/>
    <col min="6" max="6" width="10.6640625" style="5" customWidth="1"/>
    <col min="7" max="7" width="9.6640625" style="5" customWidth="1"/>
    <col min="8" max="8" width="9.6640625" style="5" bestFit="1" customWidth="1"/>
    <col min="9" max="9" width="12.44140625" style="5" customWidth="1"/>
    <col min="10" max="10" width="9.33203125" style="5"/>
    <col min="11" max="11" width="12.5546875" style="5" customWidth="1"/>
    <col min="12" max="16384" width="9.33203125" style="5"/>
  </cols>
  <sheetData>
    <row r="1" spans="1:4" ht="20.399999999999999" customHeight="1" x14ac:dyDescent="0.25">
      <c r="A1" s="738" t="s">
        <v>0</v>
      </c>
      <c r="B1" s="738"/>
      <c r="C1" s="738"/>
    </row>
    <row r="2" spans="1:4" x14ac:dyDescent="0.25">
      <c r="A2" s="737" t="s">
        <v>1</v>
      </c>
      <c r="B2" s="5" t="s">
        <v>2</v>
      </c>
      <c r="C2" s="698"/>
      <c r="D2" s="5" t="s">
        <v>3</v>
      </c>
    </row>
    <row r="3" spans="1:4" x14ac:dyDescent="0.25">
      <c r="A3" s="737"/>
      <c r="B3" s="5" t="s">
        <v>4</v>
      </c>
      <c r="C3" s="698"/>
      <c r="D3" s="5" t="s">
        <v>3</v>
      </c>
    </row>
    <row r="4" spans="1:4" x14ac:dyDescent="0.25">
      <c r="A4" s="737"/>
      <c r="B4" s="5" t="s">
        <v>5</v>
      </c>
      <c r="C4" s="698"/>
      <c r="D4" s="5" t="s">
        <v>3</v>
      </c>
    </row>
    <row r="5" spans="1:4" x14ac:dyDescent="0.25">
      <c r="A5" s="737"/>
      <c r="B5" s="5" t="s">
        <v>6</v>
      </c>
      <c r="C5" s="698"/>
      <c r="D5" s="5" t="s">
        <v>3</v>
      </c>
    </row>
    <row r="6" spans="1:4" ht="14.4" x14ac:dyDescent="0.3">
      <c r="A6" s="737" t="s">
        <v>7</v>
      </c>
      <c r="B6" s="5" t="s">
        <v>8</v>
      </c>
      <c r="C6" s="159" t="s">
        <v>9</v>
      </c>
      <c r="D6" s="5" t="s">
        <v>3</v>
      </c>
    </row>
    <row r="7" spans="1:4" ht="14.4" x14ac:dyDescent="0.3">
      <c r="A7" s="737"/>
      <c r="B7" s="5" t="s">
        <v>10</v>
      </c>
      <c r="C7" s="159" t="s">
        <v>11</v>
      </c>
      <c r="D7" s="5" t="s">
        <v>3</v>
      </c>
    </row>
    <row r="8" spans="1:4" ht="14.4" x14ac:dyDescent="0.3">
      <c r="A8" s="737"/>
      <c r="B8" s="5" t="s">
        <v>12</v>
      </c>
      <c r="C8" s="159" t="s">
        <v>13</v>
      </c>
      <c r="D8" s="5" t="s">
        <v>3</v>
      </c>
    </row>
    <row r="9" spans="1:4" ht="14.4" x14ac:dyDescent="0.3">
      <c r="A9" s="737"/>
      <c r="C9" s="159"/>
      <c r="D9" s="5" t="s">
        <v>3</v>
      </c>
    </row>
    <row r="10" spans="1:4" x14ac:dyDescent="0.25">
      <c r="A10" s="737" t="s">
        <v>14</v>
      </c>
      <c r="B10" s="5" t="s">
        <v>15</v>
      </c>
      <c r="C10" s="698"/>
      <c r="D10" s="5" t="s">
        <v>3</v>
      </c>
    </row>
    <row r="11" spans="1:4" x14ac:dyDescent="0.25">
      <c r="A11" s="737"/>
      <c r="B11" s="5" t="s">
        <v>16</v>
      </c>
      <c r="C11" s="698"/>
      <c r="D11" s="5" t="s">
        <v>3</v>
      </c>
    </row>
    <row r="12" spans="1:4" x14ac:dyDescent="0.25">
      <c r="A12" s="737"/>
      <c r="C12" s="698"/>
      <c r="D12" s="5" t="s">
        <v>3</v>
      </c>
    </row>
    <row r="13" spans="1:4" ht="12.75" customHeight="1" x14ac:dyDescent="0.25">
      <c r="A13" s="737" t="s">
        <v>17</v>
      </c>
      <c r="B13" s="121" t="s">
        <v>18</v>
      </c>
      <c r="C13" s="121"/>
      <c r="D13" s="5" t="s">
        <v>3</v>
      </c>
    </row>
    <row r="14" spans="1:4" ht="14.4" x14ac:dyDescent="0.3">
      <c r="A14" s="737"/>
      <c r="B14" s="121" t="s">
        <v>19</v>
      </c>
      <c r="C14" s="159" t="s">
        <v>20</v>
      </c>
      <c r="D14" s="5" t="s">
        <v>3</v>
      </c>
    </row>
    <row r="15" spans="1:4" ht="12.75" customHeight="1" x14ac:dyDescent="0.3">
      <c r="A15" s="737"/>
      <c r="B15" s="72" t="s">
        <v>21</v>
      </c>
      <c r="C15" s="159" t="s">
        <v>22</v>
      </c>
      <c r="D15" s="5" t="s">
        <v>3</v>
      </c>
    </row>
    <row r="16" spans="1:4" ht="12.75" customHeight="1" x14ac:dyDescent="0.3">
      <c r="A16" s="737"/>
      <c r="B16" s="5" t="s">
        <v>23</v>
      </c>
      <c r="C16" s="159" t="s">
        <v>24</v>
      </c>
      <c r="D16" s="5" t="s">
        <v>3</v>
      </c>
    </row>
    <row r="17" spans="1:5" ht="12.75" customHeight="1" x14ac:dyDescent="0.3">
      <c r="A17" s="737"/>
      <c r="B17" s="5" t="s">
        <v>25</v>
      </c>
      <c r="C17" s="159" t="s">
        <v>26</v>
      </c>
      <c r="D17" s="5" t="s">
        <v>3</v>
      </c>
    </row>
    <row r="18" spans="1:5" ht="12.75" customHeight="1" x14ac:dyDescent="0.3">
      <c r="A18" s="737"/>
      <c r="B18" s="5" t="s">
        <v>27</v>
      </c>
      <c r="C18" s="160" t="s">
        <v>28</v>
      </c>
      <c r="D18" s="5" t="s">
        <v>3</v>
      </c>
    </row>
    <row r="19" spans="1:5" ht="29.4" customHeight="1" x14ac:dyDescent="0.25">
      <c r="A19" s="737"/>
      <c r="B19" s="11" t="s">
        <v>29</v>
      </c>
      <c r="C19" s="567" t="s">
        <v>30</v>
      </c>
      <c r="D19" s="5" t="s">
        <v>3</v>
      </c>
    </row>
    <row r="20" spans="1:5" ht="29.4" customHeight="1" x14ac:dyDescent="0.25">
      <c r="A20" s="737"/>
      <c r="B20" s="11" t="s">
        <v>31</v>
      </c>
      <c r="C20" s="57" t="s">
        <v>32</v>
      </c>
      <c r="D20" s="11" t="s">
        <v>3</v>
      </c>
      <c r="E20" s="57"/>
    </row>
    <row r="21" spans="1:5" ht="28.2" customHeight="1" x14ac:dyDescent="0.25">
      <c r="A21" s="737"/>
      <c r="B21" s="11" t="s">
        <v>33</v>
      </c>
      <c r="C21" s="57" t="s">
        <v>34</v>
      </c>
      <c r="D21" s="5" t="s">
        <v>3</v>
      </c>
    </row>
    <row r="22" spans="1:5" ht="13.8" x14ac:dyDescent="0.3">
      <c r="A22" s="741" t="s">
        <v>35</v>
      </c>
      <c r="B22" s="5" t="s">
        <v>36</v>
      </c>
      <c r="C22" s="593" t="str">
        <f>HYPERLINK("https://www.energystar.gov/productfinder/product/certified-commercial-water-heaters/results?fuel_filter=Gas&amp;markets_filter=United+States","ENERGY STAR product finder — gas")</f>
        <v>ENERGY STAR product finder — gas</v>
      </c>
    </row>
    <row r="23" spans="1:5" ht="13.8" x14ac:dyDescent="0.3">
      <c r="A23" s="741"/>
      <c r="B23" s="5" t="s">
        <v>37</v>
      </c>
      <c r="C23" s="593" t="str">
        <f>HYPERLINK("https://data.energystar.gov/Active-Specifications/ENERGY-STAR-Certified-Commercial-Water-Heaters/xmq6-bm79","ENERGY STAR dataset xmq6-bm79")</f>
        <v>ENERGY STAR dataset xmq6-bm79</v>
      </c>
    </row>
    <row r="24" spans="1:5" ht="13.8" x14ac:dyDescent="0.3">
      <c r="A24" s="741"/>
      <c r="B24" s="5" t="s">
        <v>38</v>
      </c>
      <c r="C24" s="593" t="str">
        <f>HYPERLINK("https://www.energystar.gov/products/water_heaters/commercial_water_heaters/key_product_criteria","ENERGY STAR key product criteria")</f>
        <v>ENERGY STAR key product criteria</v>
      </c>
    </row>
    <row r="25" spans="1:5" ht="13.8" x14ac:dyDescent="0.3">
      <c r="A25" s="741"/>
      <c r="B25" s="5" t="s">
        <v>39</v>
      </c>
      <c r="C25" s="593" t="str">
        <f>HYPERLINK("https://www.grainger.com/category/plumbing/water-heaters/gas-tank-water-heaters","Grainger — gas tank WH")</f>
        <v>Grainger — gas tank WH</v>
      </c>
    </row>
    <row r="26" spans="1:5" ht="13.8" x14ac:dyDescent="0.3">
      <c r="A26" s="741"/>
      <c r="B26" s="5" t="s">
        <v>40</v>
      </c>
      <c r="C26" s="593" t="str">
        <f>HYPERLINK("https://www.grainger.com/category/plumbing/water-heaters/electric-tank-water-heaters","Grainger — electric tank WH")</f>
        <v>Grainger — electric tank WH</v>
      </c>
    </row>
    <row r="27" spans="1:5" ht="13.8" x14ac:dyDescent="0.3">
      <c r="A27" s="741"/>
      <c r="B27" s="5" t="s">
        <v>41</v>
      </c>
      <c r="C27" s="593" t="str">
        <f>HYPERLINK("https://www.energystar.gov/productfinder/product/certified-commercial-water-heaters/results?fuel_filter=Electric&amp;markets_filter=United+States","ENERGY STAR — electric (HPWH)")</f>
        <v>ENERGY STAR — electric (HPWH)</v>
      </c>
    </row>
    <row r="28" spans="1:5" x14ac:dyDescent="0.25">
      <c r="C28" s="698"/>
    </row>
    <row r="29" spans="1:5" x14ac:dyDescent="0.25">
      <c r="C29" s="698"/>
    </row>
    <row r="30" spans="1:5" x14ac:dyDescent="0.25">
      <c r="C30" s="698"/>
    </row>
    <row r="31" spans="1:5" x14ac:dyDescent="0.25">
      <c r="C31" s="698"/>
    </row>
    <row r="32" spans="1:5" x14ac:dyDescent="0.25">
      <c r="C32" s="698"/>
    </row>
    <row r="33" spans="1:5" x14ac:dyDescent="0.25">
      <c r="C33" s="698"/>
    </row>
    <row r="34" spans="1:5" x14ac:dyDescent="0.25">
      <c r="C34" s="698"/>
    </row>
    <row r="35" spans="1:5" x14ac:dyDescent="0.25">
      <c r="C35" s="698"/>
    </row>
    <row r="36" spans="1:5" ht="19.2" customHeight="1" x14ac:dyDescent="0.25">
      <c r="A36" s="738" t="s">
        <v>42</v>
      </c>
      <c r="B36" s="738"/>
      <c r="C36" s="738"/>
    </row>
    <row r="37" spans="1:5" ht="34.200000000000003" customHeight="1" x14ac:dyDescent="0.25">
      <c r="A37" s="8"/>
      <c r="B37" s="740"/>
      <c r="C37" s="741"/>
      <c r="E37" s="703"/>
    </row>
    <row r="38" spans="1:5" x14ac:dyDescent="0.25">
      <c r="A38" s="9"/>
      <c r="B38" s="739"/>
      <c r="C38" s="739"/>
      <c r="E38" s="703"/>
    </row>
    <row r="40" spans="1:5" ht="14.4" x14ac:dyDescent="0.3">
      <c r="A40" s="5" t="s">
        <v>43</v>
      </c>
      <c r="B40" s="122" t="s">
        <v>44</v>
      </c>
    </row>
    <row r="71" spans="1:1" x14ac:dyDescent="0.25">
      <c r="A71" s="6" t="s">
        <v>45</v>
      </c>
    </row>
  </sheetData>
  <mergeCells count="9">
    <mergeCell ref="A2:A5"/>
    <mergeCell ref="A6:A9"/>
    <mergeCell ref="A1:C1"/>
    <mergeCell ref="B38:C38"/>
    <mergeCell ref="A36:C36"/>
    <mergeCell ref="A10:A12"/>
    <mergeCell ref="B37:C37"/>
    <mergeCell ref="A13:A21"/>
    <mergeCell ref="A22:A27"/>
  </mergeCells>
  <hyperlinks>
    <hyperlink ref="C6" r:id="rId1" xr:uid="{BE11EEF8-3AF7-48F0-A38B-7309CE5A9491}"/>
    <hyperlink ref="C7" r:id="rId2" location="Commercial" xr:uid="{626A4776-C2FA-489E-88C0-BC9C7C8EA36F}"/>
    <hyperlink ref="C8" r:id="rId3" xr:uid="{0DEB00BB-3A26-4527-9ED4-40D17F93A579}"/>
    <hyperlink ref="C14" r:id="rId4" xr:uid="{C101F69F-EDD8-471F-98DF-28BD71BFA34E}"/>
    <hyperlink ref="C15" r:id="rId5" xr:uid="{C21443C5-174B-48CB-B5FC-BB95D3C23A8F}"/>
    <hyperlink ref="C17" r:id="rId6" xr:uid="{4E61207C-6D7D-460C-9DCB-0AE5748B3693}"/>
    <hyperlink ref="C18" r:id="rId7" xr:uid="{5BC370BB-1BDD-4FB0-B79E-B506D3A772A4}"/>
    <hyperlink ref="C16" r:id="rId8" xr:uid="{69576B2E-A9A2-478E-A000-014A867874A5}"/>
    <hyperlink ref="B40" r:id="rId9" display="https://www.eia.gov/consumption/commercial/pba/food-service.php" xr:uid="{775440FD-5C1E-46FB-84FC-8D3732AECB8F}"/>
    <hyperlink ref="C20" r:id="rId10" xr:uid="{D668C4E4-9D9B-4EE5-8E56-7890087F99C8}"/>
    <hyperlink ref="C21" r:id="rId11" xr:uid="{74738EBA-23F7-4047-85DF-1FEDF9FA120E}"/>
    <hyperlink ref="C19" r:id="rId12" xr:uid="{576A985F-82C9-448B-AD77-46E23571E35A}"/>
  </hyperlinks>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BF100"/>
  <sheetViews>
    <sheetView zoomScale="70" zoomScaleNormal="70" workbookViewId="0">
      <selection sqref="A1:C1"/>
    </sheetView>
  </sheetViews>
  <sheetFormatPr defaultColWidth="9.33203125" defaultRowHeight="13.8" x14ac:dyDescent="0.25"/>
  <cols>
    <col min="1" max="1" width="25" style="3" customWidth="1"/>
    <col min="2" max="2" width="51.33203125" style="3" customWidth="1"/>
    <col min="3" max="3" width="49.6640625" style="3" customWidth="1"/>
    <col min="4" max="4" width="51" style="3" customWidth="1"/>
    <col min="5" max="5" width="55.5546875" style="3" customWidth="1"/>
    <col min="6" max="6" width="50.33203125" style="3" customWidth="1"/>
    <col min="7" max="7" width="44.88671875" style="3" customWidth="1"/>
    <col min="8" max="8" width="48.33203125" style="3" customWidth="1"/>
    <col min="9" max="9" width="8.6640625" style="3" customWidth="1"/>
    <col min="10" max="16384" width="9.33203125" style="3"/>
  </cols>
  <sheetData>
    <row r="1" spans="1:9" ht="17.399999999999999" x14ac:dyDescent="0.25">
      <c r="A1" s="734" t="s">
        <v>687</v>
      </c>
      <c r="B1" s="734"/>
      <c r="C1" s="734"/>
      <c r="D1" s="12"/>
      <c r="E1" s="12"/>
      <c r="F1" s="12"/>
    </row>
    <row r="2" spans="1:9" ht="25.2" customHeight="1" x14ac:dyDescent="0.25">
      <c r="A2" s="735" t="s">
        <v>46</v>
      </c>
      <c r="B2" s="736"/>
      <c r="C2" s="736"/>
      <c r="D2" s="12"/>
      <c r="E2" s="12"/>
      <c r="F2" s="12"/>
    </row>
    <row r="3" spans="1:9" ht="20.399999999999999" customHeight="1" x14ac:dyDescent="0.25">
      <c r="A3" s="18" t="s">
        <v>47</v>
      </c>
      <c r="B3" s="465" t="s">
        <v>48</v>
      </c>
      <c r="C3" s="19" t="s">
        <v>0</v>
      </c>
    </row>
    <row r="4" spans="1:9" ht="16.2" customHeight="1" x14ac:dyDescent="0.25">
      <c r="A4" s="15" t="s">
        <v>49</v>
      </c>
      <c r="B4" s="709" t="s">
        <v>50</v>
      </c>
      <c r="C4" s="15"/>
    </row>
    <row r="5" spans="1:9" ht="16.2" customHeight="1" x14ac:dyDescent="0.25">
      <c r="A5" s="15" t="s">
        <v>51</v>
      </c>
      <c r="B5" s="709" t="s">
        <v>52</v>
      </c>
      <c r="C5" s="15"/>
    </row>
    <row r="6" spans="1:9" ht="86.25" customHeight="1" x14ac:dyDescent="0.25">
      <c r="A6" s="15" t="s">
        <v>53</v>
      </c>
      <c r="B6" s="16" t="s">
        <v>54</v>
      </c>
      <c r="C6" s="608" t="s">
        <v>55</v>
      </c>
      <c r="D6" s="57"/>
    </row>
    <row r="7" spans="1:9" ht="97.2" customHeight="1" x14ac:dyDescent="0.25">
      <c r="A7" s="15" t="s">
        <v>56</v>
      </c>
      <c r="B7" s="709"/>
      <c r="C7" s="17" t="s">
        <v>57</v>
      </c>
      <c r="D7" s="66"/>
      <c r="I7" s="4"/>
    </row>
    <row r="8" spans="1:9" ht="19.2" customHeight="1" x14ac:dyDescent="0.25">
      <c r="A8" s="13" t="s">
        <v>58</v>
      </c>
      <c r="B8" s="184" t="s">
        <v>59</v>
      </c>
      <c r="C8" s="183" t="s">
        <v>57</v>
      </c>
    </row>
    <row r="9" spans="1:9" ht="16.2" customHeight="1" x14ac:dyDescent="0.25">
      <c r="A9" s="13" t="s">
        <v>60</v>
      </c>
      <c r="B9" s="185">
        <v>1</v>
      </c>
      <c r="C9" s="17" t="s">
        <v>57</v>
      </c>
    </row>
    <row r="10" spans="1:9" ht="17.399999999999999" customHeight="1" x14ac:dyDescent="0.25">
      <c r="A10" s="14" t="s">
        <v>61</v>
      </c>
      <c r="B10" s="30">
        <v>1</v>
      </c>
      <c r="C10" s="183" t="s">
        <v>57</v>
      </c>
    </row>
    <row r="11" spans="1:9" ht="17.399999999999999" customHeight="1" x14ac:dyDescent="0.25">
      <c r="A11" s="14" t="s">
        <v>62</v>
      </c>
      <c r="B11" s="30" t="s">
        <v>63</v>
      </c>
      <c r="C11" s="183" t="s">
        <v>64</v>
      </c>
      <c r="D11" s="162"/>
      <c r="E11" s="73"/>
    </row>
    <row r="12" spans="1:9" ht="26.4" x14ac:dyDescent="0.25">
      <c r="A12" s="14" t="s">
        <v>65</v>
      </c>
      <c r="B12" s="174" t="s">
        <v>66</v>
      </c>
      <c r="C12" s="17" t="s">
        <v>57</v>
      </c>
    </row>
    <row r="13" spans="1:9" ht="14.7" customHeight="1" x14ac:dyDescent="0.25">
      <c r="A13" s="13" t="s">
        <v>67</v>
      </c>
      <c r="B13" s="394" t="s">
        <v>68</v>
      </c>
      <c r="C13" s="17" t="s">
        <v>69</v>
      </c>
    </row>
    <row r="14" spans="1:9" ht="14.7" customHeight="1" x14ac:dyDescent="0.25">
      <c r="A14" s="13" t="s">
        <v>70</v>
      </c>
      <c r="B14" s="30" t="s">
        <v>71</v>
      </c>
      <c r="C14" s="17" t="s">
        <v>57</v>
      </c>
      <c r="D14" s="162"/>
    </row>
    <row r="15" spans="1:9" ht="16.2" customHeight="1" x14ac:dyDescent="0.25">
      <c r="A15" s="13" t="s">
        <v>72</v>
      </c>
      <c r="B15" s="30">
        <v>10</v>
      </c>
      <c r="C15" s="183" t="s">
        <v>57</v>
      </c>
    </row>
    <row r="16" spans="1:9" x14ac:dyDescent="0.25">
      <c r="A16" s="13" t="s">
        <v>73</v>
      </c>
      <c r="B16" s="181" t="s">
        <v>74</v>
      </c>
      <c r="C16" s="17" t="s">
        <v>57</v>
      </c>
    </row>
    <row r="17" spans="1:58" x14ac:dyDescent="0.25">
      <c r="A17" s="568"/>
      <c r="B17" s="569"/>
      <c r="C17" s="703"/>
    </row>
    <row r="18" spans="1:58" x14ac:dyDescent="0.25">
      <c r="A18" s="568"/>
      <c r="B18" s="569"/>
      <c r="C18" s="703"/>
    </row>
    <row r="19" spans="1:58" ht="48.75" customHeight="1" x14ac:dyDescent="0.25">
      <c r="A19" s="571"/>
      <c r="B19" s="571"/>
      <c r="C19" s="571"/>
      <c r="D19" s="571"/>
      <c r="E19" s="571"/>
    </row>
    <row r="20" spans="1:58" x14ac:dyDescent="0.25">
      <c r="A20" s="568"/>
      <c r="B20" s="569"/>
      <c r="C20" s="703"/>
    </row>
    <row r="21" spans="1:58" ht="14.7" customHeight="1" x14ac:dyDescent="0.25"/>
    <row r="22" spans="1:58" s="119" customFormat="1" ht="16.95" hidden="1" customHeight="1" x14ac:dyDescent="0.3">
      <c r="A22" s="119" t="s">
        <v>81</v>
      </c>
    </row>
    <row r="23" spans="1:58" s="5" customFormat="1" ht="12.6" customHeight="1" x14ac:dyDescent="0.25">
      <c r="S23" s="28"/>
      <c r="T23" s="47"/>
      <c r="U23" s="48"/>
      <c r="V23" s="48"/>
      <c r="W23" s="48"/>
      <c r="X23" s="48"/>
      <c r="Y23" s="48"/>
      <c r="Z23" s="48"/>
      <c r="AA23" s="48"/>
      <c r="AB23" s="48"/>
      <c r="AC23" s="48"/>
      <c r="AD23" s="48"/>
      <c r="AE23" s="48"/>
      <c r="AF23" s="48"/>
      <c r="AG23" s="48"/>
      <c r="AH23" s="48"/>
      <c r="AI23" s="48"/>
      <c r="AJ23" s="48"/>
    </row>
    <row r="24" spans="1:58" s="5" customFormat="1" ht="12.6" customHeight="1" x14ac:dyDescent="0.25">
      <c r="A24" s="6" t="s">
        <v>82</v>
      </c>
      <c r="S24" s="28"/>
      <c r="T24" s="47"/>
      <c r="U24" s="48"/>
      <c r="V24" s="48"/>
      <c r="W24" s="48"/>
      <c r="X24" s="48"/>
      <c r="Y24" s="48"/>
      <c r="Z24" s="48"/>
      <c r="AA24" s="48"/>
      <c r="AB24" s="48"/>
      <c r="AC24" s="48"/>
      <c r="AD24" s="48"/>
      <c r="AE24" s="48"/>
      <c r="AF24" s="48"/>
      <c r="AG24" s="48"/>
      <c r="AH24" s="48"/>
      <c r="AI24" s="48"/>
      <c r="AJ24" s="48"/>
    </row>
    <row r="25" spans="1:58" s="5" customFormat="1" ht="12.6" customHeight="1" x14ac:dyDescent="0.3">
      <c r="A25" s="122" t="s">
        <v>83</v>
      </c>
      <c r="S25" s="28"/>
      <c r="T25" s="47"/>
      <c r="U25" s="48"/>
      <c r="V25" s="48"/>
      <c r="W25" s="48"/>
      <c r="X25" s="48"/>
      <c r="Y25" s="48"/>
      <c r="Z25" s="48"/>
      <c r="AA25" s="48"/>
      <c r="AB25" s="48"/>
      <c r="AC25" s="48"/>
      <c r="AD25" s="48"/>
      <c r="AE25" s="48"/>
      <c r="AF25" s="48"/>
      <c r="AG25" s="48"/>
      <c r="AH25" s="48"/>
      <c r="AI25" s="48"/>
      <c r="AJ25" s="48"/>
    </row>
    <row r="26" spans="1:58" s="5" customFormat="1" ht="12.6" customHeight="1" x14ac:dyDescent="0.25">
      <c r="S26" s="28"/>
      <c r="T26" s="47"/>
      <c r="U26" s="48"/>
      <c r="V26" s="48"/>
      <c r="W26" s="48"/>
      <c r="X26" s="48"/>
      <c r="Y26" s="48"/>
      <c r="Z26" s="48"/>
      <c r="AA26" s="48"/>
      <c r="AB26" s="48"/>
      <c r="AC26" s="48"/>
      <c r="AD26" s="48"/>
      <c r="AE26" s="48"/>
      <c r="AF26" s="48"/>
      <c r="AG26" s="48"/>
      <c r="AH26" s="48"/>
      <c r="AI26" s="48"/>
      <c r="AJ26" s="48"/>
    </row>
    <row r="27" spans="1:58" s="52" customFormat="1" ht="26.4" customHeight="1" x14ac:dyDescent="0.25">
      <c r="A27" s="402" t="s">
        <v>84</v>
      </c>
      <c r="B27" s="402"/>
      <c r="C27" s="3"/>
      <c r="D27" s="50"/>
      <c r="E27" s="50"/>
      <c r="F27" s="3"/>
      <c r="G27" s="50"/>
      <c r="H27" s="50"/>
      <c r="I27" s="50"/>
      <c r="J27" s="50"/>
      <c r="K27" s="50"/>
      <c r="L27" s="50"/>
      <c r="M27" s="50"/>
      <c r="N27" s="50"/>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row>
    <row r="28" spans="1:58" s="52" customFormat="1" ht="14.4" customHeight="1" x14ac:dyDescent="0.25">
      <c r="A28" s="403"/>
      <c r="B28" s="404"/>
      <c r="C28" s="405" t="s">
        <v>85</v>
      </c>
      <c r="D28" s="405" t="s">
        <v>86</v>
      </c>
      <c r="E28" s="3"/>
      <c r="F28" s="406" t="s">
        <v>87</v>
      </c>
      <c r="G28" s="210"/>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row>
    <row r="29" spans="1:58" s="52" customFormat="1" ht="127.2" customHeight="1" x14ac:dyDescent="0.3">
      <c r="A29" s="15" t="s">
        <v>75</v>
      </c>
      <c r="B29" s="407" t="s">
        <v>88</v>
      </c>
      <c r="C29" s="408"/>
      <c r="D29" s="350"/>
      <c r="E29" s="3"/>
      <c r="F29" s="258"/>
      <c r="G29" s="5"/>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row>
    <row r="30" spans="1:58" s="52" customFormat="1" ht="19.2" customHeight="1" x14ac:dyDescent="0.25">
      <c r="A30" s="409" t="s">
        <v>89</v>
      </c>
      <c r="B30" s="410" t="s">
        <v>90</v>
      </c>
      <c r="C30" s="411">
        <v>5502</v>
      </c>
      <c r="D30" s="411">
        <v>5602</v>
      </c>
      <c r="E30" s="348"/>
      <c r="F30" s="412">
        <v>2500</v>
      </c>
      <c r="G30" s="211"/>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row>
    <row r="31" spans="1:58" s="52" customFormat="1" ht="18" customHeight="1" x14ac:dyDescent="0.25">
      <c r="A31" s="413" t="s">
        <v>91</v>
      </c>
      <c r="B31" s="414" t="s">
        <v>92</v>
      </c>
      <c r="C31" s="455">
        <v>10</v>
      </c>
      <c r="D31" s="456">
        <v>10</v>
      </c>
      <c r="E31" s="348"/>
      <c r="F31" s="457">
        <v>10</v>
      </c>
      <c r="G31" s="212"/>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row>
    <row r="32" spans="1:58" s="52" customFormat="1" ht="26.4" customHeight="1" x14ac:dyDescent="0.25">
      <c r="A32" s="68" t="s">
        <v>93</v>
      </c>
      <c r="B32" s="415" t="s">
        <v>94</v>
      </c>
      <c r="C32" s="458" t="s">
        <v>95</v>
      </c>
      <c r="D32" s="458" t="s">
        <v>96</v>
      </c>
      <c r="E32" s="416"/>
      <c r="F32" s="459" t="s">
        <v>97</v>
      </c>
      <c r="G32" s="21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row>
    <row r="33" spans="1:58" x14ac:dyDescent="0.25">
      <c r="A33" s="730" t="s">
        <v>98</v>
      </c>
      <c r="B33" s="730"/>
      <c r="C33" s="730"/>
      <c r="D33" s="730"/>
      <c r="E33" s="417"/>
      <c r="F33" s="162"/>
    </row>
    <row r="34" spans="1:58" x14ac:dyDescent="0.25">
      <c r="A34" s="723" t="s">
        <v>99</v>
      </c>
      <c r="B34" s="418" t="s">
        <v>100</v>
      </c>
      <c r="C34" s="460">
        <v>7.0000000000000007E-2</v>
      </c>
      <c r="D34" s="460">
        <v>3.3000000000000002E-2</v>
      </c>
      <c r="E34" s="461"/>
      <c r="F34" s="419">
        <v>3.3000000000000002E-2</v>
      </c>
      <c r="G34" s="704"/>
      <c r="H34" s="721"/>
      <c r="I34" s="721"/>
      <c r="J34" s="721"/>
      <c r="K34" s="721"/>
      <c r="L34" s="721"/>
      <c r="M34" s="721"/>
      <c r="N34" s="721"/>
      <c r="O34" s="721"/>
      <c r="P34" s="721"/>
      <c r="Q34" s="721"/>
      <c r="R34" s="721"/>
      <c r="S34" s="721"/>
      <c r="T34" s="721"/>
      <c r="U34" s="721"/>
      <c r="V34" s="721"/>
      <c r="W34" s="721"/>
      <c r="X34" s="721"/>
      <c r="Y34" s="721"/>
      <c r="Z34" s="721"/>
      <c r="AA34" s="721"/>
      <c r="AB34" s="721"/>
      <c r="AC34" s="721"/>
      <c r="AD34" s="721"/>
      <c r="AE34" s="721"/>
      <c r="AF34" s="721"/>
      <c r="AG34" s="721"/>
      <c r="AH34" s="721"/>
      <c r="AI34" s="721"/>
      <c r="AJ34" s="721"/>
      <c r="AK34" s="721"/>
      <c r="AL34" s="721"/>
      <c r="AM34" s="721"/>
      <c r="AN34" s="721"/>
      <c r="AO34" s="721"/>
      <c r="AP34" s="721"/>
      <c r="AQ34" s="721"/>
      <c r="AR34" s="721"/>
      <c r="AS34" s="721"/>
      <c r="AT34" s="721"/>
      <c r="AU34" s="721"/>
      <c r="AV34" s="721"/>
      <c r="AW34" s="721"/>
      <c r="AX34" s="721"/>
      <c r="AY34" s="721"/>
      <c r="AZ34" s="721"/>
      <c r="BA34" s="721"/>
      <c r="BB34" s="721"/>
      <c r="BC34" s="721"/>
      <c r="BD34" s="721"/>
      <c r="BE34" s="721"/>
      <c r="BF34" s="721"/>
    </row>
    <row r="35" spans="1:58" x14ac:dyDescent="0.25">
      <c r="A35" s="723"/>
      <c r="B35" s="418" t="s">
        <v>80</v>
      </c>
      <c r="C35" s="460" t="s">
        <v>101</v>
      </c>
      <c r="D35" s="460">
        <v>2.5000000000000001E-3</v>
      </c>
      <c r="E35" s="461"/>
      <c r="F35" s="419">
        <v>2.5000000000000001E-3</v>
      </c>
      <c r="G35" s="704"/>
      <c r="H35" s="721"/>
      <c r="I35" s="721"/>
      <c r="J35" s="721"/>
      <c r="K35" s="721"/>
      <c r="L35" s="721"/>
      <c r="M35" s="721"/>
      <c r="N35" s="721"/>
      <c r="O35" s="721"/>
      <c r="P35" s="721"/>
      <c r="Q35" s="721"/>
      <c r="R35" s="721"/>
      <c r="S35" s="721"/>
      <c r="T35" s="721"/>
      <c r="U35" s="721"/>
      <c r="V35" s="721"/>
      <c r="W35" s="721"/>
      <c r="X35" s="721"/>
      <c r="Y35" s="721"/>
      <c r="Z35" s="721"/>
      <c r="AA35" s="721"/>
      <c r="AB35" s="721"/>
      <c r="AC35" s="721"/>
      <c r="AD35" s="721"/>
      <c r="AE35" s="721"/>
      <c r="AF35" s="721"/>
      <c r="AG35" s="721"/>
      <c r="AH35" s="721"/>
      <c r="AI35" s="721"/>
      <c r="AJ35" s="721"/>
      <c r="AK35" s="721"/>
      <c r="AL35" s="721"/>
      <c r="AM35" s="721"/>
      <c r="AN35" s="721"/>
      <c r="AO35" s="721"/>
      <c r="AP35" s="721"/>
      <c r="AQ35" s="721"/>
      <c r="AR35" s="721"/>
      <c r="AS35" s="721"/>
      <c r="AT35" s="721"/>
      <c r="AU35" s="721"/>
      <c r="AV35" s="721"/>
      <c r="AW35" s="721"/>
      <c r="AX35" s="721"/>
      <c r="AY35" s="721"/>
      <c r="AZ35" s="721"/>
      <c r="BA35" s="721"/>
      <c r="BB35" s="721"/>
      <c r="BC35" s="721"/>
      <c r="BD35" s="721"/>
      <c r="BE35" s="721"/>
      <c r="BF35" s="721"/>
    </row>
    <row r="36" spans="1:58" x14ac:dyDescent="0.25">
      <c r="A36" s="724"/>
      <c r="B36" s="418" t="s">
        <v>102</v>
      </c>
      <c r="C36" s="460"/>
      <c r="D36" s="460" t="s">
        <v>103</v>
      </c>
      <c r="E36" s="461"/>
      <c r="F36" s="420" t="s">
        <v>104</v>
      </c>
      <c r="G36" s="704"/>
      <c r="H36" s="721"/>
      <c r="I36" s="721"/>
      <c r="J36" s="721"/>
      <c r="K36" s="721"/>
      <c r="L36" s="721"/>
      <c r="M36" s="721"/>
      <c r="N36" s="721"/>
      <c r="O36" s="721"/>
      <c r="P36" s="721"/>
      <c r="Q36" s="721"/>
      <c r="R36" s="721"/>
      <c r="S36" s="721"/>
      <c r="T36" s="721"/>
      <c r="U36" s="721"/>
      <c r="V36" s="721"/>
      <c r="W36" s="721"/>
      <c r="X36" s="721"/>
      <c r="Y36" s="721"/>
      <c r="Z36" s="721"/>
      <c r="AA36" s="721"/>
      <c r="AB36" s="721"/>
      <c r="AC36" s="721"/>
      <c r="AD36" s="721"/>
      <c r="AE36" s="721"/>
      <c r="AF36" s="721"/>
      <c r="AG36" s="721"/>
      <c r="AH36" s="721"/>
      <c r="AI36" s="721"/>
      <c r="AJ36" s="721"/>
      <c r="AK36" s="721"/>
      <c r="AL36" s="721"/>
      <c r="AM36" s="721"/>
      <c r="AN36" s="721"/>
      <c r="AO36" s="721"/>
      <c r="AP36" s="721"/>
      <c r="AQ36" s="721"/>
      <c r="AR36" s="721"/>
      <c r="AS36" s="721"/>
      <c r="AT36" s="721"/>
      <c r="AU36" s="721"/>
      <c r="AV36" s="721"/>
      <c r="AW36" s="721"/>
      <c r="AX36" s="721"/>
      <c r="AY36" s="721"/>
      <c r="AZ36" s="721"/>
      <c r="BA36" s="721"/>
      <c r="BB36" s="721"/>
      <c r="BC36" s="721"/>
      <c r="BD36" s="721"/>
      <c r="BE36" s="721"/>
      <c r="BF36" s="721"/>
    </row>
    <row r="37" spans="1:58" x14ac:dyDescent="0.25">
      <c r="A37" s="726" t="s">
        <v>105</v>
      </c>
      <c r="B37" s="421" t="s">
        <v>100</v>
      </c>
      <c r="C37" s="422">
        <v>0.48</v>
      </c>
      <c r="D37" s="422">
        <v>0.4</v>
      </c>
      <c r="E37" s="348"/>
      <c r="F37" s="422">
        <v>0.45</v>
      </c>
      <c r="G37" s="704"/>
      <c r="H37" s="721"/>
      <c r="I37" s="721"/>
      <c r="J37" s="721"/>
      <c r="K37" s="721"/>
      <c r="L37" s="721"/>
      <c r="M37" s="721"/>
      <c r="N37" s="721"/>
      <c r="O37" s="721"/>
      <c r="P37" s="721"/>
      <c r="Q37" s="721"/>
      <c r="R37" s="721"/>
      <c r="S37" s="721"/>
      <c r="T37" s="721"/>
      <c r="U37" s="721"/>
      <c r="V37" s="721"/>
      <c r="W37" s="721"/>
      <c r="X37" s="721"/>
      <c r="Y37" s="721"/>
      <c r="Z37" s="721"/>
      <c r="AA37" s="721"/>
      <c r="AB37" s="721"/>
      <c r="AC37" s="721"/>
      <c r="AD37" s="721"/>
      <c r="AE37" s="721"/>
      <c r="AF37" s="721"/>
      <c r="AG37" s="721"/>
      <c r="AH37" s="721"/>
      <c r="AI37" s="721"/>
      <c r="AJ37" s="721"/>
      <c r="AK37" s="721"/>
      <c r="AL37" s="721"/>
      <c r="AM37" s="721"/>
      <c r="AN37" s="721"/>
      <c r="AO37" s="721"/>
      <c r="AP37" s="721"/>
      <c r="AQ37" s="721"/>
      <c r="AR37" s="721"/>
      <c r="AS37" s="721"/>
      <c r="AT37" s="721"/>
      <c r="AU37" s="721"/>
      <c r="AV37" s="721"/>
      <c r="AW37" s="721"/>
      <c r="AX37" s="721"/>
      <c r="AY37" s="721"/>
      <c r="AZ37" s="721"/>
      <c r="BA37" s="721"/>
      <c r="BB37" s="721"/>
      <c r="BC37" s="721"/>
      <c r="BD37" s="721"/>
      <c r="BE37" s="721"/>
      <c r="BF37" s="721"/>
    </row>
    <row r="38" spans="1:58" x14ac:dyDescent="0.25">
      <c r="A38" s="726"/>
      <c r="B38" s="421" t="s">
        <v>80</v>
      </c>
      <c r="C38" s="422">
        <v>0.78</v>
      </c>
      <c r="D38" s="422">
        <v>0.95</v>
      </c>
      <c r="E38" s="348"/>
      <c r="F38" s="422">
        <v>0.95</v>
      </c>
      <c r="G38" s="704"/>
      <c r="H38" s="721"/>
      <c r="I38" s="721"/>
      <c r="J38" s="721"/>
      <c r="K38" s="721"/>
      <c r="L38" s="721"/>
      <c r="M38" s="721"/>
      <c r="N38" s="721"/>
      <c r="O38" s="721"/>
      <c r="P38" s="721"/>
      <c r="Q38" s="721"/>
      <c r="R38" s="721"/>
      <c r="S38" s="721"/>
      <c r="T38" s="721"/>
      <c r="U38" s="721"/>
      <c r="V38" s="721"/>
      <c r="W38" s="721"/>
      <c r="X38" s="721"/>
      <c r="Y38" s="721"/>
      <c r="Z38" s="721"/>
      <c r="AA38" s="721"/>
      <c r="AB38" s="721"/>
      <c r="AC38" s="721"/>
      <c r="AD38" s="721"/>
      <c r="AE38" s="721"/>
      <c r="AF38" s="721"/>
      <c r="AG38" s="721"/>
      <c r="AH38" s="721"/>
      <c r="AI38" s="721"/>
      <c r="AJ38" s="721"/>
      <c r="AK38" s="721"/>
      <c r="AL38" s="721"/>
      <c r="AM38" s="721"/>
      <c r="AN38" s="721"/>
      <c r="AO38" s="721"/>
      <c r="AP38" s="721"/>
      <c r="AQ38" s="721"/>
      <c r="AR38" s="721"/>
      <c r="AS38" s="721"/>
      <c r="AT38" s="721"/>
      <c r="AU38" s="721"/>
      <c r="AV38" s="721"/>
      <c r="AW38" s="721"/>
      <c r="AX38" s="721"/>
      <c r="AY38" s="721"/>
      <c r="AZ38" s="721"/>
      <c r="BA38" s="721"/>
      <c r="BB38" s="721"/>
      <c r="BC38" s="721"/>
      <c r="BD38" s="721"/>
      <c r="BE38" s="721"/>
      <c r="BF38" s="721"/>
    </row>
    <row r="39" spans="1:58" x14ac:dyDescent="0.25">
      <c r="A39" s="726"/>
      <c r="B39" s="421" t="s">
        <v>102</v>
      </c>
      <c r="C39" s="422"/>
      <c r="D39" s="422" t="s">
        <v>106</v>
      </c>
      <c r="E39" s="462"/>
      <c r="F39" s="422"/>
      <c r="G39" s="704"/>
      <c r="H39" s="721"/>
      <c r="I39" s="721"/>
      <c r="J39" s="721"/>
      <c r="K39" s="721"/>
      <c r="L39" s="721"/>
      <c r="M39" s="721"/>
      <c r="N39" s="721"/>
      <c r="O39" s="721"/>
      <c r="P39" s="721"/>
      <c r="Q39" s="721"/>
      <c r="R39" s="721"/>
      <c r="S39" s="721"/>
      <c r="T39" s="721"/>
      <c r="U39" s="721"/>
      <c r="V39" s="721"/>
      <c r="W39" s="721"/>
      <c r="X39" s="721"/>
      <c r="Y39" s="721"/>
      <c r="Z39" s="721"/>
      <c r="AA39" s="721"/>
      <c r="AB39" s="721"/>
      <c r="AC39" s="721"/>
      <c r="AD39" s="721"/>
      <c r="AE39" s="721"/>
      <c r="AF39" s="721"/>
      <c r="AG39" s="721"/>
      <c r="AH39" s="721"/>
      <c r="AI39" s="721"/>
      <c r="AJ39" s="721"/>
      <c r="AK39" s="721"/>
      <c r="AL39" s="721"/>
      <c r="AM39" s="721"/>
      <c r="AN39" s="721"/>
      <c r="AO39" s="721"/>
      <c r="AP39" s="721"/>
      <c r="AQ39" s="721"/>
      <c r="AR39" s="721"/>
      <c r="AS39" s="721"/>
      <c r="AT39" s="721"/>
      <c r="AU39" s="721"/>
      <c r="AV39" s="721"/>
      <c r="AW39" s="721"/>
      <c r="AX39" s="721"/>
      <c r="AY39" s="721"/>
      <c r="AZ39" s="721"/>
      <c r="BA39" s="721"/>
      <c r="BB39" s="721"/>
      <c r="BC39" s="721"/>
      <c r="BD39" s="721"/>
      <c r="BE39" s="721"/>
      <c r="BF39" s="721"/>
    </row>
    <row r="40" spans="1:58" x14ac:dyDescent="0.25">
      <c r="A40" s="418" t="s">
        <v>107</v>
      </c>
      <c r="B40" s="418"/>
      <c r="C40" s="460" t="s">
        <v>108</v>
      </c>
      <c r="D40" s="460"/>
      <c r="E40" s="462"/>
      <c r="F40" s="420" t="s">
        <v>104</v>
      </c>
      <c r="G40" s="704"/>
      <c r="H40" s="721"/>
      <c r="I40" s="721"/>
      <c r="J40" s="721"/>
      <c r="K40" s="721"/>
      <c r="L40" s="721"/>
      <c r="M40" s="721"/>
      <c r="N40" s="721"/>
      <c r="O40" s="721"/>
      <c r="P40" s="721"/>
      <c r="Q40" s="721"/>
      <c r="R40" s="721"/>
      <c r="S40" s="721"/>
      <c r="T40" s="721"/>
      <c r="U40" s="721"/>
      <c r="V40" s="721"/>
      <c r="W40" s="721"/>
      <c r="X40" s="721"/>
      <c r="Y40" s="721"/>
      <c r="Z40" s="721"/>
      <c r="AA40" s="721"/>
      <c r="AB40" s="721"/>
      <c r="AC40" s="721"/>
      <c r="AD40" s="721"/>
      <c r="AE40" s="721"/>
      <c r="AF40" s="721"/>
      <c r="AG40" s="721"/>
      <c r="AH40" s="721"/>
      <c r="AI40" s="721"/>
      <c r="AJ40" s="721"/>
      <c r="AK40" s="721"/>
      <c r="AL40" s="721"/>
      <c r="AM40" s="721"/>
      <c r="AN40" s="721"/>
      <c r="AO40" s="721"/>
      <c r="AP40" s="721"/>
      <c r="AQ40" s="721"/>
      <c r="AR40" s="721"/>
      <c r="AS40" s="721"/>
      <c r="AT40" s="721"/>
      <c r="AU40" s="721"/>
      <c r="AV40" s="721"/>
      <c r="AW40" s="721"/>
      <c r="AX40" s="721"/>
      <c r="AY40" s="721"/>
      <c r="AZ40" s="721"/>
      <c r="BA40" s="721"/>
      <c r="BB40" s="721"/>
      <c r="BC40" s="721"/>
      <c r="BD40" s="721"/>
      <c r="BE40" s="721"/>
      <c r="BF40" s="721"/>
    </row>
    <row r="41" spans="1:58" x14ac:dyDescent="0.25">
      <c r="A41" s="401" t="s">
        <v>109</v>
      </c>
      <c r="B41" s="423" t="s">
        <v>80</v>
      </c>
      <c r="C41" s="347" t="s">
        <v>110</v>
      </c>
      <c r="D41" s="349">
        <v>17.5</v>
      </c>
      <c r="E41" s="462"/>
      <c r="F41" s="422">
        <v>32.4</v>
      </c>
      <c r="G41" s="704"/>
      <c r="H41" s="721"/>
      <c r="I41" s="721"/>
      <c r="J41" s="721"/>
      <c r="K41" s="721"/>
      <c r="L41" s="721"/>
      <c r="M41" s="721"/>
      <c r="N41" s="721"/>
      <c r="O41" s="721"/>
      <c r="P41" s="721"/>
      <c r="Q41" s="721"/>
      <c r="R41" s="721"/>
      <c r="S41" s="721"/>
      <c r="T41" s="721"/>
      <c r="U41" s="721"/>
      <c r="V41" s="721"/>
      <c r="W41" s="721"/>
      <c r="X41" s="721"/>
      <c r="Y41" s="721"/>
      <c r="Z41" s="721"/>
      <c r="AA41" s="721"/>
      <c r="AB41" s="721"/>
      <c r="AC41" s="721"/>
      <c r="AD41" s="721"/>
      <c r="AE41" s="721"/>
      <c r="AF41" s="721"/>
      <c r="AG41" s="721"/>
      <c r="AH41" s="721"/>
      <c r="AI41" s="721"/>
      <c r="AJ41" s="721"/>
      <c r="AK41" s="721"/>
      <c r="AL41" s="721"/>
      <c r="AM41" s="721"/>
      <c r="AN41" s="721"/>
      <c r="AO41" s="721"/>
      <c r="AP41" s="721"/>
      <c r="AQ41" s="721"/>
      <c r="AR41" s="721"/>
      <c r="AS41" s="721"/>
      <c r="AT41" s="721"/>
      <c r="AU41" s="721"/>
      <c r="AV41" s="721"/>
      <c r="AW41" s="721"/>
      <c r="AX41" s="721"/>
      <c r="AY41" s="721"/>
      <c r="AZ41" s="721"/>
      <c r="BA41" s="721"/>
      <c r="BB41" s="721"/>
      <c r="BC41" s="721"/>
      <c r="BD41" s="721"/>
      <c r="BE41" s="721"/>
      <c r="BF41" s="721"/>
    </row>
    <row r="42" spans="1:58" x14ac:dyDescent="0.25">
      <c r="A42" s="723" t="s">
        <v>111</v>
      </c>
      <c r="B42" s="418" t="s">
        <v>100</v>
      </c>
      <c r="C42" s="419" t="s">
        <v>112</v>
      </c>
      <c r="D42" s="419">
        <v>0.5</v>
      </c>
      <c r="E42" s="462"/>
      <c r="F42" s="419" t="s">
        <v>113</v>
      </c>
      <c r="G42" s="167"/>
      <c r="H42" s="688"/>
      <c r="I42" s="688"/>
      <c r="J42" s="688"/>
      <c r="K42" s="688"/>
      <c r="L42" s="688"/>
      <c r="M42" s="688"/>
      <c r="N42" s="688"/>
      <c r="O42" s="688"/>
      <c r="P42" s="688"/>
      <c r="Q42" s="688"/>
      <c r="R42" s="688"/>
      <c r="S42" s="688"/>
      <c r="T42" s="688"/>
      <c r="U42" s="688"/>
      <c r="V42" s="688"/>
      <c r="W42" s="688"/>
      <c r="X42" s="688"/>
      <c r="Y42" s="688"/>
      <c r="Z42" s="688"/>
      <c r="AA42" s="688"/>
      <c r="AB42" s="688"/>
      <c r="AC42" s="688"/>
      <c r="AD42" s="688"/>
      <c r="AE42" s="688"/>
      <c r="AF42" s="688"/>
      <c r="AG42" s="688"/>
      <c r="AH42" s="688"/>
      <c r="AI42" s="688"/>
      <c r="AJ42" s="688"/>
      <c r="AK42" s="688"/>
      <c r="AL42" s="688"/>
      <c r="AM42" s="688"/>
      <c r="AN42" s="688"/>
      <c r="AO42" s="688"/>
      <c r="AP42" s="688"/>
      <c r="AQ42" s="688"/>
      <c r="AR42" s="688"/>
      <c r="AS42" s="688"/>
      <c r="AT42" s="688"/>
      <c r="AU42" s="688"/>
      <c r="AV42" s="688"/>
      <c r="AW42" s="688"/>
      <c r="AX42" s="688"/>
      <c r="AY42" s="688"/>
      <c r="AZ42" s="688"/>
      <c r="BA42" s="688"/>
      <c r="BB42" s="688"/>
      <c r="BC42" s="688"/>
      <c r="BD42" s="688"/>
      <c r="BE42" s="688"/>
      <c r="BF42" s="688"/>
    </row>
    <row r="43" spans="1:58" ht="26.4" x14ac:dyDescent="0.25">
      <c r="A43" s="723"/>
      <c r="B43" s="418" t="s">
        <v>80</v>
      </c>
      <c r="C43" s="463" t="s">
        <v>114</v>
      </c>
      <c r="D43" s="460" t="s">
        <v>115</v>
      </c>
      <c r="E43" s="462"/>
      <c r="F43" s="419" t="s">
        <v>115</v>
      </c>
      <c r="G43" s="167"/>
      <c r="H43" s="688"/>
      <c r="I43" s="688"/>
      <c r="J43" s="688"/>
      <c r="K43" s="688"/>
      <c r="L43" s="688"/>
      <c r="M43" s="688"/>
      <c r="N43" s="688"/>
      <c r="O43" s="688"/>
      <c r="P43" s="688"/>
      <c r="Q43" s="688"/>
      <c r="R43" s="688"/>
      <c r="S43" s="688"/>
      <c r="T43" s="688"/>
      <c r="U43" s="688"/>
      <c r="V43" s="688"/>
      <c r="W43" s="688"/>
      <c r="X43" s="688"/>
      <c r="Y43" s="688"/>
      <c r="Z43" s="688"/>
      <c r="AA43" s="688"/>
      <c r="AB43" s="688"/>
      <c r="AC43" s="688"/>
      <c r="AD43" s="688"/>
      <c r="AE43" s="688"/>
      <c r="AF43" s="688"/>
      <c r="AG43" s="688"/>
      <c r="AH43" s="688"/>
      <c r="AI43" s="688"/>
      <c r="AJ43" s="688"/>
      <c r="AK43" s="688"/>
      <c r="AL43" s="688"/>
      <c r="AM43" s="688"/>
      <c r="AN43" s="688"/>
      <c r="AO43" s="688"/>
      <c r="AP43" s="688"/>
      <c r="AQ43" s="688"/>
      <c r="AR43" s="688"/>
      <c r="AS43" s="688"/>
      <c r="AT43" s="688"/>
      <c r="AU43" s="688"/>
      <c r="AV43" s="688"/>
      <c r="AW43" s="688"/>
      <c r="AX43" s="688"/>
      <c r="AY43" s="688"/>
      <c r="AZ43" s="688"/>
      <c r="BA43" s="688"/>
      <c r="BB43" s="688"/>
      <c r="BC43" s="688"/>
      <c r="BD43" s="688"/>
      <c r="BE43" s="688"/>
      <c r="BF43" s="688"/>
    </row>
    <row r="44" spans="1:58" x14ac:dyDescent="0.25">
      <c r="A44" s="724"/>
      <c r="B44" s="418" t="s">
        <v>102</v>
      </c>
      <c r="C44" s="460"/>
      <c r="D44" s="460" t="s">
        <v>116</v>
      </c>
      <c r="E44" s="462"/>
      <c r="F44" s="419"/>
      <c r="G44" s="167"/>
      <c r="H44" s="721"/>
      <c r="I44" s="721"/>
      <c r="J44" s="721"/>
      <c r="K44" s="721"/>
      <c r="L44" s="721"/>
      <c r="M44" s="721"/>
      <c r="N44" s="721"/>
      <c r="O44" s="721"/>
      <c r="P44" s="721"/>
      <c r="Q44" s="721"/>
      <c r="R44" s="721"/>
      <c r="S44" s="721"/>
      <c r="T44" s="721"/>
      <c r="U44" s="721"/>
      <c r="V44" s="721"/>
      <c r="W44" s="721"/>
      <c r="X44" s="721"/>
      <c r="Y44" s="721"/>
      <c r="Z44" s="721"/>
      <c r="AA44" s="721"/>
      <c r="AB44" s="721"/>
      <c r="AC44" s="721"/>
      <c r="AD44" s="721"/>
      <c r="AE44" s="721"/>
      <c r="AF44" s="721"/>
      <c r="AG44" s="721"/>
      <c r="AH44" s="721"/>
      <c r="AI44" s="721"/>
      <c r="AJ44" s="721"/>
      <c r="AK44" s="721"/>
      <c r="AL44" s="721"/>
      <c r="AM44" s="721"/>
      <c r="AN44" s="721"/>
      <c r="AO44" s="721"/>
      <c r="AP44" s="721"/>
      <c r="AQ44" s="721"/>
      <c r="AR44" s="721"/>
      <c r="AS44" s="721"/>
      <c r="AT44" s="721"/>
      <c r="AU44" s="721"/>
      <c r="AV44" s="721"/>
      <c r="AW44" s="721"/>
      <c r="AX44" s="721"/>
      <c r="AY44" s="721"/>
      <c r="AZ44" s="721"/>
      <c r="BA44" s="721"/>
      <c r="BB44" s="721"/>
      <c r="BC44" s="721"/>
      <c r="BD44" s="721"/>
      <c r="BE44" s="721"/>
      <c r="BF44" s="721"/>
    </row>
    <row r="45" spans="1:58" x14ac:dyDescent="0.25">
      <c r="A45" s="208"/>
      <c r="B45" s="208"/>
      <c r="C45" s="570"/>
      <c r="D45" s="570"/>
      <c r="E45" s="462"/>
      <c r="F45" s="570"/>
      <c r="G45" s="167"/>
      <c r="H45" s="721"/>
      <c r="I45" s="721"/>
      <c r="J45" s="721"/>
      <c r="K45" s="721"/>
      <c r="L45" s="721"/>
      <c r="M45" s="721"/>
      <c r="N45" s="721"/>
      <c r="O45" s="721"/>
      <c r="P45" s="721"/>
      <c r="Q45" s="721"/>
      <c r="R45" s="721"/>
      <c r="S45" s="721"/>
      <c r="T45" s="721"/>
      <c r="U45" s="721"/>
      <c r="V45" s="721"/>
      <c r="W45" s="721"/>
      <c r="X45" s="721"/>
      <c r="Y45" s="721"/>
      <c r="Z45" s="721"/>
      <c r="AA45" s="721"/>
      <c r="AB45" s="721"/>
      <c r="AC45" s="721"/>
      <c r="AD45" s="721"/>
      <c r="AE45" s="721"/>
      <c r="AF45" s="721"/>
      <c r="AG45" s="721"/>
      <c r="AH45" s="721"/>
      <c r="AI45" s="721"/>
      <c r="AJ45" s="721"/>
      <c r="AK45" s="721"/>
      <c r="AL45" s="721"/>
      <c r="AM45" s="721"/>
      <c r="AN45" s="721"/>
      <c r="AO45" s="721"/>
      <c r="AP45" s="721"/>
      <c r="AQ45" s="721"/>
      <c r="AR45" s="721"/>
      <c r="AS45" s="721"/>
      <c r="AT45" s="721"/>
      <c r="AU45" s="721"/>
      <c r="AV45" s="721"/>
      <c r="AW45" s="721"/>
      <c r="AX45" s="721"/>
      <c r="AY45" s="721"/>
      <c r="AZ45" s="721"/>
      <c r="BA45" s="721"/>
      <c r="BB45" s="721"/>
      <c r="BC45" s="721"/>
      <c r="BD45" s="721"/>
      <c r="BE45" s="721"/>
      <c r="BF45" s="721"/>
    </row>
    <row r="46" spans="1:58" ht="79.2" customHeight="1" x14ac:dyDescent="0.25">
      <c r="A46" s="705" t="s">
        <v>117</v>
      </c>
      <c r="B46" s="421" t="s">
        <v>80</v>
      </c>
      <c r="C46" s="464" t="s">
        <v>118</v>
      </c>
      <c r="D46" s="422" t="s">
        <v>119</v>
      </c>
      <c r="E46" s="461"/>
      <c r="F46" s="422" t="s">
        <v>120</v>
      </c>
      <c r="G46" s="167"/>
      <c r="H46" s="721"/>
      <c r="I46" s="721"/>
      <c r="J46" s="721"/>
      <c r="K46" s="721"/>
      <c r="L46" s="721"/>
      <c r="M46" s="721"/>
      <c r="N46" s="721"/>
      <c r="O46" s="721"/>
      <c r="P46" s="721"/>
      <c r="Q46" s="721"/>
      <c r="R46" s="721"/>
      <c r="S46" s="721"/>
      <c r="T46" s="721"/>
      <c r="U46" s="721"/>
      <c r="V46" s="721"/>
      <c r="W46" s="721"/>
      <c r="X46" s="721"/>
      <c r="Y46" s="721"/>
      <c r="Z46" s="721"/>
      <c r="AA46" s="721"/>
      <c r="AB46" s="721"/>
      <c r="AC46" s="721"/>
      <c r="AD46" s="721"/>
      <c r="AE46" s="721"/>
      <c r="AF46" s="721"/>
      <c r="AG46" s="721"/>
      <c r="AH46" s="721"/>
      <c r="AI46" s="721"/>
      <c r="AJ46" s="721"/>
      <c r="AK46" s="721"/>
      <c r="AL46" s="721"/>
      <c r="AM46" s="721"/>
      <c r="AN46" s="721"/>
      <c r="AO46" s="721"/>
      <c r="AP46" s="721"/>
      <c r="AQ46" s="721"/>
      <c r="AR46" s="721"/>
      <c r="AS46" s="721"/>
      <c r="AT46" s="721"/>
      <c r="AU46" s="721"/>
      <c r="AV46" s="721"/>
      <c r="AW46" s="721"/>
      <c r="AX46" s="721"/>
      <c r="AY46" s="721"/>
      <c r="AZ46" s="721"/>
      <c r="BA46" s="721"/>
      <c r="BB46" s="721"/>
      <c r="BC46" s="721"/>
      <c r="BD46" s="721"/>
      <c r="BE46" s="721"/>
      <c r="BF46" s="721"/>
    </row>
    <row r="47" spans="1:58" x14ac:dyDescent="0.25">
      <c r="A47" s="126"/>
      <c r="B47" s="126"/>
      <c r="C47" s="161"/>
      <c r="D47" s="161"/>
      <c r="F47" s="161"/>
      <c r="G47" s="162"/>
      <c r="H47" s="688"/>
      <c r="I47" s="688"/>
      <c r="J47" s="688"/>
      <c r="K47" s="688"/>
      <c r="L47" s="688"/>
      <c r="M47" s="688"/>
      <c r="N47" s="688"/>
      <c r="O47" s="688"/>
      <c r="P47" s="688"/>
      <c r="Q47" s="688"/>
      <c r="R47" s="688"/>
      <c r="S47" s="688"/>
      <c r="T47" s="688"/>
      <c r="U47" s="688"/>
      <c r="V47" s="688"/>
      <c r="W47" s="688"/>
      <c r="X47" s="688"/>
      <c r="Y47" s="688"/>
      <c r="Z47" s="688"/>
      <c r="AA47" s="688"/>
      <c r="AB47" s="688"/>
      <c r="AC47" s="688"/>
      <c r="AD47" s="688"/>
      <c r="AE47" s="688"/>
      <c r="AF47" s="688"/>
      <c r="AG47" s="688"/>
      <c r="AH47" s="688"/>
      <c r="AI47" s="688"/>
      <c r="AJ47" s="688"/>
      <c r="AK47" s="688"/>
      <c r="AL47" s="688"/>
      <c r="AM47" s="688"/>
      <c r="AN47" s="688"/>
      <c r="AO47" s="688"/>
      <c r="AP47" s="688"/>
      <c r="AQ47" s="688"/>
      <c r="AR47" s="688"/>
      <c r="AS47" s="688"/>
      <c r="AT47" s="688"/>
      <c r="AU47" s="688"/>
      <c r="AV47" s="688"/>
      <c r="AW47" s="688"/>
      <c r="AX47" s="688"/>
      <c r="AY47" s="688"/>
      <c r="AZ47" s="688"/>
      <c r="BA47" s="688"/>
      <c r="BB47" s="688"/>
      <c r="BC47" s="688"/>
      <c r="BD47" s="688"/>
      <c r="BE47" s="688"/>
      <c r="BF47" s="688"/>
    </row>
    <row r="48" spans="1:58" x14ac:dyDescent="0.25">
      <c r="A48" s="706" t="s">
        <v>121</v>
      </c>
      <c r="B48" s="706"/>
      <c r="C48" s="424" t="s">
        <v>122</v>
      </c>
      <c r="D48" s="424" t="s">
        <v>123</v>
      </c>
      <c r="E48" s="425"/>
      <c r="F48" s="426" t="s">
        <v>124</v>
      </c>
      <c r="G48" s="73"/>
      <c r="H48" s="688"/>
      <c r="I48" s="688"/>
      <c r="J48" s="688"/>
      <c r="K48" s="688"/>
      <c r="L48" s="688"/>
      <c r="M48" s="688"/>
      <c r="N48" s="688"/>
      <c r="O48" s="688"/>
      <c r="P48" s="688"/>
      <c r="Q48" s="688"/>
      <c r="R48" s="688"/>
      <c r="S48" s="688"/>
      <c r="T48" s="688"/>
      <c r="U48" s="688"/>
      <c r="V48" s="688"/>
      <c r="W48" s="688"/>
      <c r="X48" s="688"/>
      <c r="Y48" s="688"/>
      <c r="Z48" s="688"/>
      <c r="AA48" s="688"/>
      <c r="AB48" s="688"/>
      <c r="AC48" s="688"/>
      <c r="AD48" s="688"/>
      <c r="AE48" s="688"/>
      <c r="AF48" s="688"/>
      <c r="AG48" s="688"/>
      <c r="AH48" s="688"/>
      <c r="AI48" s="688"/>
      <c r="AJ48" s="688"/>
      <c r="AK48" s="688"/>
      <c r="AL48" s="688"/>
      <c r="AM48" s="688"/>
      <c r="AN48" s="688"/>
      <c r="AO48" s="688"/>
      <c r="AP48" s="688"/>
      <c r="AQ48" s="688"/>
      <c r="AR48" s="688"/>
      <c r="AS48" s="688"/>
      <c r="AT48" s="688"/>
      <c r="AU48" s="688"/>
      <c r="AV48" s="688"/>
      <c r="AW48" s="688"/>
      <c r="AX48" s="688"/>
      <c r="AY48" s="688"/>
      <c r="AZ48" s="688"/>
      <c r="BA48" s="688"/>
      <c r="BB48" s="688"/>
      <c r="BC48" s="688"/>
      <c r="BD48" s="688"/>
      <c r="BE48" s="688"/>
      <c r="BF48" s="688"/>
    </row>
    <row r="49" spans="1:58" ht="52.8" x14ac:dyDescent="0.25">
      <c r="A49" s="725" t="s">
        <v>125</v>
      </c>
      <c r="B49" s="427" t="s">
        <v>100</v>
      </c>
      <c r="C49" s="428" t="s">
        <v>126</v>
      </c>
      <c r="D49" s="428" t="s">
        <v>127</v>
      </c>
      <c r="E49" s="425"/>
      <c r="F49" s="424" t="s">
        <v>128</v>
      </c>
      <c r="G49" s="704"/>
      <c r="H49" s="688"/>
      <c r="I49" s="688"/>
      <c r="J49" s="688"/>
      <c r="K49" s="688"/>
      <c r="L49" s="688"/>
      <c r="M49" s="688"/>
      <c r="N49" s="688"/>
      <c r="O49" s="688"/>
      <c r="P49" s="688"/>
      <c r="Q49" s="688"/>
      <c r="R49" s="688"/>
      <c r="S49" s="688"/>
      <c r="T49" s="688"/>
      <c r="U49" s="688"/>
      <c r="V49" s="688"/>
      <c r="W49" s="688"/>
      <c r="X49" s="688"/>
      <c r="Y49" s="688"/>
      <c r="Z49" s="688"/>
      <c r="AA49" s="688"/>
      <c r="AB49" s="688"/>
      <c r="AC49" s="688"/>
      <c r="AD49" s="688"/>
      <c r="AE49" s="688"/>
      <c r="AF49" s="688"/>
      <c r="AG49" s="688"/>
      <c r="AH49" s="688"/>
      <c r="AI49" s="688"/>
      <c r="AJ49" s="688"/>
      <c r="AK49" s="688"/>
      <c r="AL49" s="688"/>
      <c r="AM49" s="688"/>
      <c r="AN49" s="688"/>
      <c r="AO49" s="688"/>
      <c r="AP49" s="688"/>
      <c r="AQ49" s="688"/>
      <c r="AR49" s="688"/>
      <c r="AS49" s="688"/>
      <c r="AT49" s="688"/>
      <c r="AU49" s="688"/>
      <c r="AV49" s="688"/>
      <c r="AW49" s="688"/>
      <c r="AX49" s="688"/>
      <c r="AY49" s="688"/>
      <c r="AZ49" s="688"/>
      <c r="BA49" s="688"/>
      <c r="BB49" s="688"/>
      <c r="BC49" s="688"/>
      <c r="BD49" s="688"/>
      <c r="BE49" s="688"/>
      <c r="BF49" s="688"/>
    </row>
    <row r="50" spans="1:58" ht="26.4" customHeight="1" x14ac:dyDescent="0.25">
      <c r="A50" s="725"/>
      <c r="B50" s="427" t="s">
        <v>80</v>
      </c>
      <c r="C50" s="429" t="s">
        <v>129</v>
      </c>
      <c r="D50" s="430" t="s">
        <v>130</v>
      </c>
      <c r="E50" s="425"/>
      <c r="F50" s="429" t="s">
        <v>131</v>
      </c>
      <c r="G50" s="704"/>
      <c r="H50" s="688"/>
      <c r="I50" s="688"/>
      <c r="J50" s="688"/>
      <c r="K50" s="688"/>
      <c r="L50" s="688"/>
      <c r="M50" s="688"/>
      <c r="N50" s="688"/>
      <c r="O50" s="688"/>
      <c r="P50" s="688"/>
      <c r="Q50" s="688"/>
      <c r="R50" s="688"/>
      <c r="S50" s="688"/>
      <c r="T50" s="688"/>
      <c r="U50" s="688"/>
      <c r="V50" s="688"/>
      <c r="W50" s="688"/>
      <c r="X50" s="688"/>
      <c r="Y50" s="688"/>
      <c r="Z50" s="688"/>
      <c r="AA50" s="688"/>
      <c r="AB50" s="688"/>
      <c r="AC50" s="688"/>
      <c r="AD50" s="688"/>
      <c r="AE50" s="688"/>
      <c r="AF50" s="688"/>
      <c r="AG50" s="688"/>
      <c r="AH50" s="688"/>
      <c r="AI50" s="688"/>
      <c r="AJ50" s="688"/>
      <c r="AK50" s="688"/>
      <c r="AL50" s="688"/>
      <c r="AM50" s="688"/>
      <c r="AN50" s="688"/>
      <c r="AO50" s="688"/>
      <c r="AP50" s="688"/>
      <c r="AQ50" s="688"/>
      <c r="AR50" s="688"/>
      <c r="AS50" s="688"/>
      <c r="AT50" s="688"/>
      <c r="AU50" s="688"/>
      <c r="AV50" s="688"/>
      <c r="AW50" s="688"/>
      <c r="AX50" s="688"/>
      <c r="AY50" s="688"/>
      <c r="AZ50" s="688"/>
      <c r="BA50" s="688"/>
      <c r="BB50" s="688"/>
      <c r="BC50" s="688"/>
      <c r="BD50" s="688"/>
      <c r="BE50" s="688"/>
      <c r="BF50" s="688"/>
    </row>
    <row r="51" spans="1:58" ht="26.4" x14ac:dyDescent="0.25">
      <c r="A51" s="725"/>
      <c r="B51" s="427" t="s">
        <v>102</v>
      </c>
      <c r="C51" s="431"/>
      <c r="D51" s="430" t="s">
        <v>132</v>
      </c>
      <c r="E51" s="425"/>
      <c r="F51" s="431"/>
      <c r="G51" s="704"/>
      <c r="H51" s="688"/>
      <c r="I51" s="688"/>
      <c r="J51" s="688"/>
      <c r="K51" s="688"/>
      <c r="L51" s="688"/>
      <c r="M51" s="688"/>
      <c r="N51" s="688"/>
      <c r="O51" s="688"/>
      <c r="P51" s="688"/>
      <c r="Q51" s="688"/>
      <c r="R51" s="688"/>
      <c r="S51" s="688"/>
      <c r="T51" s="688"/>
      <c r="U51" s="688"/>
      <c r="V51" s="688"/>
      <c r="W51" s="688"/>
      <c r="X51" s="688"/>
      <c r="Y51" s="688"/>
      <c r="Z51" s="688"/>
      <c r="AA51" s="688"/>
      <c r="AB51" s="688"/>
      <c r="AC51" s="688"/>
      <c r="AD51" s="688"/>
      <c r="AE51" s="688"/>
      <c r="AF51" s="688"/>
      <c r="AG51" s="688"/>
      <c r="AH51" s="688"/>
      <c r="AI51" s="688"/>
      <c r="AJ51" s="688"/>
      <c r="AK51" s="688"/>
      <c r="AL51" s="688"/>
      <c r="AM51" s="688"/>
      <c r="AN51" s="688"/>
      <c r="AO51" s="688"/>
      <c r="AP51" s="688"/>
      <c r="AQ51" s="688"/>
      <c r="AR51" s="688"/>
      <c r="AS51" s="688"/>
      <c r="AT51" s="688"/>
      <c r="AU51" s="688"/>
      <c r="AV51" s="688"/>
      <c r="AW51" s="688"/>
      <c r="AX51" s="688"/>
      <c r="AY51" s="688"/>
      <c r="AZ51" s="688"/>
      <c r="BA51" s="688"/>
      <c r="BB51" s="688"/>
      <c r="BC51" s="688"/>
      <c r="BD51" s="688"/>
      <c r="BE51" s="688"/>
      <c r="BF51" s="688"/>
    </row>
    <row r="52" spans="1:58" x14ac:dyDescent="0.25">
      <c r="A52" s="727" t="s">
        <v>133</v>
      </c>
      <c r="B52" s="432" t="s">
        <v>100</v>
      </c>
      <c r="C52" s="432" t="s">
        <v>134</v>
      </c>
      <c r="D52" s="432"/>
      <c r="E52" s="425"/>
      <c r="F52" s="432"/>
      <c r="G52" s="214"/>
      <c r="H52" s="688"/>
      <c r="I52" s="688"/>
      <c r="J52" s="688"/>
      <c r="K52" s="688"/>
      <c r="L52" s="688"/>
      <c r="M52" s="688"/>
      <c r="N52" s="688"/>
      <c r="O52" s="688"/>
      <c r="P52" s="688"/>
      <c r="Q52" s="688"/>
      <c r="R52" s="688"/>
      <c r="S52" s="688"/>
      <c r="T52" s="688"/>
      <c r="U52" s="688"/>
      <c r="V52" s="688"/>
      <c r="W52" s="688"/>
      <c r="X52" s="688"/>
      <c r="Y52" s="688"/>
      <c r="Z52" s="688"/>
      <c r="AA52" s="688"/>
      <c r="AB52" s="688"/>
      <c r="AC52" s="688"/>
      <c r="AD52" s="688"/>
      <c r="AE52" s="688"/>
      <c r="AF52" s="688"/>
      <c r="AG52" s="688"/>
      <c r="AH52" s="688"/>
      <c r="AI52" s="688"/>
      <c r="AJ52" s="688"/>
      <c r="AK52" s="688"/>
      <c r="AL52" s="688"/>
      <c r="AM52" s="688"/>
      <c r="AN52" s="688"/>
      <c r="AO52" s="688"/>
      <c r="AP52" s="688"/>
      <c r="AQ52" s="688"/>
      <c r="AR52" s="688"/>
      <c r="AS52" s="688"/>
      <c r="AT52" s="688"/>
      <c r="AU52" s="688"/>
      <c r="AV52" s="688"/>
      <c r="AW52" s="688"/>
      <c r="AX52" s="688"/>
      <c r="AY52" s="688"/>
      <c r="AZ52" s="688"/>
      <c r="BA52" s="688"/>
      <c r="BB52" s="688"/>
      <c r="BC52" s="688"/>
      <c r="BD52" s="688"/>
      <c r="BE52" s="688"/>
      <c r="BF52" s="688"/>
    </row>
    <row r="53" spans="1:58" x14ac:dyDescent="0.25">
      <c r="A53" s="728"/>
      <c r="B53" s="432" t="s">
        <v>80</v>
      </c>
      <c r="C53" s="432" t="s">
        <v>135</v>
      </c>
      <c r="D53" s="432"/>
      <c r="E53" s="425"/>
      <c r="F53" s="432" t="s">
        <v>136</v>
      </c>
      <c r="G53" s="214"/>
      <c r="H53" s="721"/>
      <c r="I53" s="721"/>
      <c r="J53" s="721"/>
      <c r="K53" s="721"/>
      <c r="L53" s="721"/>
      <c r="M53" s="721"/>
      <c r="N53" s="721"/>
      <c r="O53" s="721"/>
      <c r="P53" s="721"/>
      <c r="Q53" s="721"/>
      <c r="R53" s="721"/>
      <c r="S53" s="721"/>
      <c r="T53" s="721"/>
      <c r="U53" s="721"/>
      <c r="V53" s="721"/>
      <c r="W53" s="721"/>
      <c r="X53" s="721"/>
      <c r="Y53" s="721"/>
      <c r="Z53" s="721"/>
      <c r="AA53" s="721"/>
      <c r="AB53" s="721"/>
      <c r="AC53" s="721"/>
      <c r="AD53" s="721"/>
      <c r="AE53" s="721"/>
      <c r="AF53" s="721"/>
      <c r="AG53" s="721"/>
      <c r="AH53" s="721"/>
      <c r="AI53" s="721"/>
      <c r="AJ53" s="721"/>
      <c r="AK53" s="721"/>
      <c r="AL53" s="721"/>
      <c r="AM53" s="721"/>
      <c r="AN53" s="721"/>
      <c r="AO53" s="721"/>
      <c r="AP53" s="721"/>
      <c r="AQ53" s="721"/>
      <c r="AR53" s="721"/>
      <c r="AS53" s="721"/>
      <c r="AT53" s="721"/>
      <c r="AU53" s="721"/>
      <c r="AV53" s="721"/>
      <c r="AW53" s="721"/>
      <c r="AX53" s="721"/>
      <c r="AY53" s="721"/>
      <c r="AZ53" s="721"/>
      <c r="BA53" s="721"/>
      <c r="BB53" s="721"/>
      <c r="BC53" s="721"/>
      <c r="BD53" s="721"/>
      <c r="BE53" s="721"/>
      <c r="BF53" s="721"/>
    </row>
    <row r="54" spans="1:58" ht="13.95" customHeight="1" x14ac:dyDescent="0.25">
      <c r="A54" s="729" t="s">
        <v>137</v>
      </c>
      <c r="B54" s="433" t="s">
        <v>138</v>
      </c>
      <c r="C54" s="433" t="s">
        <v>139</v>
      </c>
      <c r="D54" s="433" t="s">
        <v>139</v>
      </c>
      <c r="F54" s="433" t="s">
        <v>139</v>
      </c>
      <c r="G54" s="167"/>
      <c r="H54" s="721"/>
      <c r="I54" s="721"/>
      <c r="J54" s="721"/>
      <c r="K54" s="721"/>
      <c r="L54" s="721"/>
      <c r="M54" s="721"/>
      <c r="N54" s="721"/>
      <c r="O54" s="721"/>
      <c r="P54" s="721"/>
      <c r="Q54" s="721"/>
      <c r="R54" s="721"/>
      <c r="S54" s="721"/>
      <c r="T54" s="721"/>
      <c r="U54" s="721"/>
      <c r="V54" s="721"/>
      <c r="W54" s="721"/>
      <c r="X54" s="721"/>
      <c r="Y54" s="721"/>
      <c r="Z54" s="721"/>
      <c r="AA54" s="721"/>
      <c r="AB54" s="721"/>
      <c r="AC54" s="721"/>
      <c r="AD54" s="721"/>
      <c r="AE54" s="721"/>
      <c r="AF54" s="721"/>
      <c r="AG54" s="721"/>
      <c r="AH54" s="721"/>
      <c r="AI54" s="721"/>
      <c r="AJ54" s="721"/>
      <c r="AK54" s="721"/>
      <c r="AL54" s="721"/>
      <c r="AM54" s="721"/>
      <c r="AN54" s="721"/>
      <c r="AO54" s="721"/>
      <c r="AP54" s="721"/>
      <c r="AQ54" s="721"/>
      <c r="AR54" s="721"/>
      <c r="AS54" s="721"/>
      <c r="AT54" s="721"/>
      <c r="AU54" s="721"/>
      <c r="AV54" s="721"/>
      <c r="AW54" s="721"/>
      <c r="AX54" s="721"/>
      <c r="AY54" s="721"/>
      <c r="AZ54" s="721"/>
      <c r="BA54" s="721"/>
      <c r="BB54" s="721"/>
      <c r="BC54" s="721"/>
      <c r="BD54" s="721"/>
      <c r="BE54" s="721"/>
      <c r="BF54" s="721"/>
    </row>
    <row r="55" spans="1:58" ht="13.95" customHeight="1" x14ac:dyDescent="0.25">
      <c r="A55" s="729"/>
      <c r="B55" s="433" t="s">
        <v>140</v>
      </c>
      <c r="C55" s="433" t="s">
        <v>141</v>
      </c>
      <c r="D55" s="433" t="s">
        <v>142</v>
      </c>
      <c r="F55" s="433" t="s">
        <v>142</v>
      </c>
      <c r="G55" s="167"/>
      <c r="H55" s="721"/>
      <c r="I55" s="721"/>
      <c r="J55" s="721"/>
      <c r="K55" s="721"/>
      <c r="L55" s="721"/>
      <c r="M55" s="721"/>
      <c r="N55" s="721"/>
      <c r="O55" s="721"/>
      <c r="P55" s="721"/>
      <c r="Q55" s="721"/>
      <c r="R55" s="721"/>
      <c r="S55" s="721"/>
      <c r="T55" s="721"/>
      <c r="U55" s="721"/>
      <c r="V55" s="721"/>
      <c r="W55" s="721"/>
      <c r="X55" s="721"/>
      <c r="Y55" s="721"/>
      <c r="Z55" s="721"/>
      <c r="AA55" s="721"/>
      <c r="AB55" s="721"/>
      <c r="AC55" s="721"/>
      <c r="AD55" s="721"/>
      <c r="AE55" s="721"/>
      <c r="AF55" s="721"/>
      <c r="AG55" s="721"/>
      <c r="AH55" s="721"/>
      <c r="AI55" s="721"/>
      <c r="AJ55" s="721"/>
      <c r="AK55" s="721"/>
      <c r="AL55" s="721"/>
      <c r="AM55" s="721"/>
      <c r="AN55" s="721"/>
      <c r="AO55" s="721"/>
      <c r="AP55" s="721"/>
      <c r="AQ55" s="721"/>
      <c r="AR55" s="721"/>
      <c r="AS55" s="721"/>
      <c r="AT55" s="721"/>
      <c r="AU55" s="721"/>
      <c r="AV55" s="721"/>
      <c r="AW55" s="721"/>
      <c r="AX55" s="721"/>
      <c r="AY55" s="721"/>
      <c r="AZ55" s="721"/>
      <c r="BA55" s="721"/>
      <c r="BB55" s="721"/>
      <c r="BC55" s="721"/>
      <c r="BD55" s="721"/>
      <c r="BE55" s="721"/>
      <c r="BF55" s="721"/>
    </row>
    <row r="56" spans="1:58" ht="13.95" customHeight="1" x14ac:dyDescent="0.25">
      <c r="A56" s="729"/>
      <c r="B56" s="433" t="s">
        <v>143</v>
      </c>
      <c r="C56" s="434" t="s">
        <v>144</v>
      </c>
      <c r="D56" s="433" t="s">
        <v>139</v>
      </c>
      <c r="E56" s="688"/>
      <c r="F56" s="433" t="s">
        <v>139</v>
      </c>
      <c r="G56" s="162"/>
      <c r="H56" s="721"/>
      <c r="I56" s="721"/>
      <c r="J56" s="721"/>
      <c r="K56" s="721"/>
      <c r="L56" s="721"/>
      <c r="M56" s="721"/>
      <c r="N56" s="721"/>
      <c r="O56" s="721"/>
      <c r="P56" s="721"/>
      <c r="Q56" s="721"/>
      <c r="R56" s="721"/>
      <c r="S56" s="721"/>
      <c r="T56" s="721"/>
      <c r="U56" s="721"/>
      <c r="V56" s="721"/>
      <c r="W56" s="721"/>
      <c r="X56" s="721"/>
      <c r="Y56" s="721"/>
      <c r="Z56" s="721"/>
      <c r="AA56" s="721"/>
      <c r="AB56" s="721"/>
      <c r="AC56" s="721"/>
      <c r="AD56" s="721"/>
      <c r="AE56" s="721"/>
      <c r="AF56" s="721"/>
      <c r="AG56" s="721"/>
      <c r="AH56" s="721"/>
      <c r="AI56" s="721"/>
      <c r="AJ56" s="721"/>
      <c r="AK56" s="721"/>
      <c r="AL56" s="721"/>
      <c r="AM56" s="721"/>
      <c r="AN56" s="721"/>
      <c r="AO56" s="721"/>
      <c r="AP56" s="721"/>
      <c r="AQ56" s="721"/>
      <c r="AR56" s="721"/>
      <c r="AS56" s="721"/>
      <c r="AT56" s="721"/>
      <c r="AU56" s="721"/>
      <c r="AV56" s="721"/>
      <c r="AW56" s="721"/>
      <c r="AX56" s="721"/>
      <c r="AY56" s="721"/>
      <c r="AZ56" s="721"/>
      <c r="BA56" s="721"/>
      <c r="BB56" s="721"/>
      <c r="BC56" s="721"/>
      <c r="BD56" s="721"/>
      <c r="BE56" s="721"/>
      <c r="BF56" s="721"/>
    </row>
    <row r="57" spans="1:58" ht="14.4" customHeight="1" x14ac:dyDescent="0.25">
      <c r="A57" s="729"/>
      <c r="B57" s="433" t="s">
        <v>145</v>
      </c>
      <c r="C57" s="434" t="s">
        <v>146</v>
      </c>
      <c r="D57" s="433" t="s">
        <v>142</v>
      </c>
      <c r="E57" s="688"/>
      <c r="F57" s="433" t="s">
        <v>142</v>
      </c>
      <c r="G57" s="162"/>
      <c r="H57" s="721"/>
      <c r="I57" s="721"/>
      <c r="J57" s="721"/>
      <c r="K57" s="721"/>
      <c r="L57" s="721"/>
      <c r="M57" s="721"/>
      <c r="N57" s="721"/>
      <c r="O57" s="721"/>
      <c r="P57" s="721"/>
      <c r="Q57" s="721"/>
      <c r="R57" s="721"/>
      <c r="S57" s="721"/>
      <c r="T57" s="721"/>
      <c r="U57" s="721"/>
      <c r="V57" s="721"/>
      <c r="W57" s="721"/>
      <c r="X57" s="721"/>
      <c r="Y57" s="721"/>
      <c r="Z57" s="721"/>
      <c r="AA57" s="721"/>
      <c r="AB57" s="721"/>
      <c r="AC57" s="721"/>
      <c r="AD57" s="721"/>
      <c r="AE57" s="721"/>
      <c r="AF57" s="721"/>
      <c r="AG57" s="721"/>
      <c r="AH57" s="721"/>
      <c r="AI57" s="721"/>
      <c r="AJ57" s="721"/>
      <c r="AK57" s="721"/>
      <c r="AL57" s="721"/>
      <c r="AM57" s="721"/>
      <c r="AN57" s="721"/>
      <c r="AO57" s="721"/>
      <c r="AP57" s="721"/>
      <c r="AQ57" s="721"/>
      <c r="AR57" s="721"/>
      <c r="AS57" s="721"/>
      <c r="AT57" s="721"/>
      <c r="AU57" s="721"/>
      <c r="AV57" s="721"/>
      <c r="AW57" s="721"/>
      <c r="AX57" s="721"/>
      <c r="AY57" s="721"/>
      <c r="AZ57" s="721"/>
      <c r="BA57" s="721"/>
      <c r="BB57" s="721"/>
      <c r="BC57" s="721"/>
      <c r="BD57" s="721"/>
      <c r="BE57" s="721"/>
      <c r="BF57" s="721"/>
    </row>
    <row r="58" spans="1:58" x14ac:dyDescent="0.25">
      <c r="A58" s="730" t="s">
        <v>35</v>
      </c>
      <c r="B58" s="730"/>
      <c r="C58" s="730"/>
      <c r="D58" s="730"/>
      <c r="E58" s="730"/>
      <c r="F58" s="73"/>
      <c r="G58" s="162"/>
      <c r="H58" s="721"/>
      <c r="I58" s="721"/>
      <c r="J58" s="721"/>
      <c r="K58" s="721"/>
      <c r="L58" s="721"/>
      <c r="M58" s="721"/>
      <c r="N58" s="721"/>
      <c r="O58" s="721"/>
      <c r="P58" s="721"/>
      <c r="Q58" s="721"/>
      <c r="R58" s="721"/>
      <c r="S58" s="721"/>
      <c r="T58" s="721"/>
      <c r="U58" s="721"/>
      <c r="V58" s="721"/>
      <c r="W58" s="721"/>
      <c r="X58" s="721"/>
      <c r="Y58" s="721"/>
      <c r="Z58" s="721"/>
      <c r="AA58" s="721"/>
      <c r="AB58" s="721"/>
      <c r="AC58" s="721"/>
      <c r="AD58" s="721"/>
      <c r="AE58" s="721"/>
      <c r="AF58" s="721"/>
      <c r="AG58" s="721"/>
      <c r="AH58" s="721"/>
      <c r="AI58" s="721"/>
      <c r="AJ58" s="721"/>
      <c r="AK58" s="721"/>
      <c r="AL58" s="721"/>
      <c r="AM58" s="721"/>
      <c r="AN58" s="721"/>
      <c r="AO58" s="721"/>
      <c r="AP58" s="721"/>
      <c r="AQ58" s="721"/>
      <c r="AR58" s="721"/>
      <c r="AS58" s="721"/>
      <c r="AT58" s="721"/>
      <c r="AU58" s="721"/>
      <c r="AV58" s="721"/>
      <c r="AW58" s="721"/>
      <c r="AX58" s="721"/>
      <c r="AY58" s="721"/>
      <c r="AZ58" s="721"/>
      <c r="BA58" s="721"/>
      <c r="BB58" s="721"/>
      <c r="BC58" s="721"/>
      <c r="BD58" s="721"/>
      <c r="BE58" s="721"/>
      <c r="BF58" s="721"/>
    </row>
    <row r="59" spans="1:58" ht="26.4" x14ac:dyDescent="0.25">
      <c r="A59" s="435" t="s">
        <v>147</v>
      </c>
      <c r="B59" s="435"/>
      <c r="C59" s="436" t="s">
        <v>148</v>
      </c>
      <c r="D59" s="437" t="s">
        <v>149</v>
      </c>
      <c r="F59" s="438">
        <v>30</v>
      </c>
      <c r="G59" s="162"/>
      <c r="H59" s="688"/>
      <c r="I59" s="688"/>
      <c r="J59" s="688"/>
      <c r="K59" s="688"/>
      <c r="L59" s="688"/>
      <c r="M59" s="688"/>
      <c r="N59" s="688"/>
      <c r="O59" s="688"/>
      <c r="P59" s="688"/>
      <c r="Q59" s="688"/>
      <c r="R59" s="688"/>
      <c r="S59" s="688"/>
      <c r="T59" s="688"/>
      <c r="U59" s="688"/>
      <c r="V59" s="688"/>
      <c r="W59" s="688"/>
      <c r="X59" s="688"/>
      <c r="Y59" s="688"/>
      <c r="Z59" s="688"/>
      <c r="AA59" s="688"/>
      <c r="AB59" s="688"/>
      <c r="AC59" s="688"/>
      <c r="AD59" s="688"/>
      <c r="AE59" s="688"/>
      <c r="AF59" s="688"/>
      <c r="AG59" s="688"/>
      <c r="AH59" s="688"/>
      <c r="AI59" s="688"/>
      <c r="AJ59" s="688"/>
      <c r="AK59" s="688"/>
      <c r="AL59" s="688"/>
      <c r="AM59" s="688"/>
      <c r="AN59" s="688"/>
      <c r="AO59" s="688"/>
      <c r="AP59" s="688"/>
      <c r="AQ59" s="688"/>
      <c r="AR59" s="688"/>
      <c r="AS59" s="688"/>
      <c r="AT59" s="688"/>
      <c r="AU59" s="688"/>
      <c r="AV59" s="688"/>
      <c r="AW59" s="688"/>
      <c r="AX59" s="688"/>
      <c r="AY59" s="688"/>
      <c r="AZ59" s="688"/>
      <c r="BA59" s="688"/>
      <c r="BB59" s="688"/>
      <c r="BC59" s="688"/>
      <c r="BD59" s="688"/>
      <c r="BE59" s="688"/>
      <c r="BF59" s="688"/>
    </row>
    <row r="60" spans="1:58" x14ac:dyDescent="0.25">
      <c r="A60" s="731" t="s">
        <v>150</v>
      </c>
      <c r="B60" s="439" t="s">
        <v>100</v>
      </c>
      <c r="C60" s="440" t="s">
        <v>104</v>
      </c>
      <c r="D60" s="441">
        <v>1.93</v>
      </c>
      <c r="F60" s="442">
        <v>0.4</v>
      </c>
      <c r="G60" s="162"/>
    </row>
    <row r="61" spans="1:58" x14ac:dyDescent="0.25">
      <c r="A61" s="732"/>
      <c r="B61" s="443" t="s">
        <v>80</v>
      </c>
      <c r="C61" s="444">
        <v>2.2000000000000002</v>
      </c>
      <c r="D61" s="445">
        <v>7.6999999999999999E-2</v>
      </c>
      <c r="F61" s="446">
        <v>0.03</v>
      </c>
      <c r="G61" s="162"/>
    </row>
    <row r="62" spans="1:58" x14ac:dyDescent="0.25">
      <c r="A62" s="733"/>
      <c r="B62" s="443" t="s">
        <v>102</v>
      </c>
      <c r="C62" s="447"/>
      <c r="D62" s="448" t="s">
        <v>151</v>
      </c>
      <c r="F62" s="443"/>
      <c r="G62" s="162"/>
    </row>
    <row r="63" spans="1:58" x14ac:dyDescent="0.25">
      <c r="A63" s="449" t="s">
        <v>152</v>
      </c>
      <c r="B63" s="449"/>
      <c r="C63" s="450" t="s">
        <v>153</v>
      </c>
      <c r="D63" s="451" t="s">
        <v>154</v>
      </c>
      <c r="F63" s="449" t="s">
        <v>155</v>
      </c>
      <c r="G63" s="162"/>
    </row>
    <row r="64" spans="1:58" x14ac:dyDescent="0.25">
      <c r="A64" s="452" t="s">
        <v>156</v>
      </c>
      <c r="B64" s="452"/>
      <c r="C64" s="445">
        <v>180</v>
      </c>
      <c r="D64" s="445">
        <v>212</v>
      </c>
      <c r="F64" s="452">
        <v>180</v>
      </c>
      <c r="G64" s="162"/>
    </row>
    <row r="65" spans="1:21" x14ac:dyDescent="0.25">
      <c r="A65" s="123"/>
      <c r="B65" s="123"/>
      <c r="C65" s="164"/>
      <c r="D65" s="164"/>
      <c r="F65" s="123"/>
      <c r="G65" s="162"/>
    </row>
    <row r="66" spans="1:21" ht="26.4" x14ac:dyDescent="0.25">
      <c r="A66" s="151" t="s">
        <v>157</v>
      </c>
      <c r="B66" s="453"/>
      <c r="C66" s="454">
        <f>2201.28*264.17</f>
        <v>581512.13760000013</v>
      </c>
      <c r="D66" s="454">
        <f>1301.55*264.17</f>
        <v>343830.46350000001</v>
      </c>
      <c r="F66" s="454">
        <v>71224</v>
      </c>
      <c r="G66" s="162"/>
    </row>
    <row r="67" spans="1:21" x14ac:dyDescent="0.25">
      <c r="A67" s="121"/>
      <c r="B67" s="121"/>
      <c r="C67" s="11" t="s">
        <v>158</v>
      </c>
      <c r="D67" s="11" t="s">
        <v>159</v>
      </c>
      <c r="E67" s="688"/>
      <c r="F67" s="73"/>
      <c r="G67" s="162"/>
    </row>
    <row r="71" spans="1:21" x14ac:dyDescent="0.25">
      <c r="A71" s="722" t="s">
        <v>160</v>
      </c>
      <c r="B71" s="722"/>
      <c r="C71" s="722"/>
    </row>
    <row r="72" spans="1:21" ht="14.4" x14ac:dyDescent="0.3">
      <c r="A72" t="s">
        <v>161</v>
      </c>
      <c r="B72"/>
      <c r="C72"/>
      <c r="D72"/>
      <c r="E72"/>
      <c r="F72"/>
      <c r="G72"/>
      <c r="H72"/>
      <c r="I72"/>
      <c r="J72"/>
      <c r="L72"/>
      <c r="M72"/>
      <c r="N72"/>
      <c r="O72"/>
      <c r="P72"/>
      <c r="Q72"/>
      <c r="R72"/>
    </row>
    <row r="73" spans="1:21" ht="14.4" x14ac:dyDescent="0.3">
      <c r="A73"/>
      <c r="B73"/>
      <c r="C73"/>
      <c r="D73"/>
      <c r="E73"/>
      <c r="F73"/>
      <c r="G73"/>
      <c r="H73"/>
      <c r="I73"/>
      <c r="J73"/>
      <c r="K73"/>
      <c r="L73"/>
      <c r="N73"/>
      <c r="O73"/>
      <c r="P73"/>
      <c r="Q73"/>
      <c r="R73"/>
      <c r="S73"/>
      <c r="T73"/>
    </row>
    <row r="74" spans="1:21" ht="14.4" x14ac:dyDescent="0.3">
      <c r="A74"/>
      <c r="B74"/>
      <c r="C74"/>
      <c r="D74"/>
      <c r="E74"/>
      <c r="F74"/>
      <c r="G74"/>
      <c r="H74"/>
      <c r="I74"/>
      <c r="J74"/>
      <c r="K74"/>
      <c r="L74"/>
      <c r="M74"/>
      <c r="N74"/>
      <c r="O74"/>
      <c r="P74"/>
      <c r="Q74"/>
      <c r="R74"/>
      <c r="S74"/>
      <c r="T74"/>
    </row>
    <row r="75" spans="1:21" ht="14.4" x14ac:dyDescent="0.3">
      <c r="A75"/>
      <c r="B75"/>
      <c r="C75"/>
      <c r="D75"/>
      <c r="E75"/>
      <c r="F75"/>
      <c r="G75"/>
      <c r="H75"/>
      <c r="I75"/>
      <c r="J75"/>
      <c r="K75"/>
      <c r="L75"/>
      <c r="M75"/>
      <c r="N75"/>
      <c r="O75"/>
      <c r="P75"/>
      <c r="Q75"/>
      <c r="R75"/>
      <c r="S75"/>
      <c r="T75"/>
    </row>
    <row r="76" spans="1:21" ht="14.4" x14ac:dyDescent="0.3">
      <c r="A76"/>
      <c r="B76"/>
      <c r="C76"/>
      <c r="D76"/>
      <c r="E76"/>
      <c r="F76"/>
      <c r="G76"/>
      <c r="H76"/>
      <c r="I76"/>
      <c r="J76"/>
      <c r="K76"/>
      <c r="L76"/>
      <c r="M76"/>
      <c r="N76"/>
      <c r="O76"/>
      <c r="P76"/>
      <c r="Q76"/>
      <c r="R76"/>
      <c r="S76"/>
      <c r="T76"/>
      <c r="U76"/>
    </row>
    <row r="77" spans="1:21" ht="14.4" x14ac:dyDescent="0.3">
      <c r="A77"/>
      <c r="B77"/>
      <c r="C77"/>
      <c r="D77"/>
      <c r="E77"/>
      <c r="F77"/>
      <c r="G77"/>
      <c r="H77"/>
      <c r="I77"/>
      <c r="J77"/>
      <c r="K77"/>
      <c r="L77"/>
      <c r="M77"/>
      <c r="N77"/>
      <c r="O77"/>
      <c r="P77"/>
      <c r="Q77"/>
      <c r="R77"/>
      <c r="S77"/>
      <c r="T77"/>
      <c r="U77"/>
    </row>
    <row r="78" spans="1:21" ht="14.4" x14ac:dyDescent="0.3">
      <c r="A78"/>
      <c r="B78"/>
      <c r="C78"/>
      <c r="D78"/>
      <c r="E78"/>
      <c r="F78"/>
      <c r="G78"/>
      <c r="H78"/>
      <c r="I78"/>
      <c r="J78"/>
      <c r="K78"/>
      <c r="L78"/>
      <c r="M78"/>
      <c r="N78"/>
      <c r="O78"/>
      <c r="P78"/>
      <c r="Q78"/>
      <c r="R78"/>
      <c r="S78"/>
      <c r="T78"/>
      <c r="U78"/>
    </row>
    <row r="79" spans="1:21" ht="14.4" x14ac:dyDescent="0.3">
      <c r="A79"/>
      <c r="B79"/>
      <c r="C79"/>
      <c r="D79"/>
      <c r="E79"/>
      <c r="F79"/>
      <c r="G79"/>
      <c r="H79"/>
      <c r="I79"/>
      <c r="J79"/>
      <c r="K79"/>
      <c r="L79"/>
      <c r="M79"/>
      <c r="N79"/>
      <c r="O79"/>
      <c r="P79"/>
      <c r="Q79"/>
      <c r="R79"/>
      <c r="S79"/>
      <c r="T79"/>
      <c r="U79"/>
    </row>
    <row r="80" spans="1:21" ht="14.4" x14ac:dyDescent="0.3">
      <c r="A80"/>
      <c r="B80"/>
      <c r="C80"/>
      <c r="D80"/>
      <c r="E80"/>
      <c r="F80"/>
      <c r="G80"/>
      <c r="H80"/>
      <c r="I80"/>
      <c r="J80"/>
      <c r="K80"/>
      <c r="L80"/>
      <c r="M80"/>
      <c r="N80"/>
      <c r="O80"/>
      <c r="P80"/>
      <c r="Q80"/>
      <c r="R80"/>
      <c r="S80"/>
      <c r="T80"/>
      <c r="U80"/>
    </row>
    <row r="81" spans="1:21" ht="14.4" x14ac:dyDescent="0.3">
      <c r="A81"/>
      <c r="B81"/>
      <c r="C81"/>
      <c r="D81"/>
      <c r="E81"/>
      <c r="F81"/>
      <c r="G81"/>
      <c r="H81"/>
      <c r="I81"/>
      <c r="J81"/>
      <c r="K81"/>
      <c r="L81"/>
      <c r="M81"/>
      <c r="N81"/>
      <c r="O81"/>
      <c r="P81"/>
      <c r="Q81"/>
      <c r="R81"/>
      <c r="S81"/>
      <c r="T81"/>
      <c r="U81"/>
    </row>
    <row r="82" spans="1:21" ht="14.4" x14ac:dyDescent="0.3">
      <c r="A82"/>
      <c r="B82"/>
      <c r="C82"/>
      <c r="D82"/>
      <c r="E82"/>
      <c r="F82"/>
      <c r="G82"/>
      <c r="H82"/>
      <c r="I82"/>
      <c r="J82"/>
      <c r="K82"/>
      <c r="L82"/>
      <c r="M82"/>
      <c r="N82"/>
      <c r="O82"/>
      <c r="P82"/>
      <c r="Q82"/>
      <c r="R82"/>
      <c r="S82"/>
      <c r="T82"/>
      <c r="U82"/>
    </row>
    <row r="83" spans="1:21" ht="14.4" x14ac:dyDescent="0.3">
      <c r="A83"/>
      <c r="B83"/>
      <c r="C83"/>
      <c r="D83"/>
      <c r="E83"/>
      <c r="F83"/>
      <c r="G83"/>
      <c r="H83"/>
      <c r="I83"/>
      <c r="J83"/>
      <c r="K83"/>
      <c r="L83"/>
      <c r="M83"/>
      <c r="N83"/>
      <c r="O83"/>
      <c r="P83"/>
      <c r="Q83"/>
      <c r="R83"/>
      <c r="S83"/>
      <c r="T83"/>
      <c r="U83"/>
    </row>
    <row r="84" spans="1:21" ht="14.4" x14ac:dyDescent="0.3">
      <c r="A84"/>
      <c r="B84"/>
      <c r="C84"/>
      <c r="D84"/>
      <c r="E84"/>
      <c r="F84"/>
      <c r="G84"/>
      <c r="H84"/>
      <c r="I84"/>
      <c r="J84"/>
      <c r="K84"/>
      <c r="L84"/>
      <c r="M84"/>
      <c r="N84"/>
      <c r="O84"/>
      <c r="P84"/>
      <c r="Q84"/>
      <c r="R84"/>
      <c r="S84"/>
      <c r="T84"/>
      <c r="U84"/>
    </row>
    <row r="85" spans="1:21" ht="14.4" x14ac:dyDescent="0.3">
      <c r="A85"/>
      <c r="B85"/>
      <c r="C85"/>
      <c r="D85"/>
      <c r="E85"/>
      <c r="F85"/>
      <c r="G85"/>
      <c r="H85"/>
      <c r="I85"/>
      <c r="J85"/>
      <c r="K85"/>
      <c r="L85"/>
      <c r="M85"/>
      <c r="N85"/>
      <c r="O85"/>
      <c r="P85"/>
      <c r="Q85"/>
      <c r="R85"/>
      <c r="S85"/>
      <c r="T85"/>
      <c r="U85"/>
    </row>
    <row r="86" spans="1:21" ht="14.4" x14ac:dyDescent="0.3">
      <c r="A86"/>
      <c r="B86"/>
      <c r="C86"/>
      <c r="D86"/>
      <c r="E86"/>
      <c r="F86"/>
      <c r="G86"/>
      <c r="H86"/>
      <c r="I86"/>
      <c r="J86"/>
      <c r="K86"/>
      <c r="L86"/>
      <c r="M86"/>
      <c r="N86"/>
      <c r="O86"/>
      <c r="P86"/>
      <c r="Q86"/>
      <c r="R86"/>
      <c r="S86"/>
      <c r="T86"/>
      <c r="U86"/>
    </row>
    <row r="87" spans="1:21" ht="14.4" x14ac:dyDescent="0.3">
      <c r="A87"/>
      <c r="B87"/>
      <c r="C87"/>
      <c r="D87"/>
      <c r="E87"/>
      <c r="F87"/>
      <c r="G87"/>
      <c r="H87"/>
      <c r="I87"/>
      <c r="J87"/>
      <c r="K87"/>
      <c r="L87"/>
      <c r="M87"/>
      <c r="N87"/>
      <c r="O87"/>
      <c r="P87"/>
      <c r="Q87"/>
      <c r="R87"/>
      <c r="S87"/>
      <c r="T87"/>
      <c r="U87"/>
    </row>
    <row r="88" spans="1:21" ht="14.4" x14ac:dyDescent="0.3">
      <c r="A88"/>
      <c r="B88"/>
      <c r="C88"/>
      <c r="D88"/>
      <c r="E88"/>
      <c r="F88"/>
      <c r="G88"/>
      <c r="H88"/>
      <c r="I88"/>
      <c r="J88"/>
      <c r="K88"/>
      <c r="L88"/>
      <c r="M88"/>
      <c r="N88"/>
      <c r="O88"/>
      <c r="P88"/>
      <c r="Q88"/>
      <c r="R88"/>
      <c r="S88"/>
      <c r="T88"/>
      <c r="U88"/>
    </row>
    <row r="89" spans="1:21" ht="14.4" x14ac:dyDescent="0.3">
      <c r="A89"/>
      <c r="B89"/>
      <c r="C89"/>
      <c r="D89"/>
      <c r="E89"/>
      <c r="F89"/>
      <c r="G89"/>
      <c r="H89"/>
      <c r="I89"/>
      <c r="J89"/>
      <c r="K89"/>
      <c r="L89"/>
      <c r="M89"/>
      <c r="N89"/>
      <c r="O89"/>
      <c r="P89"/>
      <c r="Q89"/>
      <c r="R89"/>
      <c r="S89"/>
      <c r="T89"/>
      <c r="U89"/>
    </row>
    <row r="90" spans="1:21" ht="14.4" x14ac:dyDescent="0.3">
      <c r="A90"/>
      <c r="B90"/>
      <c r="C90"/>
      <c r="D90"/>
      <c r="E90"/>
      <c r="F90"/>
      <c r="G90"/>
      <c r="H90"/>
      <c r="I90"/>
      <c r="J90"/>
      <c r="K90"/>
      <c r="L90"/>
      <c r="M90"/>
      <c r="N90"/>
      <c r="O90"/>
      <c r="P90"/>
      <c r="Q90"/>
      <c r="R90"/>
      <c r="S90"/>
      <c r="T90"/>
      <c r="U90"/>
    </row>
    <row r="91" spans="1:21" ht="14.4" x14ac:dyDescent="0.3">
      <c r="A91"/>
      <c r="B91"/>
      <c r="C91"/>
      <c r="D91"/>
      <c r="E91"/>
      <c r="F91"/>
      <c r="G91"/>
      <c r="H91"/>
      <c r="I91"/>
      <c r="J91"/>
      <c r="K91"/>
      <c r="L91"/>
      <c r="M91"/>
      <c r="N91"/>
      <c r="O91"/>
      <c r="P91"/>
      <c r="Q91"/>
      <c r="R91"/>
      <c r="S91"/>
      <c r="T91"/>
      <c r="U91"/>
    </row>
    <row r="92" spans="1:21" ht="14.4" x14ac:dyDescent="0.3">
      <c r="A92"/>
      <c r="B92"/>
      <c r="C92"/>
      <c r="D92"/>
      <c r="E92"/>
      <c r="F92"/>
      <c r="G92"/>
      <c r="H92"/>
      <c r="I92"/>
      <c r="J92"/>
      <c r="K92"/>
      <c r="L92"/>
      <c r="M92"/>
      <c r="N92"/>
      <c r="O92"/>
      <c r="P92"/>
      <c r="Q92"/>
      <c r="R92"/>
      <c r="S92"/>
      <c r="T92"/>
      <c r="U92"/>
    </row>
    <row r="93" spans="1:21" ht="14.4" x14ac:dyDescent="0.3">
      <c r="A93"/>
      <c r="B93"/>
      <c r="C93"/>
      <c r="D93"/>
      <c r="E93"/>
      <c r="F93"/>
      <c r="G93"/>
      <c r="H93"/>
      <c r="I93"/>
      <c r="J93"/>
      <c r="K93"/>
      <c r="L93"/>
      <c r="M93"/>
      <c r="N93"/>
      <c r="O93"/>
      <c r="P93"/>
      <c r="Q93"/>
      <c r="R93"/>
      <c r="S93"/>
      <c r="T93"/>
      <c r="U93"/>
    </row>
    <row r="94" spans="1:21" ht="14.4" x14ac:dyDescent="0.3">
      <c r="A94"/>
      <c r="B94"/>
      <c r="C94"/>
      <c r="D94"/>
      <c r="E94"/>
      <c r="F94"/>
      <c r="G94"/>
      <c r="H94"/>
      <c r="I94"/>
      <c r="J94"/>
      <c r="K94"/>
      <c r="L94"/>
      <c r="M94"/>
      <c r="N94"/>
      <c r="O94"/>
      <c r="P94"/>
      <c r="Q94"/>
      <c r="R94"/>
      <c r="S94"/>
      <c r="T94"/>
      <c r="U94"/>
    </row>
    <row r="95" spans="1:21" ht="14.4" x14ac:dyDescent="0.3">
      <c r="A95"/>
      <c r="B95"/>
      <c r="C95"/>
      <c r="D95"/>
      <c r="E95"/>
      <c r="F95"/>
      <c r="G95"/>
      <c r="H95"/>
      <c r="I95"/>
      <c r="J95"/>
      <c r="K95"/>
      <c r="L95"/>
      <c r="M95"/>
      <c r="N95"/>
      <c r="O95"/>
      <c r="P95"/>
      <c r="Q95"/>
      <c r="R95"/>
      <c r="S95"/>
      <c r="T95"/>
      <c r="U95"/>
    </row>
    <row r="96" spans="1:21" ht="14.4" x14ac:dyDescent="0.3">
      <c r="A96"/>
      <c r="B96"/>
      <c r="C96"/>
      <c r="D96"/>
      <c r="E96"/>
      <c r="F96"/>
      <c r="G96"/>
      <c r="H96"/>
      <c r="I96"/>
      <c r="J96"/>
      <c r="K96"/>
      <c r="L96"/>
      <c r="M96"/>
      <c r="N96"/>
      <c r="O96"/>
      <c r="P96"/>
      <c r="Q96"/>
      <c r="R96"/>
      <c r="S96"/>
      <c r="T96"/>
      <c r="U96"/>
    </row>
    <row r="97" spans="1:21" ht="14.4" x14ac:dyDescent="0.3">
      <c r="A97"/>
      <c r="B97"/>
      <c r="C97"/>
      <c r="D97"/>
      <c r="E97"/>
      <c r="F97"/>
      <c r="G97"/>
      <c r="H97"/>
      <c r="I97"/>
      <c r="J97"/>
      <c r="K97"/>
      <c r="L97"/>
      <c r="M97"/>
      <c r="N97"/>
      <c r="O97"/>
      <c r="P97"/>
      <c r="Q97"/>
      <c r="R97"/>
      <c r="S97"/>
      <c r="T97"/>
      <c r="U97"/>
    </row>
    <row r="98" spans="1:21" ht="14.4" x14ac:dyDescent="0.3">
      <c r="A98"/>
      <c r="B98"/>
      <c r="C98"/>
      <c r="D98"/>
      <c r="E98"/>
      <c r="F98"/>
      <c r="G98"/>
      <c r="H98"/>
      <c r="I98"/>
      <c r="J98"/>
      <c r="K98"/>
      <c r="L98"/>
      <c r="M98"/>
      <c r="N98"/>
      <c r="O98"/>
      <c r="P98"/>
      <c r="Q98"/>
      <c r="R98"/>
      <c r="S98"/>
      <c r="T98"/>
      <c r="U98"/>
    </row>
    <row r="99" spans="1:21" ht="14.4" x14ac:dyDescent="0.3">
      <c r="A99"/>
      <c r="B99"/>
      <c r="C99"/>
      <c r="D99"/>
      <c r="E99"/>
      <c r="F99"/>
      <c r="G99"/>
      <c r="H99"/>
      <c r="I99"/>
      <c r="J99"/>
      <c r="K99"/>
      <c r="L99"/>
      <c r="M99"/>
      <c r="N99"/>
      <c r="O99"/>
      <c r="P99"/>
      <c r="Q99"/>
      <c r="R99"/>
      <c r="S99"/>
      <c r="T99"/>
      <c r="U99"/>
    </row>
    <row r="100" spans="1:21" ht="14.4" x14ac:dyDescent="0.3">
      <c r="A100"/>
      <c r="B100"/>
      <c r="C100"/>
      <c r="D100"/>
      <c r="E100"/>
      <c r="F100"/>
      <c r="G100"/>
      <c r="H100"/>
      <c r="I100"/>
      <c r="J100"/>
      <c r="K100"/>
      <c r="L100"/>
      <c r="M100"/>
      <c r="N100"/>
      <c r="O100"/>
      <c r="P100"/>
      <c r="Q100"/>
      <c r="R100"/>
      <c r="S100"/>
      <c r="T100"/>
      <c r="U100"/>
    </row>
  </sheetData>
  <mergeCells count="267">
    <mergeCell ref="A52:A53"/>
    <mergeCell ref="A54:A57"/>
    <mergeCell ref="A58:E58"/>
    <mergeCell ref="A60:A62"/>
    <mergeCell ref="A1:C1"/>
    <mergeCell ref="A2:C2"/>
    <mergeCell ref="AD34:AD37"/>
    <mergeCell ref="P34:P37"/>
    <mergeCell ref="Q34:Q37"/>
    <mergeCell ref="R34:R37"/>
    <mergeCell ref="S34:S37"/>
    <mergeCell ref="J34:J37"/>
    <mergeCell ref="K34:K37"/>
    <mergeCell ref="L34:L37"/>
    <mergeCell ref="M34:M37"/>
    <mergeCell ref="N34:N37"/>
    <mergeCell ref="U34:U37"/>
    <mergeCell ref="V34:V37"/>
    <mergeCell ref="W34:W37"/>
    <mergeCell ref="X34:X37"/>
    <mergeCell ref="O34:O37"/>
    <mergeCell ref="T34:T37"/>
    <mergeCell ref="A33:D33"/>
    <mergeCell ref="A34:A36"/>
    <mergeCell ref="A37:A39"/>
    <mergeCell ref="K38:K41"/>
    <mergeCell ref="L38:L41"/>
    <mergeCell ref="M38:M41"/>
    <mergeCell ref="N38:N41"/>
    <mergeCell ref="O38:O41"/>
    <mergeCell ref="P38:P41"/>
    <mergeCell ref="Q38:Q41"/>
    <mergeCell ref="R38:R41"/>
    <mergeCell ref="X38:X41"/>
    <mergeCell ref="W38:W41"/>
    <mergeCell ref="H34:H37"/>
    <mergeCell ref="I34:I37"/>
    <mergeCell ref="H38:H41"/>
    <mergeCell ref="I38:I41"/>
    <mergeCell ref="J38:J41"/>
    <mergeCell ref="H44:H46"/>
    <mergeCell ref="I44:I46"/>
    <mergeCell ref="J44:J46"/>
    <mergeCell ref="T44:T46"/>
    <mergeCell ref="U44:U46"/>
    <mergeCell ref="V44:V46"/>
    <mergeCell ref="W44:W46"/>
    <mergeCell ref="N44:N46"/>
    <mergeCell ref="O44:O46"/>
    <mergeCell ref="P44:P46"/>
    <mergeCell ref="Q44:Q46"/>
    <mergeCell ref="R44:R46"/>
    <mergeCell ref="A42:A44"/>
    <mergeCell ref="A49:A51"/>
    <mergeCell ref="AH38:AH41"/>
    <mergeCell ref="AI38:AI41"/>
    <mergeCell ref="AJ38:AJ41"/>
    <mergeCell ref="AK38:AK41"/>
    <mergeCell ref="AL38:AL41"/>
    <mergeCell ref="AC38:AC41"/>
    <mergeCell ref="AD38:AD41"/>
    <mergeCell ref="AE38:AE41"/>
    <mergeCell ref="AF38:AF41"/>
    <mergeCell ref="AG38:AG41"/>
    <mergeCell ref="Y38:Y41"/>
    <mergeCell ref="Z38:Z41"/>
    <mergeCell ref="AA38:AA41"/>
    <mergeCell ref="K44:K46"/>
    <mergeCell ref="L44:L46"/>
    <mergeCell ref="M44:M46"/>
    <mergeCell ref="AB38:AB41"/>
    <mergeCell ref="S38:S41"/>
    <mergeCell ref="T38:T41"/>
    <mergeCell ref="U38:U41"/>
    <mergeCell ref="V38:V41"/>
    <mergeCell ref="S44:S46"/>
    <mergeCell ref="BF34:BF37"/>
    <mergeCell ref="AE34:AE37"/>
    <mergeCell ref="AF34:AF37"/>
    <mergeCell ref="AG34:AG37"/>
    <mergeCell ref="AH34:AH37"/>
    <mergeCell ref="Y34:Y37"/>
    <mergeCell ref="Z34:Z37"/>
    <mergeCell ref="AA34:AA37"/>
    <mergeCell ref="AB34:AB37"/>
    <mergeCell ref="AC34:AC37"/>
    <mergeCell ref="AX34:AX37"/>
    <mergeCell ref="AY34:AY37"/>
    <mergeCell ref="AZ34:AZ37"/>
    <mergeCell ref="BA34:BA37"/>
    <mergeCell ref="BB34:BB37"/>
    <mergeCell ref="AS34:AS37"/>
    <mergeCell ref="BC34:BC37"/>
    <mergeCell ref="BD34:BD37"/>
    <mergeCell ref="BE34:BE37"/>
    <mergeCell ref="AI34:AI37"/>
    <mergeCell ref="AJ34:AJ37"/>
    <mergeCell ref="AK34:AK37"/>
    <mergeCell ref="AL34:AL37"/>
    <mergeCell ref="AM34:AM37"/>
    <mergeCell ref="BC38:BC41"/>
    <mergeCell ref="BD38:BD41"/>
    <mergeCell ref="BE38:BE41"/>
    <mergeCell ref="BF38:BF41"/>
    <mergeCell ref="AW38:AW41"/>
    <mergeCell ref="AX38:AX41"/>
    <mergeCell ref="AY38:AY41"/>
    <mergeCell ref="AZ38:AZ41"/>
    <mergeCell ref="BA38:BA41"/>
    <mergeCell ref="BB38:BB41"/>
    <mergeCell ref="AT34:AT37"/>
    <mergeCell ref="AU34:AU37"/>
    <mergeCell ref="AV34:AV37"/>
    <mergeCell ref="AW34:AW37"/>
    <mergeCell ref="AN34:AN37"/>
    <mergeCell ref="AO34:AO37"/>
    <mergeCell ref="AP34:AP37"/>
    <mergeCell ref="AQ34:AQ37"/>
    <mergeCell ref="AR34:AR37"/>
    <mergeCell ref="AR38:AR41"/>
    <mergeCell ref="AS38:AS41"/>
    <mergeCell ref="AT38:AT41"/>
    <mergeCell ref="AU38:AU41"/>
    <mergeCell ref="AV38:AV41"/>
    <mergeCell ref="AM38:AM41"/>
    <mergeCell ref="AN38:AN41"/>
    <mergeCell ref="AO38:AO41"/>
    <mergeCell ref="AP38:AP41"/>
    <mergeCell ref="AQ38:AQ41"/>
    <mergeCell ref="BD44:BD46"/>
    <mergeCell ref="BE44:BE46"/>
    <mergeCell ref="BF44:BF46"/>
    <mergeCell ref="AW44:AW46"/>
    <mergeCell ref="AX44:AX46"/>
    <mergeCell ref="AY44:AY46"/>
    <mergeCell ref="AZ44:AZ46"/>
    <mergeCell ref="BA44:BA46"/>
    <mergeCell ref="AR44:AR46"/>
    <mergeCell ref="AS44:AS46"/>
    <mergeCell ref="AT44:AT46"/>
    <mergeCell ref="AU44:AU46"/>
    <mergeCell ref="AV44:AV46"/>
    <mergeCell ref="BB44:BB46"/>
    <mergeCell ref="BC44:BC46"/>
    <mergeCell ref="AM44:AM46"/>
    <mergeCell ref="AN44:AN46"/>
    <mergeCell ref="AO44:AO46"/>
    <mergeCell ref="AP44:AP46"/>
    <mergeCell ref="AQ44:AQ46"/>
    <mergeCell ref="AH44:AH46"/>
    <mergeCell ref="AI44:AI46"/>
    <mergeCell ref="AJ44:AJ46"/>
    <mergeCell ref="AK44:AK46"/>
    <mergeCell ref="AL44:AL46"/>
    <mergeCell ref="H53:H56"/>
    <mergeCell ref="I53:I56"/>
    <mergeCell ref="J53:J56"/>
    <mergeCell ref="K53:K56"/>
    <mergeCell ref="AC44:AC46"/>
    <mergeCell ref="AD44:AD46"/>
    <mergeCell ref="AE44:AE46"/>
    <mergeCell ref="AF44:AF46"/>
    <mergeCell ref="AG44:AG46"/>
    <mergeCell ref="Q53:Q56"/>
    <mergeCell ref="X44:X46"/>
    <mergeCell ref="Y44:Y46"/>
    <mergeCell ref="Z44:Z46"/>
    <mergeCell ref="AA44:AA46"/>
    <mergeCell ref="AB44:AB46"/>
    <mergeCell ref="V53:V56"/>
    <mergeCell ref="W53:W56"/>
    <mergeCell ref="X53:X56"/>
    <mergeCell ref="Y53:Y56"/>
    <mergeCell ref="Z53:Z56"/>
    <mergeCell ref="R53:R56"/>
    <mergeCell ref="S53:S56"/>
    <mergeCell ref="T53:T56"/>
    <mergeCell ref="U53:U56"/>
    <mergeCell ref="L53:L56"/>
    <mergeCell ref="M53:M56"/>
    <mergeCell ref="N53:N56"/>
    <mergeCell ref="O53:O56"/>
    <mergeCell ref="P53:P56"/>
    <mergeCell ref="AF53:AF56"/>
    <mergeCell ref="AG53:AG56"/>
    <mergeCell ref="AS53:AS56"/>
    <mergeCell ref="AT53:AT56"/>
    <mergeCell ref="AK53:AK56"/>
    <mergeCell ref="AL53:AL56"/>
    <mergeCell ref="AM53:AM56"/>
    <mergeCell ref="AN53:AN56"/>
    <mergeCell ref="AO53:AO56"/>
    <mergeCell ref="AH53:AH56"/>
    <mergeCell ref="AI53:AI56"/>
    <mergeCell ref="AJ53:AJ56"/>
    <mergeCell ref="BF53:BF56"/>
    <mergeCell ref="H57:H58"/>
    <mergeCell ref="I57:I58"/>
    <mergeCell ref="J57:J58"/>
    <mergeCell ref="K57:K58"/>
    <mergeCell ref="L57:L58"/>
    <mergeCell ref="M57:M58"/>
    <mergeCell ref="N57:N58"/>
    <mergeCell ref="O57:O58"/>
    <mergeCell ref="AZ53:AZ56"/>
    <mergeCell ref="BA53:BA56"/>
    <mergeCell ref="BB53:BB56"/>
    <mergeCell ref="BC53:BC56"/>
    <mergeCell ref="BD53:BD56"/>
    <mergeCell ref="AU53:AU56"/>
    <mergeCell ref="AV53:AV56"/>
    <mergeCell ref="Z57:Z58"/>
    <mergeCell ref="AA57:AA58"/>
    <mergeCell ref="AX53:AX56"/>
    <mergeCell ref="AY53:AY56"/>
    <mergeCell ref="AP53:AP56"/>
    <mergeCell ref="AQ53:AQ56"/>
    <mergeCell ref="AR53:AR56"/>
    <mergeCell ref="AA53:AA56"/>
    <mergeCell ref="A71:C71"/>
    <mergeCell ref="AB57:AB58"/>
    <mergeCell ref="AC57:AC58"/>
    <mergeCell ref="AD57:AD58"/>
    <mergeCell ref="U57:U58"/>
    <mergeCell ref="V57:V58"/>
    <mergeCell ref="W57:W58"/>
    <mergeCell ref="X57:X58"/>
    <mergeCell ref="Y57:Y58"/>
    <mergeCell ref="P57:P58"/>
    <mergeCell ref="Q57:Q58"/>
    <mergeCell ref="R57:R58"/>
    <mergeCell ref="S57:S58"/>
    <mergeCell ref="T57:T58"/>
    <mergeCell ref="BF57:BF58"/>
    <mergeCell ref="AY57:AY58"/>
    <mergeCell ref="AZ57:AZ58"/>
    <mergeCell ref="BA57:BA58"/>
    <mergeCell ref="BB57:BB58"/>
    <mergeCell ref="BC57:BC58"/>
    <mergeCell ref="AT57:AT58"/>
    <mergeCell ref="AU57:AU58"/>
    <mergeCell ref="AV57:AV58"/>
    <mergeCell ref="AW57:AW58"/>
    <mergeCell ref="AX57:AX58"/>
    <mergeCell ref="AE57:AE58"/>
    <mergeCell ref="AF57:AF58"/>
    <mergeCell ref="AG57:AG58"/>
    <mergeCell ref="AH57:AH58"/>
    <mergeCell ref="AI57:AI58"/>
    <mergeCell ref="BE53:BE56"/>
    <mergeCell ref="AB53:AB56"/>
    <mergeCell ref="AC53:AC56"/>
    <mergeCell ref="AD53:AD56"/>
    <mergeCell ref="AE53:AE56"/>
    <mergeCell ref="AW53:AW56"/>
    <mergeCell ref="AO57:AO58"/>
    <mergeCell ref="AP57:AP58"/>
    <mergeCell ref="AQ57:AQ58"/>
    <mergeCell ref="AR57:AR58"/>
    <mergeCell ref="AS57:AS58"/>
    <mergeCell ref="AJ57:AJ58"/>
    <mergeCell ref="BD57:BD58"/>
    <mergeCell ref="BE57:BE58"/>
    <mergeCell ref="AL57:AL58"/>
    <mergeCell ref="AM57:AM58"/>
    <mergeCell ref="AN57:AN58"/>
    <mergeCell ref="AK57:AK58"/>
  </mergeCells>
  <phoneticPr fontId="5" type="noConversion"/>
  <hyperlinks>
    <hyperlink ref="A25" r:id="rId1" xr:uid="{8BEB8AFD-1B55-4565-9666-5741D7F50241}"/>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R20"/>
  <sheetViews>
    <sheetView zoomScale="85" zoomScaleNormal="85" workbookViewId="0">
      <selection sqref="A1:M1"/>
    </sheetView>
  </sheetViews>
  <sheetFormatPr defaultColWidth="8.6640625" defaultRowHeight="13.2" x14ac:dyDescent="0.25"/>
  <cols>
    <col min="1" max="1" width="29.109375" style="5" customWidth="1"/>
    <col min="2" max="2" width="23.5546875" style="5" customWidth="1"/>
    <col min="3" max="3" width="44" style="5" customWidth="1"/>
    <col min="4" max="5" width="17.33203125" style="5" customWidth="1"/>
    <col min="6" max="6" width="14.6640625" style="5" customWidth="1"/>
    <col min="7" max="7" width="12.6640625" style="5" customWidth="1"/>
    <col min="8" max="8" width="12" style="5" bestFit="1" customWidth="1"/>
    <col min="9" max="10" width="11.33203125" style="5" customWidth="1"/>
    <col min="11" max="11" width="19.33203125" style="5" customWidth="1"/>
    <col min="12" max="12" width="27.109375" style="5" customWidth="1"/>
    <col min="13" max="13" width="25.6640625" style="5" customWidth="1"/>
    <col min="14" max="14" width="12.6640625" style="5" customWidth="1"/>
    <col min="15" max="15" width="30.6640625" style="5" customWidth="1"/>
    <col min="16" max="16" width="22.33203125" style="5" bestFit="1" customWidth="1"/>
    <col min="17" max="17" width="18.33203125" style="5" customWidth="1"/>
    <col min="18" max="18" width="25.6640625" style="5" customWidth="1"/>
    <col min="19" max="19" width="22.6640625" style="5" customWidth="1"/>
    <col min="20" max="20" width="16.33203125" style="5" customWidth="1"/>
    <col min="21" max="21" width="6.6640625" style="5" bestFit="1" customWidth="1"/>
    <col min="22" max="26" width="17.33203125" style="5" customWidth="1"/>
    <col min="27" max="16384" width="8.6640625" style="5"/>
  </cols>
  <sheetData>
    <row r="1" spans="1:18" ht="25.95" customHeight="1" x14ac:dyDescent="0.25">
      <c r="A1" s="738" t="str">
        <f>"Proposed Layout - "&amp;Prototype!A2</f>
        <v>Proposed Layout - RestaurantSitDown</v>
      </c>
      <c r="B1" s="738"/>
      <c r="C1" s="738"/>
      <c r="D1" s="738"/>
      <c r="E1" s="738"/>
      <c r="F1" s="738"/>
      <c r="G1" s="738"/>
      <c r="H1" s="738"/>
      <c r="I1" s="738"/>
      <c r="J1" s="738"/>
      <c r="K1" s="738"/>
      <c r="L1" s="738"/>
      <c r="M1" s="738"/>
    </row>
    <row r="2" spans="1:18" ht="39.6" customHeight="1" x14ac:dyDescent="0.25">
      <c r="A2" s="622" t="s">
        <v>162</v>
      </c>
      <c r="B2" s="386" t="s">
        <v>163</v>
      </c>
      <c r="C2" s="599" t="s">
        <v>164</v>
      </c>
      <c r="D2" s="385" t="s">
        <v>165</v>
      </c>
      <c r="E2" s="385" t="s">
        <v>166</v>
      </c>
      <c r="F2" s="385" t="s">
        <v>167</v>
      </c>
      <c r="G2" s="386" t="s">
        <v>168</v>
      </c>
      <c r="H2" s="143" t="s">
        <v>169</v>
      </c>
      <c r="I2" s="385" t="s">
        <v>170</v>
      </c>
      <c r="J2" s="385" t="s">
        <v>171</v>
      </c>
      <c r="K2" s="147" t="s">
        <v>172</v>
      </c>
      <c r="L2" s="597" t="s">
        <v>173</v>
      </c>
      <c r="M2" s="596" t="s">
        <v>42</v>
      </c>
      <c r="O2" s="616" t="s">
        <v>174</v>
      </c>
      <c r="P2" s="617"/>
      <c r="Q2" s="33"/>
      <c r="R2" s="33"/>
    </row>
    <row r="3" spans="1:18" ht="32.4" customHeight="1" x14ac:dyDescent="0.25">
      <c r="A3" s="624" t="s">
        <v>46</v>
      </c>
      <c r="B3" s="623" t="s">
        <v>100</v>
      </c>
      <c r="C3" s="700" t="s">
        <v>76</v>
      </c>
      <c r="D3" s="391" t="s">
        <v>175</v>
      </c>
      <c r="E3" s="391" t="s">
        <v>77</v>
      </c>
      <c r="F3" s="387" t="s">
        <v>78</v>
      </c>
      <c r="G3" s="388">
        <f>H3/$H$6</f>
        <v>0.72727239681498212</v>
      </c>
      <c r="H3" s="387">
        <v>4001.46</v>
      </c>
      <c r="I3" s="387">
        <f>H3*Prototype!$B$15</f>
        <v>40014.6</v>
      </c>
      <c r="J3" s="387">
        <v>1</v>
      </c>
      <c r="K3" s="391">
        <f>L3*H3/1000</f>
        <v>132.04818</v>
      </c>
      <c r="L3" s="595">
        <v>33</v>
      </c>
      <c r="M3" s="598"/>
      <c r="O3" s="618"/>
      <c r="P3" s="619"/>
      <c r="Q3" s="33"/>
      <c r="R3" s="33"/>
    </row>
    <row r="4" spans="1:18" ht="17.7" customHeight="1" x14ac:dyDescent="0.25">
      <c r="A4" s="624" t="s">
        <v>46</v>
      </c>
      <c r="B4" s="623" t="s">
        <v>80</v>
      </c>
      <c r="C4" s="700" t="s">
        <v>79</v>
      </c>
      <c r="D4" s="391" t="s">
        <v>176</v>
      </c>
      <c r="E4" s="391" t="s">
        <v>80</v>
      </c>
      <c r="F4" s="387" t="s">
        <v>78</v>
      </c>
      <c r="G4" s="388">
        <f>H4/$H$6</f>
        <v>0.27272760318501782</v>
      </c>
      <c r="H4" s="387">
        <v>1500.55</v>
      </c>
      <c r="I4" s="387">
        <f>H4*Prototype!$B$15</f>
        <v>15005.5</v>
      </c>
      <c r="J4" s="387">
        <v>1</v>
      </c>
      <c r="K4" s="387">
        <f>L4*H4/1000</f>
        <v>4.5016499999999997</v>
      </c>
      <c r="L4" s="595">
        <v>3</v>
      </c>
      <c r="M4" s="594"/>
      <c r="O4" s="618"/>
      <c r="P4" s="619"/>
      <c r="Q4" s="33"/>
      <c r="R4" s="33"/>
    </row>
    <row r="5" spans="1:18" ht="17.7" customHeight="1" x14ac:dyDescent="0.25">
      <c r="A5" s="624" t="s">
        <v>46</v>
      </c>
      <c r="B5" s="623" t="s">
        <v>177</v>
      </c>
      <c r="C5" s="700" t="s">
        <v>177</v>
      </c>
      <c r="D5" s="389" t="s">
        <v>178</v>
      </c>
      <c r="E5" s="389"/>
      <c r="F5" s="387" t="s">
        <v>179</v>
      </c>
      <c r="G5" s="388"/>
      <c r="H5" s="387">
        <f>H6</f>
        <v>5502.01</v>
      </c>
      <c r="I5" s="387">
        <f>H5*Prototype!$B$15</f>
        <v>55020.100000000006</v>
      </c>
      <c r="J5" s="387">
        <v>1</v>
      </c>
      <c r="K5" s="387">
        <f t="shared" ref="K5" si="0">L5*H5/1000</f>
        <v>0</v>
      </c>
      <c r="L5" s="595"/>
      <c r="M5" s="594"/>
      <c r="O5" s="618"/>
      <c r="P5" s="619"/>
      <c r="Q5" s="33"/>
      <c r="R5" s="33"/>
    </row>
    <row r="6" spans="1:18" ht="31.95" customHeight="1" x14ac:dyDescent="0.25">
      <c r="A6" s="600" t="s">
        <v>180</v>
      </c>
      <c r="B6" s="600" t="s">
        <v>181</v>
      </c>
      <c r="C6" s="600" t="s">
        <v>182</v>
      </c>
      <c r="D6" s="393" t="s">
        <v>183</v>
      </c>
      <c r="E6" s="466" t="s">
        <v>184</v>
      </c>
      <c r="F6" s="389" t="s">
        <v>185</v>
      </c>
      <c r="G6" s="390">
        <f>SUM(G3:G4)</f>
        <v>1</v>
      </c>
      <c r="H6" s="390">
        <f>SUM(H3:H4)</f>
        <v>5502.01</v>
      </c>
      <c r="I6" s="387">
        <f>SUM(I3:I4)</f>
        <v>55020.1</v>
      </c>
      <c r="J6" s="387"/>
      <c r="K6" s="387"/>
      <c r="L6" s="595"/>
      <c r="M6" s="594"/>
      <c r="O6" s="618"/>
      <c r="P6" s="619"/>
      <c r="Q6" s="33"/>
      <c r="R6" s="33"/>
    </row>
    <row r="7" spans="1:18" ht="15" customHeight="1" x14ac:dyDescent="0.25">
      <c r="A7" s="193"/>
      <c r="B7" s="193"/>
      <c r="C7" s="194"/>
      <c r="D7" s="194"/>
      <c r="E7" s="194"/>
      <c r="F7" s="195"/>
      <c r="G7" s="195"/>
      <c r="H7" s="51"/>
      <c r="I7" s="51"/>
      <c r="J7" s="51"/>
      <c r="K7" s="196"/>
      <c r="L7" s="196"/>
      <c r="O7" s="618"/>
      <c r="P7" s="619"/>
      <c r="Q7" s="33"/>
      <c r="R7" s="33"/>
    </row>
    <row r="8" spans="1:18" ht="15" customHeight="1" x14ac:dyDescent="0.25">
      <c r="A8" s="193"/>
      <c r="B8" s="193"/>
      <c r="C8" s="194"/>
      <c r="D8" s="194"/>
      <c r="E8" s="194"/>
      <c r="F8" s="195"/>
      <c r="G8" s="195"/>
      <c r="H8" s="51"/>
      <c r="I8" s="51"/>
      <c r="J8" s="51"/>
      <c r="K8" s="196"/>
      <c r="L8" s="196"/>
      <c r="O8" s="618"/>
      <c r="P8" s="619"/>
      <c r="Q8" s="33"/>
      <c r="R8" s="33"/>
    </row>
    <row r="9" spans="1:18" ht="15" customHeight="1" x14ac:dyDescent="0.25">
      <c r="A9" s="193"/>
      <c r="B9" s="193"/>
      <c r="C9" s="194"/>
      <c r="D9" s="194"/>
      <c r="E9" s="194"/>
      <c r="F9" s="195"/>
      <c r="G9" s="195"/>
      <c r="H9" s="51"/>
      <c r="I9" s="51"/>
      <c r="J9" s="51"/>
      <c r="K9" s="196"/>
      <c r="L9" s="196"/>
      <c r="O9" s="618"/>
      <c r="P9" s="619"/>
      <c r="Q9" s="33"/>
      <c r="R9" s="33"/>
    </row>
    <row r="10" spans="1:18" ht="15" customHeight="1" x14ac:dyDescent="0.25">
      <c r="A10" s="193"/>
      <c r="B10" s="193"/>
      <c r="C10" s="194"/>
      <c r="D10" s="194"/>
      <c r="E10" s="194"/>
      <c r="F10" s="195"/>
      <c r="G10" s="195"/>
      <c r="H10" s="51"/>
      <c r="I10" s="51"/>
      <c r="J10" s="51"/>
      <c r="K10" s="196"/>
      <c r="L10" s="196"/>
      <c r="O10" s="618"/>
      <c r="P10" s="619"/>
      <c r="Q10" s="33"/>
      <c r="R10" s="33"/>
    </row>
    <row r="11" spans="1:18" ht="14.4" customHeight="1" x14ac:dyDescent="0.25">
      <c r="A11" s="193"/>
      <c r="B11" s="193"/>
      <c r="C11" s="194"/>
      <c r="D11" s="194"/>
      <c r="E11" s="194"/>
      <c r="F11" s="195"/>
      <c r="G11" s="195"/>
      <c r="H11" s="51"/>
      <c r="I11" s="51"/>
      <c r="J11" s="51"/>
      <c r="K11" s="196"/>
      <c r="L11" s="196"/>
      <c r="O11" s="618"/>
      <c r="P11" s="619"/>
    </row>
    <row r="12" spans="1:18" ht="15" customHeight="1" x14ac:dyDescent="0.25">
      <c r="G12" s="22"/>
      <c r="H12" s="22"/>
      <c r="I12" s="22"/>
      <c r="J12" s="22"/>
      <c r="K12" s="221"/>
      <c r="L12" s="221"/>
      <c r="O12" s="618"/>
      <c r="P12" s="619"/>
    </row>
    <row r="13" spans="1:18" ht="10.95" customHeight="1" x14ac:dyDescent="0.25">
      <c r="A13" s="215"/>
      <c r="B13" s="215"/>
      <c r="C13" s="216"/>
      <c r="D13" s="216"/>
      <c r="E13" s="216"/>
      <c r="F13" s="217"/>
      <c r="G13" s="216"/>
      <c r="H13" s="216"/>
      <c r="I13" s="216"/>
      <c r="J13" s="216"/>
      <c r="K13" s="218"/>
      <c r="L13" s="218"/>
      <c r="O13" s="618"/>
      <c r="P13" s="619"/>
    </row>
    <row r="14" spans="1:18" ht="14.4" customHeight="1" x14ac:dyDescent="0.25">
      <c r="A14" s="215"/>
      <c r="B14" s="215"/>
      <c r="C14" s="216"/>
      <c r="D14" s="216"/>
      <c r="E14" s="216"/>
      <c r="F14" s="217"/>
      <c r="G14" s="216"/>
      <c r="H14" s="216"/>
      <c r="I14" s="216"/>
      <c r="J14" s="216"/>
      <c r="K14" s="218"/>
      <c r="L14" s="218"/>
      <c r="O14" s="620"/>
      <c r="P14" s="621"/>
    </row>
    <row r="15" spans="1:18" x14ac:dyDescent="0.25">
      <c r="A15" s="219"/>
      <c r="B15" s="219"/>
      <c r="C15" s="220"/>
      <c r="D15" s="220"/>
      <c r="E15" s="220"/>
      <c r="F15" s="220"/>
      <c r="G15" s="220"/>
      <c r="H15" s="220"/>
      <c r="I15" s="216"/>
      <c r="J15" s="216"/>
      <c r="K15" s="218"/>
      <c r="L15" s="218"/>
    </row>
    <row r="16" spans="1:18" x14ac:dyDescent="0.25">
      <c r="G16" s="22"/>
      <c r="H16" s="22"/>
      <c r="I16" s="22"/>
      <c r="J16" s="22"/>
      <c r="K16" s="22"/>
      <c r="L16" s="22"/>
    </row>
    <row r="17" spans="1:12" x14ac:dyDescent="0.25">
      <c r="G17" s="22"/>
      <c r="H17" s="22"/>
      <c r="I17" s="22"/>
      <c r="J17" s="22"/>
      <c r="K17" s="22"/>
      <c r="L17" s="22"/>
    </row>
    <row r="18" spans="1:12" ht="26.25" hidden="1" customHeight="1" x14ac:dyDescent="0.25">
      <c r="G18" s="22"/>
      <c r="H18" s="22"/>
      <c r="I18" s="22"/>
      <c r="J18" s="22"/>
      <c r="K18" s="22"/>
      <c r="L18" s="22"/>
    </row>
    <row r="19" spans="1:12" s="23" customFormat="1" hidden="1" x14ac:dyDescent="0.25">
      <c r="A19" s="23" t="s">
        <v>81</v>
      </c>
      <c r="G19" s="24"/>
      <c r="H19" s="26"/>
    </row>
    <row r="20" spans="1:12" hidden="1" x14ac:dyDescent="0.25">
      <c r="B20" s="21"/>
      <c r="C20" s="21"/>
      <c r="D20" s="21"/>
      <c r="E20" s="21"/>
      <c r="F20" s="21"/>
    </row>
  </sheetData>
  <mergeCells count="1">
    <mergeCell ref="A1:M1"/>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96CC951-A9B1-4E1C-B5AB-70B9DEFD8206}">
          <x14:formula1>
            <xm:f>Data!$A$2:$A$200</xm:f>
          </x14:formula1>
          <xm:sqref>C3:C5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N128"/>
  <sheetViews>
    <sheetView topLeftCell="D1" zoomScale="85" zoomScaleNormal="85" workbookViewId="0">
      <selection sqref="A1:X1"/>
    </sheetView>
  </sheetViews>
  <sheetFormatPr defaultColWidth="9.33203125" defaultRowHeight="13.8" x14ac:dyDescent="0.25"/>
  <cols>
    <col min="1" max="1" width="17.33203125" style="52" customWidth="1"/>
    <col min="2" max="2" width="18.33203125" style="55" customWidth="1"/>
    <col min="3" max="3" width="21.5546875" style="52" customWidth="1"/>
    <col min="4" max="4" width="42.5546875" style="52" customWidth="1"/>
    <col min="5" max="5" width="13.33203125" style="52" customWidth="1"/>
    <col min="6" max="6" width="15.6640625" style="52" customWidth="1"/>
    <col min="7" max="7" width="20.5546875" style="56" customWidth="1"/>
    <col min="8" max="8" width="42.6640625" style="52" customWidth="1"/>
    <col min="9" max="9" width="6.88671875" style="52" customWidth="1"/>
    <col min="10" max="12" width="7" style="52" customWidth="1"/>
    <col min="13" max="14" width="7.33203125" style="52" customWidth="1"/>
    <col min="15" max="15" width="7" style="52" customWidth="1"/>
    <col min="16" max="16" width="7.109375" style="52" customWidth="1"/>
    <col min="17" max="17" width="7.5546875" style="52" customWidth="1"/>
    <col min="18" max="21" width="7" style="52" customWidth="1"/>
    <col min="22" max="22" width="7.6640625" style="52" customWidth="1"/>
    <col min="23" max="24" width="7" style="52" customWidth="1"/>
    <col min="25" max="26" width="9.33203125" style="52"/>
    <col min="27" max="30" width="7.6640625" style="52" customWidth="1"/>
    <col min="31" max="31" width="9.6640625" style="52" customWidth="1"/>
    <col min="32" max="32" width="7.5546875" style="52" customWidth="1"/>
    <col min="33" max="33" width="11.44140625" style="52" customWidth="1"/>
    <col min="34" max="42" width="7.6640625" style="52" customWidth="1"/>
    <col min="43" max="46" width="10.44140625" style="52" customWidth="1"/>
    <col min="47" max="47" width="9.88671875" style="52" customWidth="1"/>
    <col min="48" max="48" width="10.44140625" style="52" customWidth="1"/>
    <col min="49" max="49" width="21.6640625" style="52" customWidth="1"/>
    <col min="50" max="50" width="10.44140625" style="52" customWidth="1"/>
    <col min="51" max="53" width="7.44140625" style="52" customWidth="1"/>
    <col min="54" max="54" width="7.6640625" style="52" customWidth="1"/>
    <col min="55" max="55" width="7.44140625" style="52" customWidth="1"/>
    <col min="56" max="56" width="13.6640625" style="52" customWidth="1"/>
    <col min="57" max="60" width="7.44140625" style="52" customWidth="1"/>
    <col min="61" max="62" width="9.6640625" style="52" bestFit="1" customWidth="1"/>
    <col min="63" max="16384" width="9.33203125" style="52"/>
  </cols>
  <sheetData>
    <row r="1" spans="1:66" ht="25.2" customHeight="1" x14ac:dyDescent="0.25">
      <c r="A1" s="772" t="str">
        <f>"Envelope - "&amp;Prototype!A2</f>
        <v>Envelope - RestaurantSitDown</v>
      </c>
      <c r="B1" s="772"/>
      <c r="C1" s="772"/>
      <c r="D1" s="772"/>
      <c r="E1" s="772"/>
      <c r="F1" s="772"/>
      <c r="G1" s="772"/>
      <c r="H1" s="772"/>
      <c r="I1" s="772"/>
      <c r="J1" s="772"/>
      <c r="K1" s="772"/>
      <c r="L1" s="772"/>
      <c r="M1" s="772"/>
      <c r="N1" s="772"/>
      <c r="O1" s="772"/>
      <c r="P1" s="772"/>
      <c r="Q1" s="772"/>
      <c r="R1" s="772"/>
      <c r="S1" s="772"/>
      <c r="T1" s="772"/>
      <c r="U1" s="772"/>
      <c r="V1" s="772"/>
      <c r="W1" s="772"/>
      <c r="X1" s="772"/>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row>
    <row r="2" spans="1:66" ht="27" customHeight="1" x14ac:dyDescent="0.25">
      <c r="A2" s="64" t="s">
        <v>186</v>
      </c>
      <c r="B2" s="64" t="s">
        <v>7</v>
      </c>
      <c r="C2" s="64" t="s">
        <v>187</v>
      </c>
      <c r="D2" s="64" t="s">
        <v>188</v>
      </c>
      <c r="E2" s="645" t="s">
        <v>189</v>
      </c>
      <c r="F2" s="64" t="s">
        <v>190</v>
      </c>
      <c r="G2" s="645" t="s">
        <v>191</v>
      </c>
      <c r="H2" s="64" t="s">
        <v>42</v>
      </c>
      <c r="I2" s="64" t="s">
        <v>192</v>
      </c>
      <c r="J2" s="64" t="s">
        <v>193</v>
      </c>
      <c r="K2" s="64" t="s">
        <v>194</v>
      </c>
      <c r="L2" s="64" t="s">
        <v>195</v>
      </c>
      <c r="M2" s="64" t="s">
        <v>196</v>
      </c>
      <c r="N2" s="64" t="s">
        <v>197</v>
      </c>
      <c r="O2" s="64" t="s">
        <v>198</v>
      </c>
      <c r="P2" s="64" t="s">
        <v>199</v>
      </c>
      <c r="Q2" s="64" t="s">
        <v>200</v>
      </c>
      <c r="R2" s="64" t="s">
        <v>201</v>
      </c>
      <c r="S2" s="64" t="s">
        <v>202</v>
      </c>
      <c r="T2" s="64" t="s">
        <v>203</v>
      </c>
      <c r="U2" s="64" t="s">
        <v>204</v>
      </c>
      <c r="V2" s="64" t="s">
        <v>205</v>
      </c>
      <c r="W2" s="64" t="s">
        <v>206</v>
      </c>
      <c r="X2" s="64" t="s">
        <v>207</v>
      </c>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row>
    <row r="3" spans="1:66" ht="50.25" customHeight="1" x14ac:dyDescent="0.25">
      <c r="A3" s="769" t="s">
        <v>208</v>
      </c>
      <c r="B3" s="769" t="str">
        <f>Prototype!A2</f>
        <v>RestaurantSitDown</v>
      </c>
      <c r="C3" s="770" t="s">
        <v>209</v>
      </c>
      <c r="D3" s="770" t="s">
        <v>210</v>
      </c>
      <c r="E3" s="769" t="s">
        <v>211</v>
      </c>
      <c r="F3" s="699" t="s">
        <v>212</v>
      </c>
      <c r="G3" s="699" t="s">
        <v>71</v>
      </c>
      <c r="H3" s="687" t="s">
        <v>213</v>
      </c>
      <c r="I3" s="686">
        <f>I46*(1-$I$47)+I45*$I$47</f>
        <v>0.214616</v>
      </c>
      <c r="J3" s="686">
        <f t="shared" ref="J3:X3" si="0">J46*(1-$I$47)+J45*$I$47</f>
        <v>0.21116000000000001</v>
      </c>
      <c r="K3" s="686">
        <f t="shared" si="0"/>
        <v>0.21307999999999999</v>
      </c>
      <c r="L3" s="686">
        <f t="shared" si="0"/>
        <v>0.21116000000000001</v>
      </c>
      <c r="M3" s="686">
        <f t="shared" si="0"/>
        <v>0.21116000000000001</v>
      </c>
      <c r="N3" s="686">
        <f t="shared" si="0"/>
        <v>0.214616</v>
      </c>
      <c r="O3" s="686">
        <f t="shared" si="0"/>
        <v>0.214616</v>
      </c>
      <c r="P3" s="686">
        <f t="shared" si="0"/>
        <v>0.21116000000000001</v>
      </c>
      <c r="Q3" s="686">
        <f t="shared" si="0"/>
        <v>0.21116000000000001</v>
      </c>
      <c r="R3" s="686">
        <f t="shared" si="0"/>
        <v>0.21116000000000001</v>
      </c>
      <c r="S3" s="686">
        <f t="shared" si="0"/>
        <v>0.21116000000000001</v>
      </c>
      <c r="T3" s="686">
        <f t="shared" si="0"/>
        <v>0.21116000000000001</v>
      </c>
      <c r="U3" s="686">
        <f t="shared" si="0"/>
        <v>0.21116000000000001</v>
      </c>
      <c r="V3" s="686">
        <f t="shared" si="0"/>
        <v>0.21116000000000001</v>
      </c>
      <c r="W3" s="686">
        <f t="shared" si="0"/>
        <v>0.21116000000000001</v>
      </c>
      <c r="X3" s="686">
        <f t="shared" si="0"/>
        <v>0.21116000000000001</v>
      </c>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row>
    <row r="4" spans="1:66" ht="34.200000000000003" customHeight="1" x14ac:dyDescent="0.25">
      <c r="A4" s="769"/>
      <c r="B4" s="769"/>
      <c r="C4" s="770"/>
      <c r="D4" s="770"/>
      <c r="E4" s="769"/>
      <c r="F4" s="628" t="s">
        <v>214</v>
      </c>
      <c r="G4" s="628">
        <v>1986</v>
      </c>
      <c r="H4" s="629" t="s">
        <v>215</v>
      </c>
      <c r="I4" s="630">
        <f>1/7.52</f>
        <v>0.13297872340425532</v>
      </c>
      <c r="J4" s="630">
        <f t="shared" ref="J4:X4" si="1">1/7.52</f>
        <v>0.13297872340425532</v>
      </c>
      <c r="K4" s="630">
        <f t="shared" si="1"/>
        <v>0.13297872340425532</v>
      </c>
      <c r="L4" s="630">
        <f t="shared" si="1"/>
        <v>0.13297872340425532</v>
      </c>
      <c r="M4" s="630">
        <f t="shared" si="1"/>
        <v>0.13297872340425532</v>
      </c>
      <c r="N4" s="630">
        <f t="shared" si="1"/>
        <v>0.13297872340425532</v>
      </c>
      <c r="O4" s="630">
        <f t="shared" si="1"/>
        <v>0.13297872340425532</v>
      </c>
      <c r="P4" s="630">
        <f t="shared" si="1"/>
        <v>0.13297872340425532</v>
      </c>
      <c r="Q4" s="630">
        <f t="shared" si="1"/>
        <v>0.13297872340425532</v>
      </c>
      <c r="R4" s="630">
        <f t="shared" si="1"/>
        <v>0.13297872340425532</v>
      </c>
      <c r="S4" s="630">
        <f t="shared" si="1"/>
        <v>0.13297872340425532</v>
      </c>
      <c r="T4" s="630">
        <f t="shared" si="1"/>
        <v>0.13297872340425532</v>
      </c>
      <c r="U4" s="630">
        <f t="shared" si="1"/>
        <v>0.13297872340425532</v>
      </c>
      <c r="V4" s="630">
        <f t="shared" si="1"/>
        <v>0.13297872340425532</v>
      </c>
      <c r="W4" s="630">
        <f t="shared" si="1"/>
        <v>0.13297872340425532</v>
      </c>
      <c r="X4" s="630">
        <f t="shared" si="1"/>
        <v>0.13297872340425532</v>
      </c>
      <c r="Y4" s="8" t="s">
        <v>216</v>
      </c>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row>
    <row r="5" spans="1:66" x14ac:dyDescent="0.25">
      <c r="A5" s="769"/>
      <c r="B5" s="769"/>
      <c r="C5" s="770"/>
      <c r="D5" s="770"/>
      <c r="E5" s="769"/>
      <c r="F5" s="631" t="s">
        <v>217</v>
      </c>
      <c r="G5" s="631">
        <v>2001</v>
      </c>
      <c r="H5" s="631" t="s">
        <v>218</v>
      </c>
      <c r="I5" s="632">
        <v>0.182</v>
      </c>
      <c r="J5" s="632">
        <v>0.182</v>
      </c>
      <c r="K5" s="632">
        <v>0.189</v>
      </c>
      <c r="L5" s="632">
        <v>0.189</v>
      </c>
      <c r="M5" s="632">
        <v>0.189</v>
      </c>
      <c r="N5" s="632">
        <v>0.189</v>
      </c>
      <c r="O5" s="632">
        <v>0.189</v>
      </c>
      <c r="P5" s="632">
        <v>0.189</v>
      </c>
      <c r="Q5" s="632">
        <v>0.189</v>
      </c>
      <c r="R5" s="632">
        <v>0.182</v>
      </c>
      <c r="S5" s="632">
        <v>0.182</v>
      </c>
      <c r="T5" s="632">
        <v>0.182</v>
      </c>
      <c r="U5" s="632">
        <v>0.182</v>
      </c>
      <c r="V5" s="632">
        <v>0.182</v>
      </c>
      <c r="W5" s="632">
        <v>0.182</v>
      </c>
      <c r="X5" s="632">
        <v>0.182</v>
      </c>
      <c r="Y5" s="74"/>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row>
    <row r="6" spans="1:66" x14ac:dyDescent="0.25">
      <c r="A6" s="769"/>
      <c r="B6" s="769"/>
      <c r="C6" s="770"/>
      <c r="D6" s="770"/>
      <c r="E6" s="769"/>
      <c r="F6" s="633" t="s">
        <v>219</v>
      </c>
      <c r="G6" s="633">
        <v>2013</v>
      </c>
      <c r="H6" s="633" t="s">
        <v>220</v>
      </c>
      <c r="I6" s="634">
        <v>9.8000000000000004E-2</v>
      </c>
      <c r="J6" s="634">
        <v>6.2E-2</v>
      </c>
      <c r="K6" s="634">
        <v>8.2000000000000003E-2</v>
      </c>
      <c r="L6" s="634">
        <v>6.2E-2</v>
      </c>
      <c r="M6" s="634">
        <v>6.2E-2</v>
      </c>
      <c r="N6" s="634">
        <v>9.8000000000000004E-2</v>
      </c>
      <c r="O6" s="634">
        <v>9.8000000000000004E-2</v>
      </c>
      <c r="P6" s="634">
        <v>6.2E-2</v>
      </c>
      <c r="Q6" s="634">
        <v>6.2E-2</v>
      </c>
      <c r="R6" s="634">
        <v>6.2E-2</v>
      </c>
      <c r="S6" s="634">
        <v>6.2E-2</v>
      </c>
      <c r="T6" s="634">
        <v>6.2E-2</v>
      </c>
      <c r="U6" s="634">
        <v>6.2E-2</v>
      </c>
      <c r="V6" s="634">
        <v>6.2E-2</v>
      </c>
      <c r="W6" s="634">
        <v>6.2E-2</v>
      </c>
      <c r="X6" s="634">
        <v>6.2E-2</v>
      </c>
      <c r="Y6" s="74"/>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row>
    <row r="7" spans="1:66" x14ac:dyDescent="0.25">
      <c r="A7" s="769"/>
      <c r="B7" s="769"/>
      <c r="C7" s="770"/>
      <c r="D7" s="770"/>
      <c r="E7" s="769"/>
      <c r="F7" s="635" t="s">
        <v>221</v>
      </c>
      <c r="G7" s="635"/>
      <c r="H7" s="636" t="s">
        <v>222</v>
      </c>
      <c r="I7" s="643" cm="1">
        <f t="array" ref="I7:X7">_xlfn.BYCOL(TRANSPOSE(Weights!$C$4:$F$19)*I3:X6,_xlfn.LAMBDA(_xlpm.c,SUM(_xlpm.c)))</f>
        <v>0.16715337216994042</v>
      </c>
      <c r="J7" s="643">
        <v>0.1749696341731064</v>
      </c>
      <c r="K7" s="643">
        <v>0.17799138050382979</v>
      </c>
      <c r="L7" s="643">
        <v>0.17633583766731917</v>
      </c>
      <c r="M7" s="643">
        <v>0.17326673328587233</v>
      </c>
      <c r="N7" s="643">
        <v>0.17697510546839151</v>
      </c>
      <c r="O7" s="643">
        <v>0.168623062534383</v>
      </c>
      <c r="P7" s="643">
        <v>0.17804853556229788</v>
      </c>
      <c r="Q7" s="643">
        <v>0.17652483969336169</v>
      </c>
      <c r="R7" s="643">
        <v>0.15371017380953192</v>
      </c>
      <c r="S7" s="643">
        <v>0.16443893826723405</v>
      </c>
      <c r="T7" s="643">
        <v>0.16138385742697872</v>
      </c>
      <c r="U7" s="643">
        <v>0.15573984197982976</v>
      </c>
      <c r="V7" s="643">
        <v>0.16324871989395745</v>
      </c>
      <c r="W7" s="643">
        <v>0.14793739503889361</v>
      </c>
      <c r="X7" s="643">
        <v>0.15482115147302128</v>
      </c>
      <c r="Y7" s="74"/>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row>
    <row r="8" spans="1:66" x14ac:dyDescent="0.25">
      <c r="A8" s="769"/>
      <c r="B8" s="769"/>
      <c r="C8" s="770"/>
      <c r="D8" s="770"/>
      <c r="E8" s="769"/>
      <c r="F8" s="637" t="s">
        <v>223</v>
      </c>
      <c r="G8" s="638">
        <v>2025</v>
      </c>
      <c r="H8" s="638" t="s">
        <v>220</v>
      </c>
      <c r="I8" s="638">
        <v>0.06</v>
      </c>
      <c r="J8" s="638">
        <v>5.5E-2</v>
      </c>
      <c r="K8" s="638">
        <v>7.0999999999999994E-2</v>
      </c>
      <c r="L8" s="638">
        <v>5.5E-2</v>
      </c>
      <c r="M8" s="638">
        <v>5.5E-2</v>
      </c>
      <c r="N8" s="638">
        <v>0.06</v>
      </c>
      <c r="O8" s="638">
        <v>0.06</v>
      </c>
      <c r="P8" s="638">
        <v>5.5E-2</v>
      </c>
      <c r="Q8" s="638">
        <v>5.5E-2</v>
      </c>
      <c r="R8" s="638">
        <v>5.5E-2</v>
      </c>
      <c r="S8" s="638">
        <v>5.5E-2</v>
      </c>
      <c r="T8" s="638">
        <v>5.5E-2</v>
      </c>
      <c r="U8" s="638">
        <v>5.5E-2</v>
      </c>
      <c r="V8" s="638">
        <v>5.5E-2</v>
      </c>
      <c r="W8" s="638">
        <v>5.5E-2</v>
      </c>
      <c r="X8" s="638">
        <v>5.5E-2</v>
      </c>
      <c r="Y8" s="74"/>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row>
    <row r="9" spans="1:66" ht="13.95" customHeight="1" x14ac:dyDescent="0.25">
      <c r="A9" s="769" t="s">
        <v>224</v>
      </c>
      <c r="B9" s="769" t="str">
        <f>B3</f>
        <v>RestaurantSitDown</v>
      </c>
      <c r="C9" s="770" t="s">
        <v>225</v>
      </c>
      <c r="D9" s="770" t="s">
        <v>226</v>
      </c>
      <c r="E9" s="769" t="s">
        <v>211</v>
      </c>
      <c r="F9" s="699" t="s">
        <v>212</v>
      </c>
      <c r="G9" s="699" t="s">
        <v>71</v>
      </c>
      <c r="H9" s="768" t="s">
        <v>227</v>
      </c>
      <c r="I9" s="701">
        <f>I10</f>
        <v>5.7000000000000002E-2</v>
      </c>
      <c r="J9" s="701">
        <f t="shared" ref="J9:X9" si="2">J10</f>
        <v>5.7000000000000002E-2</v>
      </c>
      <c r="K9" s="701">
        <f t="shared" si="2"/>
        <v>5.7000000000000002E-2</v>
      </c>
      <c r="L9" s="701">
        <f t="shared" si="2"/>
        <v>5.7000000000000002E-2</v>
      </c>
      <c r="M9" s="701">
        <f t="shared" si="2"/>
        <v>5.7000000000000002E-2</v>
      </c>
      <c r="N9" s="701">
        <f t="shared" si="2"/>
        <v>7.8E-2</v>
      </c>
      <c r="O9" s="701">
        <f t="shared" si="2"/>
        <v>7.8E-2</v>
      </c>
      <c r="P9" s="701">
        <f t="shared" si="2"/>
        <v>7.8E-2</v>
      </c>
      <c r="Q9" s="701">
        <f t="shared" si="2"/>
        <v>7.8E-2</v>
      </c>
      <c r="R9" s="701">
        <f t="shared" si="2"/>
        <v>7.8E-2</v>
      </c>
      <c r="S9" s="701">
        <f t="shared" si="2"/>
        <v>5.7000000000000002E-2</v>
      </c>
      <c r="T9" s="701">
        <f t="shared" si="2"/>
        <v>5.7000000000000002E-2</v>
      </c>
      <c r="U9" s="701">
        <f t="shared" si="2"/>
        <v>5.7000000000000002E-2</v>
      </c>
      <c r="V9" s="701">
        <f t="shared" si="2"/>
        <v>5.7000000000000002E-2</v>
      </c>
      <c r="W9" s="701">
        <f t="shared" si="2"/>
        <v>5.7000000000000002E-2</v>
      </c>
      <c r="X9" s="701">
        <f t="shared" si="2"/>
        <v>5.7000000000000002E-2</v>
      </c>
      <c r="Y9" s="74"/>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row>
    <row r="10" spans="1:66" ht="13.95" customHeight="1" x14ac:dyDescent="0.25">
      <c r="A10" s="769"/>
      <c r="B10" s="769"/>
      <c r="C10" s="770"/>
      <c r="D10" s="770"/>
      <c r="E10" s="769"/>
      <c r="F10" s="628" t="s">
        <v>214</v>
      </c>
      <c r="G10" s="628">
        <v>1992</v>
      </c>
      <c r="H10" s="768"/>
      <c r="I10" s="639">
        <v>5.7000000000000002E-2</v>
      </c>
      <c r="J10" s="639">
        <v>5.7000000000000002E-2</v>
      </c>
      <c r="K10" s="639">
        <v>5.7000000000000002E-2</v>
      </c>
      <c r="L10" s="639">
        <v>5.7000000000000002E-2</v>
      </c>
      <c r="M10" s="639">
        <v>5.7000000000000002E-2</v>
      </c>
      <c r="N10" s="639">
        <v>7.8E-2</v>
      </c>
      <c r="O10" s="639">
        <v>7.8E-2</v>
      </c>
      <c r="P10" s="639">
        <v>7.8E-2</v>
      </c>
      <c r="Q10" s="639">
        <v>7.8E-2</v>
      </c>
      <c r="R10" s="639">
        <v>7.8E-2</v>
      </c>
      <c r="S10" s="639">
        <v>5.7000000000000002E-2</v>
      </c>
      <c r="T10" s="639">
        <v>5.7000000000000002E-2</v>
      </c>
      <c r="U10" s="639">
        <v>5.7000000000000002E-2</v>
      </c>
      <c r="V10" s="639">
        <v>5.7000000000000002E-2</v>
      </c>
      <c r="W10" s="639">
        <v>5.7000000000000002E-2</v>
      </c>
      <c r="X10" s="639">
        <v>5.7000000000000002E-2</v>
      </c>
      <c r="Y10" s="74"/>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row>
    <row r="11" spans="1:66" ht="13.95" customHeight="1" x14ac:dyDescent="0.25">
      <c r="A11" s="769"/>
      <c r="B11" s="769"/>
      <c r="C11" s="770"/>
      <c r="D11" s="770"/>
      <c r="E11" s="769"/>
      <c r="F11" s="631" t="s">
        <v>217</v>
      </c>
      <c r="G11" s="631">
        <v>2001</v>
      </c>
      <c r="H11" s="631" t="s">
        <v>228</v>
      </c>
      <c r="I11" s="632">
        <v>5.7000000000000002E-2</v>
      </c>
      <c r="J11" s="632">
        <v>5.7000000000000002E-2</v>
      </c>
      <c r="K11" s="632">
        <v>5.7000000000000002E-2</v>
      </c>
      <c r="L11" s="632">
        <v>5.7000000000000002E-2</v>
      </c>
      <c r="M11" s="632">
        <v>5.7000000000000002E-2</v>
      </c>
      <c r="N11" s="632">
        <v>7.8E-2</v>
      </c>
      <c r="O11" s="632">
        <v>7.8E-2</v>
      </c>
      <c r="P11" s="632">
        <v>7.8E-2</v>
      </c>
      <c r="Q11" s="632">
        <v>7.8E-2</v>
      </c>
      <c r="R11" s="632">
        <v>5.7000000000000002E-2</v>
      </c>
      <c r="S11" s="632">
        <v>5.7000000000000002E-2</v>
      </c>
      <c r="T11" s="632">
        <v>5.7000000000000002E-2</v>
      </c>
      <c r="U11" s="632">
        <v>5.7000000000000002E-2</v>
      </c>
      <c r="V11" s="632">
        <v>5.7000000000000002E-2</v>
      </c>
      <c r="W11" s="632">
        <v>5.7000000000000002E-2</v>
      </c>
      <c r="X11" s="632">
        <v>5.7000000000000002E-2</v>
      </c>
      <c r="Y11" s="74"/>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row>
    <row r="12" spans="1:66" ht="13.95" customHeight="1" x14ac:dyDescent="0.25">
      <c r="A12" s="769"/>
      <c r="B12" s="769"/>
      <c r="C12" s="770"/>
      <c r="D12" s="770"/>
      <c r="E12" s="769"/>
      <c r="F12" s="633" t="s">
        <v>219</v>
      </c>
      <c r="G12" s="633">
        <v>2013</v>
      </c>
      <c r="H12" s="640" t="s">
        <v>229</v>
      </c>
      <c r="I12" s="634">
        <v>4.9000000000000002E-2</v>
      </c>
      <c r="J12" s="634">
        <v>3.9E-2</v>
      </c>
      <c r="K12" s="634">
        <v>3.9E-2</v>
      </c>
      <c r="L12" s="634">
        <v>3.9E-2</v>
      </c>
      <c r="M12" s="634">
        <v>4.9000000000000002E-2</v>
      </c>
      <c r="N12" s="634">
        <v>7.4999999999999997E-2</v>
      </c>
      <c r="O12" s="634">
        <v>6.7000000000000004E-2</v>
      </c>
      <c r="P12" s="634">
        <v>6.7000000000000004E-2</v>
      </c>
      <c r="Q12" s="634">
        <v>3.9E-2</v>
      </c>
      <c r="R12" s="634">
        <v>3.9E-2</v>
      </c>
      <c r="S12" s="634">
        <v>3.9E-2</v>
      </c>
      <c r="T12" s="634">
        <v>3.9E-2</v>
      </c>
      <c r="U12" s="634">
        <v>3.9E-2</v>
      </c>
      <c r="V12" s="634">
        <v>3.9E-2</v>
      </c>
      <c r="W12" s="634">
        <v>3.9E-2</v>
      </c>
      <c r="X12" s="634">
        <v>3.9E-2</v>
      </c>
      <c r="Y12" s="74"/>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row>
    <row r="13" spans="1:66" ht="13.95" customHeight="1" x14ac:dyDescent="0.25">
      <c r="A13" s="769"/>
      <c r="B13" s="769"/>
      <c r="C13" s="770"/>
      <c r="D13" s="770"/>
      <c r="E13" s="769"/>
      <c r="F13" s="635" t="s">
        <v>221</v>
      </c>
      <c r="G13" s="635"/>
      <c r="H13" s="635" t="s">
        <v>222</v>
      </c>
      <c r="I13" s="643" cm="1">
        <f t="array" ref="I13:X13">_xlfn.BYCOL(TRANSPOSE(Weights!$C$4:$F$19)*I9:X12,_xlfn.LAMBDA(_xlpm.c,SUM(_xlpm.c)))</f>
        <v>5.6060016000000004E-2</v>
      </c>
      <c r="J13" s="646">
        <v>5.5949257500000002E-2</v>
      </c>
      <c r="K13" s="646">
        <v>5.6015101500000004E-2</v>
      </c>
      <c r="L13" s="646">
        <v>5.6040491999999997E-2</v>
      </c>
      <c r="M13" s="646">
        <v>5.6520508900000002E-2</v>
      </c>
      <c r="N13" s="646">
        <v>7.7877528900000006E-2</v>
      </c>
      <c r="O13" s="646">
        <v>7.7327821899999996E-2</v>
      </c>
      <c r="P13" s="646">
        <v>7.7469897800000007E-2</v>
      </c>
      <c r="Q13" s="646">
        <v>7.6695149699999993E-2</v>
      </c>
      <c r="R13" s="646">
        <v>7.0944626400000002E-2</v>
      </c>
      <c r="S13" s="646">
        <v>5.50872372E-2</v>
      </c>
      <c r="T13" s="646">
        <v>5.4985007999999995E-2</v>
      </c>
      <c r="U13" s="646">
        <v>5.4399403200000002E-2</v>
      </c>
      <c r="V13" s="646">
        <v>5.5618579500000001E-2</v>
      </c>
      <c r="W13" s="646">
        <v>5.5108356600000005E-2</v>
      </c>
      <c r="X13" s="646">
        <v>5.5066422000000004E-2</v>
      </c>
      <c r="Y13" s="74"/>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row>
    <row r="14" spans="1:66" ht="13.95" customHeight="1" x14ac:dyDescent="0.25">
      <c r="A14" s="769"/>
      <c r="B14" s="769"/>
      <c r="C14" s="770"/>
      <c r="D14" s="770"/>
      <c r="E14" s="769"/>
      <c r="F14" s="637" t="s">
        <v>223</v>
      </c>
      <c r="G14" s="638">
        <v>2025</v>
      </c>
      <c r="H14" s="641" t="s">
        <v>230</v>
      </c>
      <c r="I14" s="638">
        <v>2.8000000000000001E-2</v>
      </c>
      <c r="J14" s="638">
        <v>2.8000000000000001E-2</v>
      </c>
      <c r="K14" s="638">
        <v>2.8000000000000001E-2</v>
      </c>
      <c r="L14" s="638">
        <v>2.8000000000000001E-2</v>
      </c>
      <c r="M14" s="638">
        <v>2.8000000000000001E-2</v>
      </c>
      <c r="N14" s="638">
        <v>4.7E-2</v>
      </c>
      <c r="O14" s="638">
        <v>4.7E-2</v>
      </c>
      <c r="P14" s="638">
        <v>4.7E-2</v>
      </c>
      <c r="Q14" s="638">
        <v>2.8000000000000001E-2</v>
      </c>
      <c r="R14" s="638">
        <v>2.8000000000000001E-2</v>
      </c>
      <c r="S14" s="638">
        <v>2.8000000000000001E-2</v>
      </c>
      <c r="T14" s="638">
        <v>2.8000000000000001E-2</v>
      </c>
      <c r="U14" s="638">
        <v>2.8000000000000001E-2</v>
      </c>
      <c r="V14" s="638">
        <v>2.8000000000000001E-2</v>
      </c>
      <c r="W14" s="638">
        <v>2.8000000000000001E-2</v>
      </c>
      <c r="X14" s="638">
        <v>2.8000000000000001E-2</v>
      </c>
      <c r="Y14" s="74"/>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row>
    <row r="15" spans="1:66" ht="19.95" customHeight="1" x14ac:dyDescent="0.25">
      <c r="A15" s="769" t="s">
        <v>231</v>
      </c>
      <c r="B15" s="769" t="str">
        <f>B3</f>
        <v>RestaurantSitDown</v>
      </c>
      <c r="C15" s="770" t="s">
        <v>232</v>
      </c>
      <c r="D15" s="770" t="s">
        <v>233</v>
      </c>
      <c r="E15" s="769" t="s">
        <v>211</v>
      </c>
      <c r="F15" s="699" t="s">
        <v>212</v>
      </c>
      <c r="G15" s="699" t="s">
        <v>71</v>
      </c>
      <c r="H15" s="768" t="s">
        <v>234</v>
      </c>
      <c r="I15" s="647">
        <f>0.3*1.12+0.7*I18</f>
        <v>0.58800000000000008</v>
      </c>
      <c r="J15" s="647">
        <f t="shared" ref="J15:X15" si="3">0.3*1.12+0.7*J18</f>
        <v>0.58800000000000008</v>
      </c>
      <c r="K15" s="647">
        <f t="shared" si="3"/>
        <v>0.58800000000000008</v>
      </c>
      <c r="L15" s="647">
        <f t="shared" si="3"/>
        <v>0.58800000000000008</v>
      </c>
      <c r="M15" s="647">
        <f t="shared" si="3"/>
        <v>0.58800000000000008</v>
      </c>
      <c r="N15" s="647">
        <f t="shared" si="3"/>
        <v>0.58800000000000008</v>
      </c>
      <c r="O15" s="647">
        <f t="shared" si="3"/>
        <v>0.58800000000000008</v>
      </c>
      <c r="P15" s="647">
        <f t="shared" si="3"/>
        <v>0.58800000000000008</v>
      </c>
      <c r="Q15" s="647">
        <f t="shared" si="3"/>
        <v>0.58800000000000008</v>
      </c>
      <c r="R15" s="647">
        <f t="shared" si="3"/>
        <v>0.58800000000000008</v>
      </c>
      <c r="S15" s="647">
        <f t="shared" si="3"/>
        <v>0.58800000000000008</v>
      </c>
      <c r="T15" s="647">
        <f t="shared" si="3"/>
        <v>0.58800000000000008</v>
      </c>
      <c r="U15" s="647">
        <f t="shared" si="3"/>
        <v>0.58800000000000008</v>
      </c>
      <c r="V15" s="647">
        <f t="shared" si="3"/>
        <v>0.58800000000000008</v>
      </c>
      <c r="W15" s="647">
        <f t="shared" si="3"/>
        <v>0.58800000000000008</v>
      </c>
      <c r="X15" s="647">
        <f t="shared" si="3"/>
        <v>0.58800000000000008</v>
      </c>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row>
    <row r="16" spans="1:66" ht="18" customHeight="1" x14ac:dyDescent="0.25">
      <c r="A16" s="769"/>
      <c r="B16" s="769"/>
      <c r="C16" s="770"/>
      <c r="D16" s="770"/>
      <c r="E16" s="769"/>
      <c r="F16" s="628" t="s">
        <v>214</v>
      </c>
      <c r="G16" s="628" t="s">
        <v>71</v>
      </c>
      <c r="H16" s="768"/>
      <c r="I16" s="648">
        <f>I15</f>
        <v>0.58800000000000008</v>
      </c>
      <c r="J16" s="648">
        <f t="shared" ref="J16:X16" si="4">J15</f>
        <v>0.58800000000000008</v>
      </c>
      <c r="K16" s="648">
        <f t="shared" si="4"/>
        <v>0.58800000000000008</v>
      </c>
      <c r="L16" s="648">
        <f t="shared" si="4"/>
        <v>0.58800000000000008</v>
      </c>
      <c r="M16" s="648">
        <f t="shared" si="4"/>
        <v>0.58800000000000008</v>
      </c>
      <c r="N16" s="648">
        <f t="shared" si="4"/>
        <v>0.58800000000000008</v>
      </c>
      <c r="O16" s="648">
        <f t="shared" si="4"/>
        <v>0.58800000000000008</v>
      </c>
      <c r="P16" s="648">
        <f t="shared" si="4"/>
        <v>0.58800000000000008</v>
      </c>
      <c r="Q16" s="648">
        <f t="shared" si="4"/>
        <v>0.58800000000000008</v>
      </c>
      <c r="R16" s="648">
        <f t="shared" si="4"/>
        <v>0.58800000000000008</v>
      </c>
      <c r="S16" s="648">
        <f t="shared" si="4"/>
        <v>0.58800000000000008</v>
      </c>
      <c r="T16" s="648">
        <f t="shared" si="4"/>
        <v>0.58800000000000008</v>
      </c>
      <c r="U16" s="648">
        <f t="shared" si="4"/>
        <v>0.58800000000000008</v>
      </c>
      <c r="V16" s="648">
        <f t="shared" si="4"/>
        <v>0.58800000000000008</v>
      </c>
      <c r="W16" s="648">
        <f t="shared" si="4"/>
        <v>0.58800000000000008</v>
      </c>
      <c r="X16" s="648">
        <f t="shared" si="4"/>
        <v>0.58800000000000008</v>
      </c>
      <c r="Y16" s="8" t="s">
        <v>235</v>
      </c>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row>
    <row r="17" spans="1:66" x14ac:dyDescent="0.25">
      <c r="A17" s="769"/>
      <c r="B17" s="769"/>
      <c r="C17" s="770"/>
      <c r="D17" s="773" t="s">
        <v>236</v>
      </c>
      <c r="E17" s="769"/>
      <c r="F17" s="631" t="s">
        <v>217</v>
      </c>
      <c r="G17" s="631">
        <v>2001</v>
      </c>
      <c r="H17" s="642" t="s">
        <v>237</v>
      </c>
      <c r="I17" s="649">
        <v>0.49</v>
      </c>
      <c r="J17" s="649">
        <v>0.49</v>
      </c>
      <c r="K17" s="649">
        <v>0.81</v>
      </c>
      <c r="L17" s="649">
        <v>0.81</v>
      </c>
      <c r="M17" s="649">
        <v>0.81</v>
      </c>
      <c r="N17" s="649">
        <v>0.81</v>
      </c>
      <c r="O17" s="649">
        <v>0.81</v>
      </c>
      <c r="P17" s="649">
        <v>0.81</v>
      </c>
      <c r="Q17" s="649">
        <v>0.81</v>
      </c>
      <c r="R17" s="649">
        <v>0.49</v>
      </c>
      <c r="S17" s="649">
        <v>0.49</v>
      </c>
      <c r="T17" s="649">
        <v>0.49</v>
      </c>
      <c r="U17" s="649">
        <v>0.49</v>
      </c>
      <c r="V17" s="649">
        <v>0.49</v>
      </c>
      <c r="W17" s="649">
        <v>0.49</v>
      </c>
      <c r="X17" s="649">
        <v>0.49</v>
      </c>
      <c r="Y17" s="8"/>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row>
    <row r="18" spans="1:66" ht="13.95" customHeight="1" x14ac:dyDescent="0.25">
      <c r="A18" s="769"/>
      <c r="B18" s="769"/>
      <c r="C18" s="770"/>
      <c r="D18" s="773"/>
      <c r="E18" s="769"/>
      <c r="F18" s="633" t="s">
        <v>219</v>
      </c>
      <c r="G18" s="633">
        <v>2013</v>
      </c>
      <c r="H18" s="634" t="s">
        <v>238</v>
      </c>
      <c r="I18" s="650">
        <v>0.36</v>
      </c>
      <c r="J18" s="650">
        <v>0.36</v>
      </c>
      <c r="K18" s="650">
        <v>0.36</v>
      </c>
      <c r="L18" s="650">
        <v>0.36</v>
      </c>
      <c r="M18" s="650">
        <v>0.36</v>
      </c>
      <c r="N18" s="650">
        <v>0.36</v>
      </c>
      <c r="O18" s="650">
        <v>0.36</v>
      </c>
      <c r="P18" s="650">
        <v>0.36</v>
      </c>
      <c r="Q18" s="650">
        <v>0.36</v>
      </c>
      <c r="R18" s="650">
        <v>0.36</v>
      </c>
      <c r="S18" s="650">
        <v>0.36</v>
      </c>
      <c r="T18" s="650">
        <v>0.36</v>
      </c>
      <c r="U18" s="650">
        <v>0.36</v>
      </c>
      <c r="V18" s="650">
        <v>0.36</v>
      </c>
      <c r="W18" s="650">
        <v>0.36</v>
      </c>
      <c r="X18" s="650">
        <v>0.36</v>
      </c>
      <c r="Y18" s="8"/>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row>
    <row r="19" spans="1:66" ht="13.95" customHeight="1" x14ac:dyDescent="0.25">
      <c r="A19" s="769"/>
      <c r="B19" s="769"/>
      <c r="C19" s="770"/>
      <c r="D19" s="773"/>
      <c r="E19" s="769"/>
      <c r="F19" s="635" t="s">
        <v>221</v>
      </c>
      <c r="G19" s="635"/>
      <c r="H19" s="635" t="s">
        <v>222</v>
      </c>
      <c r="I19" s="651" cm="1">
        <f t="array" ref="I19:X19">_xlfn.BYCOL(TRANSPOSE(Weights!$C$4:$F$19)*I15:X18,_xlfn.LAMBDA(_xlpm.c,SUM(_xlpm.c)))</f>
        <v>0.54628940720000008</v>
      </c>
      <c r="J19" s="652">
        <v>0.56629336340000003</v>
      </c>
      <c r="K19" s="652">
        <v>0.60430606200000003</v>
      </c>
      <c r="L19" s="652">
        <v>0.60309788640000006</v>
      </c>
      <c r="M19" s="652">
        <v>0.61557116639999998</v>
      </c>
      <c r="N19" s="652">
        <v>0.59541891840000016</v>
      </c>
      <c r="O19" s="652">
        <v>0.5956595454000001</v>
      </c>
      <c r="P19" s="652">
        <v>0.59562945</v>
      </c>
      <c r="Q19" s="652">
        <v>0.5954534586000001</v>
      </c>
      <c r="R19" s="652">
        <v>0.55099340299999999</v>
      </c>
      <c r="S19" s="652">
        <v>0.54445556740000012</v>
      </c>
      <c r="T19" s="652">
        <v>0.54296585980000012</v>
      </c>
      <c r="U19" s="652">
        <v>0.53769165500000005</v>
      </c>
      <c r="V19" s="652">
        <v>0.55498635920000017</v>
      </c>
      <c r="W19" s="652">
        <v>0.547518226</v>
      </c>
      <c r="X19" s="652">
        <v>0.54394227280000007</v>
      </c>
      <c r="Y19" s="8"/>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row>
    <row r="20" spans="1:66" ht="13.95" customHeight="1" x14ac:dyDescent="0.25">
      <c r="A20" s="769"/>
      <c r="B20" s="769"/>
      <c r="C20" s="770"/>
      <c r="D20" s="773"/>
      <c r="E20" s="769"/>
      <c r="F20" s="637" t="s">
        <v>223</v>
      </c>
      <c r="G20" s="638">
        <v>2025</v>
      </c>
      <c r="H20" s="638" t="s">
        <v>238</v>
      </c>
      <c r="I20" s="653">
        <v>0.36</v>
      </c>
      <c r="J20" s="653">
        <v>0.36</v>
      </c>
      <c r="K20" s="653">
        <v>0.36</v>
      </c>
      <c r="L20" s="653">
        <v>0.36</v>
      </c>
      <c r="M20" s="653">
        <v>0.36</v>
      </c>
      <c r="N20" s="653">
        <v>0.36</v>
      </c>
      <c r="O20" s="653">
        <v>0.36</v>
      </c>
      <c r="P20" s="653">
        <v>0.36</v>
      </c>
      <c r="Q20" s="653">
        <v>0.34</v>
      </c>
      <c r="R20" s="653">
        <v>0.36</v>
      </c>
      <c r="S20" s="653">
        <v>0.34</v>
      </c>
      <c r="T20" s="653">
        <v>0.34</v>
      </c>
      <c r="U20" s="653">
        <v>0.34</v>
      </c>
      <c r="V20" s="653">
        <v>0.34</v>
      </c>
      <c r="W20" s="653">
        <v>0.34</v>
      </c>
      <c r="X20" s="653">
        <v>0.36</v>
      </c>
      <c r="Y20" s="8"/>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row>
    <row r="21" spans="1:66" ht="23.25" customHeight="1" x14ac:dyDescent="0.25">
      <c r="A21" s="769"/>
      <c r="B21" s="769"/>
      <c r="C21" s="770"/>
      <c r="D21" s="770" t="s">
        <v>233</v>
      </c>
      <c r="E21" s="769" t="s">
        <v>239</v>
      </c>
      <c r="F21" s="699" t="s">
        <v>212</v>
      </c>
      <c r="G21" s="699" t="s">
        <v>71</v>
      </c>
      <c r="H21" s="768" t="s">
        <v>240</v>
      </c>
      <c r="I21" s="647">
        <f>0.79*0.3+I24*0.7</f>
        <v>0.41199999999999998</v>
      </c>
      <c r="J21" s="647">
        <f t="shared" ref="J21:X21" si="5">0.79*0.3+J24*0.7</f>
        <v>0.41199999999999998</v>
      </c>
      <c r="K21" s="647">
        <f>0.79*0.3+K24*0.7</f>
        <v>0.41199999999999998</v>
      </c>
      <c r="L21" s="647">
        <f t="shared" si="5"/>
        <v>0.41199999999999998</v>
      </c>
      <c r="M21" s="647">
        <f t="shared" si="5"/>
        <v>0.41199999999999998</v>
      </c>
      <c r="N21" s="647">
        <f t="shared" si="5"/>
        <v>0.41199999999999998</v>
      </c>
      <c r="O21" s="647">
        <f t="shared" si="5"/>
        <v>0.41199999999999998</v>
      </c>
      <c r="P21" s="647">
        <f t="shared" si="5"/>
        <v>0.41199999999999998</v>
      </c>
      <c r="Q21" s="647">
        <f t="shared" si="5"/>
        <v>0.41199999999999998</v>
      </c>
      <c r="R21" s="647">
        <f t="shared" si="5"/>
        <v>0.41199999999999998</v>
      </c>
      <c r="S21" s="647">
        <f t="shared" si="5"/>
        <v>0.41199999999999998</v>
      </c>
      <c r="T21" s="647">
        <f t="shared" si="5"/>
        <v>0.41199999999999998</v>
      </c>
      <c r="U21" s="647">
        <f t="shared" si="5"/>
        <v>0.41199999999999998</v>
      </c>
      <c r="V21" s="647">
        <f t="shared" si="5"/>
        <v>0.41199999999999998</v>
      </c>
      <c r="W21" s="647">
        <f t="shared" si="5"/>
        <v>0.41199999999999998</v>
      </c>
      <c r="X21" s="647">
        <f t="shared" si="5"/>
        <v>0.41199999999999998</v>
      </c>
      <c r="Y21" s="8"/>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row>
    <row r="22" spans="1:66" ht="22.5" customHeight="1" x14ac:dyDescent="0.25">
      <c r="A22" s="769"/>
      <c r="B22" s="769"/>
      <c r="C22" s="770"/>
      <c r="D22" s="770"/>
      <c r="E22" s="769"/>
      <c r="F22" s="628" t="s">
        <v>214</v>
      </c>
      <c r="G22" s="628" t="s">
        <v>71</v>
      </c>
      <c r="H22" s="768"/>
      <c r="I22" s="648">
        <f>I21</f>
        <v>0.41199999999999998</v>
      </c>
      <c r="J22" s="648">
        <f t="shared" ref="J22:X22" si="6">J21</f>
        <v>0.41199999999999998</v>
      </c>
      <c r="K22" s="648">
        <f t="shared" si="6"/>
        <v>0.41199999999999998</v>
      </c>
      <c r="L22" s="648">
        <f t="shared" si="6"/>
        <v>0.41199999999999998</v>
      </c>
      <c r="M22" s="648">
        <f t="shared" si="6"/>
        <v>0.41199999999999998</v>
      </c>
      <c r="N22" s="648">
        <f t="shared" si="6"/>
        <v>0.41199999999999998</v>
      </c>
      <c r="O22" s="648">
        <f t="shared" si="6"/>
        <v>0.41199999999999998</v>
      </c>
      <c r="P22" s="648">
        <f t="shared" si="6"/>
        <v>0.41199999999999998</v>
      </c>
      <c r="Q22" s="648">
        <f t="shared" si="6"/>
        <v>0.41199999999999998</v>
      </c>
      <c r="R22" s="648">
        <f t="shared" si="6"/>
        <v>0.41199999999999998</v>
      </c>
      <c r="S22" s="648">
        <f t="shared" si="6"/>
        <v>0.41199999999999998</v>
      </c>
      <c r="T22" s="648">
        <f t="shared" si="6"/>
        <v>0.41199999999999998</v>
      </c>
      <c r="U22" s="648">
        <f t="shared" si="6"/>
        <v>0.41199999999999998</v>
      </c>
      <c r="V22" s="648">
        <f t="shared" si="6"/>
        <v>0.41199999999999998</v>
      </c>
      <c r="W22" s="648">
        <f t="shared" si="6"/>
        <v>0.41199999999999998</v>
      </c>
      <c r="X22" s="648">
        <f t="shared" si="6"/>
        <v>0.41199999999999998</v>
      </c>
      <c r="Y22" s="8" t="s">
        <v>235</v>
      </c>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row>
    <row r="23" spans="1:66" ht="15.6" customHeight="1" x14ac:dyDescent="0.25">
      <c r="A23" s="769"/>
      <c r="B23" s="769"/>
      <c r="C23" s="770"/>
      <c r="D23" s="769" t="s">
        <v>236</v>
      </c>
      <c r="E23" s="769"/>
      <c r="F23" s="631" t="s">
        <v>217</v>
      </c>
      <c r="G23" s="631">
        <v>2001</v>
      </c>
      <c r="H23" s="644" t="s">
        <v>241</v>
      </c>
      <c r="I23" s="649">
        <v>0.43</v>
      </c>
      <c r="J23" s="649">
        <v>0.36</v>
      </c>
      <c r="K23" s="649">
        <v>0.55000000000000004</v>
      </c>
      <c r="L23" s="649">
        <v>0.55000000000000004</v>
      </c>
      <c r="M23" s="649">
        <v>0.55000000000000004</v>
      </c>
      <c r="N23" s="649">
        <v>0.61</v>
      </c>
      <c r="O23" s="649">
        <v>0.61</v>
      </c>
      <c r="P23" s="649">
        <v>0.61</v>
      </c>
      <c r="Q23" s="649">
        <v>0.61</v>
      </c>
      <c r="R23" s="649">
        <v>0.36</v>
      </c>
      <c r="S23" s="649">
        <v>0.36</v>
      </c>
      <c r="T23" s="649">
        <v>0.36</v>
      </c>
      <c r="U23" s="649">
        <v>0.36</v>
      </c>
      <c r="V23" s="649">
        <v>0.36</v>
      </c>
      <c r="W23" s="649">
        <v>0.36</v>
      </c>
      <c r="X23" s="649">
        <v>0.43</v>
      </c>
      <c r="Y23" s="8"/>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row>
    <row r="24" spans="1:66" ht="15.6" customHeight="1" x14ac:dyDescent="0.25">
      <c r="A24" s="769"/>
      <c r="B24" s="769"/>
      <c r="C24" s="770"/>
      <c r="D24" s="769"/>
      <c r="E24" s="769"/>
      <c r="F24" s="633" t="s">
        <v>219</v>
      </c>
      <c r="G24" s="633">
        <v>2013</v>
      </c>
      <c r="H24" s="633" t="s">
        <v>238</v>
      </c>
      <c r="I24" s="650">
        <v>0.25</v>
      </c>
      <c r="J24" s="650">
        <v>0.25</v>
      </c>
      <c r="K24" s="650">
        <v>0.25</v>
      </c>
      <c r="L24" s="650">
        <v>0.25</v>
      </c>
      <c r="M24" s="650">
        <v>0.25</v>
      </c>
      <c r="N24" s="650">
        <v>0.25</v>
      </c>
      <c r="O24" s="650">
        <v>0.25</v>
      </c>
      <c r="P24" s="650">
        <v>0.25</v>
      </c>
      <c r="Q24" s="650">
        <v>0.25</v>
      </c>
      <c r="R24" s="650">
        <v>0.25</v>
      </c>
      <c r="S24" s="650">
        <v>0.25</v>
      </c>
      <c r="T24" s="650">
        <v>0.25</v>
      </c>
      <c r="U24" s="650">
        <v>0.25</v>
      </c>
      <c r="V24" s="650">
        <v>0.25</v>
      </c>
      <c r="W24" s="650">
        <v>0.25</v>
      </c>
      <c r="X24" s="650">
        <v>0.25</v>
      </c>
      <c r="Y24" s="74"/>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row>
    <row r="25" spans="1:66" ht="15.6" customHeight="1" x14ac:dyDescent="0.25">
      <c r="A25" s="769"/>
      <c r="B25" s="769"/>
      <c r="C25" s="770"/>
      <c r="D25" s="769"/>
      <c r="E25" s="769"/>
      <c r="F25" s="635" t="s">
        <v>221</v>
      </c>
      <c r="G25" s="635"/>
      <c r="H25" s="635" t="s">
        <v>222</v>
      </c>
      <c r="I25" s="651" cm="1">
        <f t="array" ref="I25:X25">_xlfn.BYCOL(TRANSPOSE(Weights!$C$4:$F$19)*I21:X24,_xlfn.LAMBDA(_xlpm.c,SUM(_xlpm.c)))</f>
        <v>0.39570592480000005</v>
      </c>
      <c r="J25" s="652">
        <v>0.39808764060000001</v>
      </c>
      <c r="K25" s="652">
        <v>0.42102707900000003</v>
      </c>
      <c r="L25" s="652">
        <v>0.42030464560000003</v>
      </c>
      <c r="M25" s="652">
        <v>0.42792389659999996</v>
      </c>
      <c r="N25" s="652">
        <v>0.42030508460000005</v>
      </c>
      <c r="O25" s="652">
        <v>0.42135834760000002</v>
      </c>
      <c r="P25" s="652">
        <v>0.42079739399999994</v>
      </c>
      <c r="Q25" s="652">
        <v>0.42003120039999997</v>
      </c>
      <c r="R25" s="652">
        <v>0.38872415900000001</v>
      </c>
      <c r="S25" s="652">
        <v>0.38453577359999996</v>
      </c>
      <c r="T25" s="652">
        <v>0.38351234520000005</v>
      </c>
      <c r="U25" s="652">
        <v>0.379379246</v>
      </c>
      <c r="V25" s="652">
        <v>0.39133441979999994</v>
      </c>
      <c r="W25" s="652">
        <v>0.38620898699999995</v>
      </c>
      <c r="X25" s="652">
        <v>0.39819150519999996</v>
      </c>
      <c r="Y25" s="74"/>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row>
    <row r="26" spans="1:66" ht="15.6" customHeight="1" x14ac:dyDescent="0.25">
      <c r="A26" s="769"/>
      <c r="B26" s="769"/>
      <c r="C26" s="770"/>
      <c r="D26" s="769"/>
      <c r="E26" s="769"/>
      <c r="F26" s="637" t="s">
        <v>223</v>
      </c>
      <c r="G26" s="638">
        <v>2025</v>
      </c>
      <c r="H26" s="638" t="s">
        <v>238</v>
      </c>
      <c r="I26" s="653">
        <v>0.25</v>
      </c>
      <c r="J26" s="653">
        <v>0.25</v>
      </c>
      <c r="K26" s="653">
        <v>0.25</v>
      </c>
      <c r="L26" s="653">
        <v>0.25</v>
      </c>
      <c r="M26" s="653">
        <v>0.25</v>
      </c>
      <c r="N26" s="653">
        <v>0.25</v>
      </c>
      <c r="O26" s="653">
        <v>0.25</v>
      </c>
      <c r="P26" s="653">
        <v>0.25</v>
      </c>
      <c r="Q26" s="653">
        <v>0.22</v>
      </c>
      <c r="R26" s="653">
        <v>0.25</v>
      </c>
      <c r="S26" s="653">
        <v>0.22</v>
      </c>
      <c r="T26" s="653">
        <v>0.22</v>
      </c>
      <c r="U26" s="653">
        <v>0.22</v>
      </c>
      <c r="V26" s="653">
        <v>0.22</v>
      </c>
      <c r="W26" s="653">
        <v>0.22</v>
      </c>
      <c r="X26" s="653">
        <v>0.25</v>
      </c>
      <c r="Y26" s="74"/>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row>
    <row r="27" spans="1:66" ht="15.75" customHeight="1" x14ac:dyDescent="0.25">
      <c r="A27" s="5"/>
      <c r="B27" s="11"/>
      <c r="C27" s="5"/>
      <c r="D27" s="5"/>
      <c r="E27" s="75"/>
      <c r="F27" s="75"/>
      <c r="G27" s="76"/>
      <c r="H27" s="75"/>
      <c r="I27" s="75"/>
      <c r="J27" s="75"/>
      <c r="K27" s="75"/>
      <c r="L27" s="75"/>
      <c r="M27" s="75"/>
      <c r="N27" s="75"/>
      <c r="O27" s="75"/>
      <c r="P27" s="75"/>
      <c r="Q27" s="75"/>
      <c r="R27" s="75"/>
      <c r="S27" s="75"/>
      <c r="T27" s="75"/>
      <c r="U27" s="75"/>
      <c r="V27" s="75"/>
      <c r="W27" s="75"/>
      <c r="X27" s="75"/>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row>
    <row r="28" spans="1:66" ht="25.95" customHeight="1" x14ac:dyDescent="0.25">
      <c r="A28" s="5"/>
      <c r="B28" s="11"/>
      <c r="C28" s="738" t="s">
        <v>242</v>
      </c>
      <c r="D28" s="738"/>
      <c r="E28" s="738"/>
      <c r="F28" s="738"/>
      <c r="G28" s="738"/>
      <c r="H28" s="738"/>
      <c r="I28" s="738"/>
      <c r="J28" s="738"/>
      <c r="K28" s="115"/>
      <c r="L28" s="115"/>
      <c r="M28" s="77"/>
      <c r="N28" s="77"/>
      <c r="O28" s="77"/>
      <c r="P28" s="77"/>
      <c r="Q28" s="77"/>
      <c r="R28" s="77"/>
      <c r="S28" s="77"/>
      <c r="T28" s="77"/>
      <c r="U28" s="77"/>
      <c r="V28" s="77"/>
      <c r="W28" s="77"/>
      <c r="X28" s="77"/>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row>
    <row r="29" spans="1:66" ht="43.2" customHeight="1" x14ac:dyDescent="0.25">
      <c r="A29" s="5"/>
      <c r="B29" s="5"/>
      <c r="C29" s="654"/>
      <c r="D29" s="654" t="s">
        <v>162</v>
      </c>
      <c r="E29" s="654" t="s">
        <v>93</v>
      </c>
      <c r="F29" s="116" t="s">
        <v>190</v>
      </c>
      <c r="G29" s="125" t="s">
        <v>243</v>
      </c>
      <c r="H29" s="125" t="s">
        <v>244</v>
      </c>
      <c r="I29" s="746" t="s">
        <v>245</v>
      </c>
      <c r="J29" s="747"/>
      <c r="K29" s="747"/>
      <c r="L29" s="747"/>
      <c r="M29" s="747"/>
      <c r="N29" s="747"/>
      <c r="O29" s="747"/>
      <c r="P29" s="747"/>
      <c r="Q29" s="747"/>
      <c r="R29" s="747"/>
      <c r="S29" s="747"/>
      <c r="T29" s="747"/>
      <c r="U29" s="747"/>
      <c r="V29" s="747"/>
      <c r="W29" s="747"/>
      <c r="X29" s="748"/>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row>
    <row r="30" spans="1:66" ht="24.6" customHeight="1" x14ac:dyDescent="0.25">
      <c r="A30" s="5"/>
      <c r="B30" s="5"/>
      <c r="C30" s="749" t="s">
        <v>242</v>
      </c>
      <c r="D30" s="749" t="s">
        <v>46</v>
      </c>
      <c r="E30" s="749"/>
      <c r="F30" s="627" t="s">
        <v>212</v>
      </c>
      <c r="G30" s="627">
        <v>1.1000000000000001</v>
      </c>
      <c r="H30" s="117" t="s">
        <v>246</v>
      </c>
      <c r="I30" s="743">
        <f>0.112*G30*$F$41</f>
        <v>0.58027200000000012</v>
      </c>
      <c r="J30" s="744"/>
      <c r="K30" s="744"/>
      <c r="L30" s="744"/>
      <c r="M30" s="744"/>
      <c r="N30" s="744"/>
      <c r="O30" s="744"/>
      <c r="P30" s="744"/>
      <c r="Q30" s="744"/>
      <c r="R30" s="744"/>
      <c r="S30" s="744"/>
      <c r="T30" s="744"/>
      <c r="U30" s="744"/>
      <c r="V30" s="744"/>
      <c r="W30" s="744"/>
      <c r="X30" s="745"/>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row>
    <row r="31" spans="1:66" ht="24.6" customHeight="1" x14ac:dyDescent="0.25">
      <c r="A31" s="5"/>
      <c r="B31" s="5"/>
      <c r="C31" s="750"/>
      <c r="D31" s="750"/>
      <c r="E31" s="750"/>
      <c r="F31" s="627" t="s">
        <v>214</v>
      </c>
      <c r="G31" s="627">
        <v>1.1000000000000001</v>
      </c>
      <c r="H31" s="117" t="s">
        <v>246</v>
      </c>
      <c r="I31" s="743">
        <f t="shared" ref="I31:I35" si="7">0.112*G31*$F$41</f>
        <v>0.58027200000000012</v>
      </c>
      <c r="J31" s="744"/>
      <c r="K31" s="744"/>
      <c r="L31" s="744"/>
      <c r="M31" s="744"/>
      <c r="N31" s="744"/>
      <c r="O31" s="744"/>
      <c r="P31" s="744"/>
      <c r="Q31" s="744"/>
      <c r="R31" s="744"/>
      <c r="S31" s="744"/>
      <c r="T31" s="744"/>
      <c r="U31" s="744"/>
      <c r="V31" s="744"/>
      <c r="W31" s="744"/>
      <c r="X31" s="745"/>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row>
    <row r="32" spans="1:66" ht="24.6" customHeight="1" x14ac:dyDescent="0.25">
      <c r="A32" s="5"/>
      <c r="B32" s="5"/>
      <c r="C32" s="750"/>
      <c r="D32" s="750"/>
      <c r="E32" s="750"/>
      <c r="F32" s="627" t="s">
        <v>217</v>
      </c>
      <c r="G32" s="627">
        <v>1.1000000000000001</v>
      </c>
      <c r="H32" s="117" t="s">
        <v>246</v>
      </c>
      <c r="I32" s="743">
        <f t="shared" si="7"/>
        <v>0.58027200000000012</v>
      </c>
      <c r="J32" s="744"/>
      <c r="K32" s="744"/>
      <c r="L32" s="744"/>
      <c r="M32" s="744"/>
      <c r="N32" s="744"/>
      <c r="O32" s="744"/>
      <c r="P32" s="744"/>
      <c r="Q32" s="744"/>
      <c r="R32" s="744"/>
      <c r="S32" s="744"/>
      <c r="T32" s="744"/>
      <c r="U32" s="744"/>
      <c r="V32" s="744"/>
      <c r="W32" s="744"/>
      <c r="X32" s="745"/>
      <c r="Y32" s="54"/>
      <c r="Z32" s="3"/>
      <c r="AA32" s="3"/>
      <c r="AB32" s="771"/>
      <c r="AC32" s="771"/>
      <c r="AD32" s="771"/>
      <c r="AE32" s="771"/>
      <c r="AF32" s="771"/>
      <c r="AG32" s="771"/>
      <c r="AH32" s="771"/>
      <c r="AI32" s="771"/>
      <c r="AJ32" s="771"/>
      <c r="AK32" s="771"/>
      <c r="AL32" s="771"/>
      <c r="AM32" s="771"/>
      <c r="AN32" s="771"/>
      <c r="AO32" s="771"/>
      <c r="AP32" s="771"/>
      <c r="AQ32" s="771"/>
      <c r="AR32" s="771"/>
      <c r="AS32" s="771"/>
      <c r="AT32" s="771"/>
      <c r="AU32" s="771"/>
      <c r="AV32" s="771"/>
      <c r="AW32" s="771"/>
      <c r="AX32" s="771"/>
      <c r="AY32" s="3"/>
      <c r="AZ32" s="3"/>
      <c r="BA32" s="3"/>
      <c r="BB32" s="3"/>
      <c r="BC32" s="3"/>
      <c r="BD32" s="3"/>
      <c r="BE32" s="3"/>
      <c r="BF32" s="3"/>
      <c r="BG32" s="3"/>
      <c r="BH32" s="3"/>
      <c r="BI32" s="3"/>
      <c r="BJ32" s="3"/>
      <c r="BK32" s="3"/>
      <c r="BL32" s="3"/>
      <c r="BM32" s="3"/>
      <c r="BN32" s="3"/>
    </row>
    <row r="33" spans="1:66" ht="33.6" customHeight="1" x14ac:dyDescent="0.25">
      <c r="A33" s="5"/>
      <c r="B33" s="5"/>
      <c r="C33" s="750"/>
      <c r="D33" s="750"/>
      <c r="E33" s="750"/>
      <c r="F33" s="627" t="s">
        <v>219</v>
      </c>
      <c r="G33" s="150">
        <v>1</v>
      </c>
      <c r="H33" s="124" t="s">
        <v>247</v>
      </c>
      <c r="I33" s="743">
        <f t="shared" si="7"/>
        <v>0.52751999999999999</v>
      </c>
      <c r="J33" s="744"/>
      <c r="K33" s="744"/>
      <c r="L33" s="744"/>
      <c r="M33" s="744"/>
      <c r="N33" s="744"/>
      <c r="O33" s="744"/>
      <c r="P33" s="744"/>
      <c r="Q33" s="744"/>
      <c r="R33" s="744"/>
      <c r="S33" s="744"/>
      <c r="T33" s="744"/>
      <c r="U33" s="744"/>
      <c r="V33" s="744"/>
      <c r="W33" s="744"/>
      <c r="X33" s="745"/>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row>
    <row r="34" spans="1:66" ht="33.6" customHeight="1" x14ac:dyDescent="0.25">
      <c r="A34" s="5"/>
      <c r="B34" s="5"/>
      <c r="C34" s="750"/>
      <c r="D34" s="750"/>
      <c r="E34" s="750"/>
      <c r="F34" s="655" t="s">
        <v>221</v>
      </c>
      <c r="G34" s="656"/>
      <c r="H34" s="657" t="s">
        <v>248</v>
      </c>
      <c r="I34" s="777">
        <f>I32</f>
        <v>0.58027200000000012</v>
      </c>
      <c r="J34" s="778"/>
      <c r="K34" s="778"/>
      <c r="L34" s="778"/>
      <c r="M34" s="778"/>
      <c r="N34" s="778"/>
      <c r="O34" s="778"/>
      <c r="P34" s="778"/>
      <c r="Q34" s="778"/>
      <c r="R34" s="778"/>
      <c r="S34" s="778"/>
      <c r="T34" s="778"/>
      <c r="U34" s="778"/>
      <c r="V34" s="778"/>
      <c r="W34" s="778"/>
      <c r="X34" s="779"/>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row>
    <row r="35" spans="1:66" ht="34.200000000000003" customHeight="1" x14ac:dyDescent="0.25">
      <c r="A35" s="5"/>
      <c r="B35" s="5"/>
      <c r="C35" s="751"/>
      <c r="D35" s="751"/>
      <c r="E35" s="751"/>
      <c r="F35" s="627" t="s">
        <v>223</v>
      </c>
      <c r="G35" s="627">
        <v>0.6</v>
      </c>
      <c r="H35" s="124" t="s">
        <v>249</v>
      </c>
      <c r="I35" s="743">
        <f t="shared" si="7"/>
        <v>0.31651199999999996</v>
      </c>
      <c r="J35" s="744"/>
      <c r="K35" s="744"/>
      <c r="L35" s="744"/>
      <c r="M35" s="744"/>
      <c r="N35" s="744"/>
      <c r="O35" s="744"/>
      <c r="P35" s="744"/>
      <c r="Q35" s="744"/>
      <c r="R35" s="744"/>
      <c r="S35" s="744"/>
      <c r="T35" s="744"/>
      <c r="U35" s="744"/>
      <c r="V35" s="744"/>
      <c r="W35" s="744"/>
      <c r="X35" s="745"/>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row>
    <row r="36" spans="1:66" x14ac:dyDescent="0.25">
      <c r="A36" s="3"/>
      <c r="B36" s="78"/>
      <c r="C36" s="3"/>
      <c r="D36" s="3"/>
      <c r="E36" s="121" t="s">
        <v>250</v>
      </c>
      <c r="F36" s="688"/>
      <c r="G36" s="118"/>
      <c r="H36" s="70"/>
      <c r="I36" s="70"/>
      <c r="J36" s="70"/>
      <c r="K36" s="70"/>
      <c r="L36" s="70"/>
      <c r="M36" s="70"/>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row>
    <row r="37" spans="1:66" ht="14.4" x14ac:dyDescent="0.3">
      <c r="A37" s="3"/>
      <c r="B37" s="78"/>
      <c r="C37" s="3"/>
      <c r="D37" s="3"/>
      <c r="E37" s="122" t="s">
        <v>251</v>
      </c>
      <c r="F37" s="70"/>
      <c r="G37" s="70"/>
      <c r="H37" s="70"/>
      <c r="I37" s="70"/>
      <c r="J37" s="70"/>
      <c r="K37" s="70"/>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row>
    <row r="38" spans="1:66" x14ac:dyDescent="0.25">
      <c r="A38" s="3"/>
      <c r="B38" s="78"/>
      <c r="C38" s="3"/>
      <c r="D38" s="3"/>
      <c r="E38" s="3"/>
      <c r="F38" s="3"/>
      <c r="G38" s="79"/>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row>
    <row r="39" spans="1:66" x14ac:dyDescent="0.25">
      <c r="A39" s="5"/>
      <c r="B39" s="11"/>
      <c r="C39" s="5"/>
      <c r="D39" s="5"/>
      <c r="E39" s="5" t="s">
        <v>252</v>
      </c>
      <c r="F39" s="67">
        <f>(74.2*4)*10+(74.2^2)*2</f>
        <v>13979.28</v>
      </c>
      <c r="G39" s="698"/>
      <c r="H39" s="5"/>
      <c r="I39" s="5"/>
      <c r="J39" s="5"/>
      <c r="K39" s="5"/>
      <c r="L39" s="5"/>
      <c r="M39" s="5"/>
      <c r="N39" s="5"/>
      <c r="O39" s="5"/>
      <c r="P39" s="5"/>
      <c r="Q39" s="5"/>
      <c r="R39" s="5"/>
      <c r="S39" s="5"/>
      <c r="T39" s="5"/>
      <c r="U39" s="5"/>
      <c r="V39" s="5"/>
      <c r="W39" s="5"/>
      <c r="X39" s="5"/>
      <c r="Y39" s="5"/>
      <c r="Z39" s="5"/>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row>
    <row r="40" spans="1:66" x14ac:dyDescent="0.25">
      <c r="A40" s="5"/>
      <c r="B40" s="11"/>
      <c r="C40" s="5"/>
      <c r="D40" s="5"/>
      <c r="E40" s="5" t="s">
        <v>253</v>
      </c>
      <c r="F40" s="67">
        <f>(74.2*4)*10</f>
        <v>2968</v>
      </c>
      <c r="G40" s="698"/>
      <c r="H40" s="5"/>
      <c r="I40" s="5"/>
      <c r="J40" s="5"/>
      <c r="K40" s="5"/>
      <c r="L40" s="5"/>
      <c r="M40" s="5"/>
      <c r="N40" s="5"/>
      <c r="O40" s="5"/>
      <c r="P40" s="5"/>
      <c r="Q40" s="5"/>
      <c r="R40" s="5"/>
      <c r="S40" s="5"/>
      <c r="T40" s="5"/>
      <c r="U40" s="5"/>
      <c r="V40" s="5"/>
      <c r="W40" s="5"/>
      <c r="X40" s="5"/>
      <c r="Y40" s="5"/>
      <c r="Z40" s="5"/>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row>
    <row r="41" spans="1:66" x14ac:dyDescent="0.25">
      <c r="A41" s="5"/>
      <c r="B41" s="11"/>
      <c r="C41" s="5"/>
      <c r="D41" s="5"/>
      <c r="E41" s="5" t="s">
        <v>254</v>
      </c>
      <c r="F41" s="212">
        <f>F39/F40</f>
        <v>4.71</v>
      </c>
      <c r="G41" s="698"/>
      <c r="H41" s="5"/>
      <c r="I41" s="5"/>
      <c r="J41" s="5"/>
      <c r="K41" s="5"/>
      <c r="L41" s="5"/>
      <c r="M41" s="5"/>
      <c r="N41" s="5"/>
      <c r="O41" s="5"/>
      <c r="P41" s="5"/>
      <c r="Q41" s="5"/>
      <c r="R41" s="5"/>
      <c r="S41" s="5"/>
      <c r="T41" s="5"/>
      <c r="U41" s="5"/>
      <c r="V41" s="5"/>
      <c r="W41" s="5"/>
      <c r="X41" s="5"/>
      <c r="Y41" s="5"/>
      <c r="Z41" s="5"/>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row>
    <row r="42" spans="1:66" x14ac:dyDescent="0.25">
      <c r="A42" s="3"/>
      <c r="B42" s="11"/>
      <c r="C42" s="5"/>
      <c r="D42" s="5"/>
      <c r="E42" s="5"/>
      <c r="F42" s="212"/>
      <c r="G42" s="698"/>
      <c r="H42" s="5"/>
      <c r="I42" s="5"/>
      <c r="J42" s="5"/>
      <c r="K42" s="5"/>
      <c r="L42" s="5"/>
      <c r="M42" s="5"/>
      <c r="N42" s="5"/>
      <c r="O42" s="5"/>
      <c r="P42" s="5"/>
      <c r="Q42" s="5"/>
      <c r="R42" s="5"/>
      <c r="S42" s="5"/>
      <c r="T42" s="5"/>
      <c r="U42" s="5"/>
      <c r="V42" s="5"/>
      <c r="W42" s="5"/>
      <c r="X42" s="5"/>
      <c r="Y42" s="5"/>
      <c r="Z42" s="5"/>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row>
    <row r="43" spans="1:66" x14ac:dyDescent="0.25">
      <c r="A43" s="73" t="s">
        <v>255</v>
      </c>
      <c r="B43" s="167"/>
      <c r="C43" s="73"/>
      <c r="D43" s="73"/>
      <c r="E43" s="73"/>
      <c r="F43" s="689"/>
      <c r="G43" s="375"/>
      <c r="H43" s="73"/>
      <c r="I43" s="73"/>
      <c r="J43" s="73"/>
      <c r="K43" s="73"/>
      <c r="L43" s="73"/>
      <c r="M43" s="73"/>
      <c r="N43" s="73"/>
      <c r="O43" s="73"/>
      <c r="P43" s="73"/>
      <c r="Q43" s="73"/>
      <c r="R43" s="73"/>
      <c r="S43" s="73"/>
      <c r="T43" s="73"/>
      <c r="U43" s="73"/>
      <c r="V43" s="73"/>
      <c r="W43" s="73"/>
      <c r="X43" s="73"/>
      <c r="Y43" s="5"/>
      <c r="Z43" s="5"/>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row>
    <row r="44" spans="1:66" ht="14.25" customHeight="1" x14ac:dyDescent="0.25">
      <c r="A44" s="755" t="s">
        <v>208</v>
      </c>
      <c r="B44" s="758" t="s">
        <v>46</v>
      </c>
      <c r="C44" s="761" t="s">
        <v>209</v>
      </c>
      <c r="D44" s="764" t="s">
        <v>210</v>
      </c>
      <c r="E44" s="767" t="s">
        <v>211</v>
      </c>
      <c r="F44" s="755" t="s">
        <v>212</v>
      </c>
      <c r="G44" s="774" t="s">
        <v>71</v>
      </c>
      <c r="H44" s="697" t="s">
        <v>256</v>
      </c>
      <c r="I44" s="690">
        <v>0.35199999999999998</v>
      </c>
      <c r="J44" s="690">
        <v>0.35199999999999998</v>
      </c>
      <c r="K44" s="690">
        <v>0.35199999999999998</v>
      </c>
      <c r="L44" s="690">
        <v>0.35199999999999998</v>
      </c>
      <c r="M44" s="690">
        <v>0.35199999999999998</v>
      </c>
      <c r="N44" s="690">
        <v>0.35199999999999998</v>
      </c>
      <c r="O44" s="690">
        <v>0.35199999999999998</v>
      </c>
      <c r="P44" s="690">
        <v>0.35199999999999998</v>
      </c>
      <c r="Q44" s="690">
        <v>0.35199999999999998</v>
      </c>
      <c r="R44" s="690">
        <v>0.35199999999999998</v>
      </c>
      <c r="S44" s="690">
        <v>0.35199999999999998</v>
      </c>
      <c r="T44" s="690">
        <v>0.35199999999999998</v>
      </c>
      <c r="U44" s="690">
        <v>0.35199999999999998</v>
      </c>
      <c r="V44" s="690">
        <v>0.35199999999999998</v>
      </c>
      <c r="W44" s="690">
        <v>0.35199999999999998</v>
      </c>
      <c r="X44" s="690">
        <v>0.35199999999999998</v>
      </c>
      <c r="Y44" s="5"/>
      <c r="Z44" s="5"/>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row>
    <row r="45" spans="1:66" x14ac:dyDescent="0.25">
      <c r="A45" s="756"/>
      <c r="B45" s="759"/>
      <c r="C45" s="762"/>
      <c r="D45" s="765"/>
      <c r="E45" s="767"/>
      <c r="F45" s="756"/>
      <c r="G45" s="775"/>
      <c r="H45" s="697" t="s">
        <v>257</v>
      </c>
      <c r="I45" s="690">
        <v>9.8000000000000004E-2</v>
      </c>
      <c r="J45" s="690">
        <v>6.2E-2</v>
      </c>
      <c r="K45" s="690">
        <v>8.2000000000000003E-2</v>
      </c>
      <c r="L45" s="690">
        <v>6.2E-2</v>
      </c>
      <c r="M45" s="690">
        <v>6.2E-2</v>
      </c>
      <c r="N45" s="690">
        <v>9.8000000000000004E-2</v>
      </c>
      <c r="O45" s="690">
        <v>9.8000000000000004E-2</v>
      </c>
      <c r="P45" s="690">
        <v>6.2E-2</v>
      </c>
      <c r="Q45" s="690">
        <v>6.2E-2</v>
      </c>
      <c r="R45" s="690">
        <v>6.2E-2</v>
      </c>
      <c r="S45" s="690">
        <v>6.2E-2</v>
      </c>
      <c r="T45" s="690">
        <v>6.2E-2</v>
      </c>
      <c r="U45" s="690">
        <v>6.2E-2</v>
      </c>
      <c r="V45" s="690">
        <v>6.2E-2</v>
      </c>
      <c r="W45" s="690">
        <v>6.2E-2</v>
      </c>
      <c r="X45" s="690">
        <v>6.2E-2</v>
      </c>
      <c r="Y45" s="5"/>
      <c r="Z45" s="5"/>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row>
    <row r="46" spans="1:66" x14ac:dyDescent="0.25">
      <c r="A46" s="756"/>
      <c r="B46" s="759"/>
      <c r="C46" s="762"/>
      <c r="D46" s="765"/>
      <c r="E46" s="767"/>
      <c r="F46" s="756"/>
      <c r="G46" s="775"/>
      <c r="H46" s="697" t="s">
        <v>258</v>
      </c>
      <c r="I46" s="690">
        <v>0.22700000000000001</v>
      </c>
      <c r="J46" s="690">
        <v>0.22700000000000001</v>
      </c>
      <c r="K46" s="690">
        <v>0.22700000000000001</v>
      </c>
      <c r="L46" s="690">
        <v>0.22700000000000001</v>
      </c>
      <c r="M46" s="690">
        <v>0.22700000000000001</v>
      </c>
      <c r="N46" s="690">
        <v>0.22700000000000001</v>
      </c>
      <c r="O46" s="690">
        <v>0.22700000000000001</v>
      </c>
      <c r="P46" s="690">
        <v>0.22700000000000001</v>
      </c>
      <c r="Q46" s="690">
        <v>0.22700000000000001</v>
      </c>
      <c r="R46" s="690">
        <v>0.22700000000000001</v>
      </c>
      <c r="S46" s="690">
        <v>0.22700000000000001</v>
      </c>
      <c r="T46" s="690">
        <v>0.22700000000000001</v>
      </c>
      <c r="U46" s="690">
        <v>0.22700000000000001</v>
      </c>
      <c r="V46" s="690">
        <v>0.22700000000000001</v>
      </c>
      <c r="W46" s="690">
        <v>0.22700000000000001</v>
      </c>
      <c r="X46" s="690">
        <v>0.22700000000000001</v>
      </c>
      <c r="Y46" s="5"/>
      <c r="Z46" s="5"/>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row>
    <row r="47" spans="1:66" ht="42" customHeight="1" x14ac:dyDescent="0.25">
      <c r="A47" s="757"/>
      <c r="B47" s="760"/>
      <c r="C47" s="763"/>
      <c r="D47" s="766"/>
      <c r="E47" s="767"/>
      <c r="F47" s="757"/>
      <c r="G47" s="776"/>
      <c r="H47" s="697" t="s">
        <v>259</v>
      </c>
      <c r="I47" s="752">
        <v>9.6000000000000002E-2</v>
      </c>
      <c r="J47" s="753"/>
      <c r="K47" s="753"/>
      <c r="L47" s="753"/>
      <c r="M47" s="753"/>
      <c r="N47" s="753"/>
      <c r="O47" s="753"/>
      <c r="P47" s="753"/>
      <c r="Q47" s="753"/>
      <c r="R47" s="753"/>
      <c r="S47" s="753"/>
      <c r="T47" s="753"/>
      <c r="U47" s="753"/>
      <c r="V47" s="753"/>
      <c r="W47" s="753"/>
      <c r="X47" s="754"/>
      <c r="Y47" s="5"/>
      <c r="Z47" s="5"/>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row>
    <row r="48" spans="1:66" ht="34.200000000000003" customHeight="1" x14ac:dyDescent="0.25">
      <c r="A48" s="689"/>
      <c r="B48" s="689"/>
      <c r="C48" s="689"/>
      <c r="D48" s="689"/>
      <c r="E48" s="689"/>
      <c r="F48" s="689"/>
      <c r="G48" s="375"/>
      <c r="H48" s="73"/>
      <c r="I48" s="73"/>
      <c r="J48" s="73"/>
      <c r="K48" s="73"/>
      <c r="L48" s="73"/>
      <c r="M48" s="73"/>
      <c r="N48" s="73"/>
      <c r="O48" s="73"/>
      <c r="P48" s="73"/>
      <c r="Q48" s="73"/>
      <c r="R48" s="73"/>
      <c r="S48" s="73"/>
      <c r="T48" s="73"/>
      <c r="U48" s="73"/>
      <c r="V48" s="73"/>
      <c r="W48" s="73"/>
      <c r="X48" s="73"/>
      <c r="Y48" s="5"/>
      <c r="Z48" s="5"/>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row>
    <row r="49" spans="1:66" s="53" customFormat="1" ht="17.399999999999999" hidden="1" x14ac:dyDescent="0.3">
      <c r="A49" s="368" t="s">
        <v>81</v>
      </c>
      <c r="B49" s="368"/>
      <c r="C49" s="368"/>
      <c r="D49" s="368"/>
      <c r="E49" s="369"/>
      <c r="F49" s="370"/>
      <c r="G49" s="371"/>
      <c r="H49" s="368"/>
      <c r="I49" s="368"/>
      <c r="J49" s="368"/>
      <c r="K49" s="368"/>
      <c r="L49" s="368"/>
      <c r="M49" s="368"/>
      <c r="N49" s="368"/>
      <c r="O49" s="368"/>
      <c r="P49" s="368"/>
      <c r="Q49" s="368"/>
      <c r="R49" s="368"/>
      <c r="S49" s="368"/>
      <c r="T49" s="368"/>
      <c r="U49" s="368"/>
      <c r="V49" s="368"/>
      <c r="W49" s="368"/>
      <c r="X49" s="368"/>
      <c r="Y49" s="368"/>
      <c r="Z49" s="368"/>
      <c r="AA49" s="80"/>
      <c r="AB49" s="80"/>
      <c r="AC49" s="80"/>
      <c r="AD49" s="80"/>
      <c r="AE49" s="80"/>
      <c r="AF49" s="80"/>
      <c r="AG49" s="80"/>
      <c r="AH49" s="80"/>
      <c r="AI49" s="80"/>
      <c r="AJ49" s="80"/>
      <c r="AK49" s="80"/>
      <c r="AL49" s="80"/>
      <c r="AM49" s="80"/>
      <c r="AN49" s="80"/>
      <c r="AO49" s="80"/>
      <c r="AP49" s="80"/>
      <c r="AQ49" s="80"/>
      <c r="AR49" s="80"/>
      <c r="AS49" s="80"/>
      <c r="AT49" s="80"/>
      <c r="AU49" s="80"/>
      <c r="AV49" s="80"/>
      <c r="AW49" s="80"/>
      <c r="AX49" s="80"/>
      <c r="AY49" s="80"/>
      <c r="AZ49" s="80"/>
      <c r="BA49" s="80"/>
      <c r="BB49" s="80"/>
      <c r="BC49" s="80"/>
      <c r="BD49" s="80"/>
      <c r="BE49" s="80"/>
      <c r="BF49" s="80"/>
      <c r="BG49" s="80"/>
      <c r="BH49" s="80"/>
      <c r="BI49" s="80"/>
      <c r="BJ49" s="80"/>
      <c r="BK49" s="80"/>
      <c r="BL49" s="80"/>
      <c r="BM49" s="80"/>
      <c r="BN49" s="80"/>
    </row>
    <row r="50" spans="1:66" s="131" customFormat="1" ht="17.399999999999999" hidden="1" customHeight="1" x14ac:dyDescent="0.3">
      <c r="A50" s="5"/>
      <c r="B50" s="5"/>
      <c r="C50" s="5"/>
      <c r="D50" s="5"/>
      <c r="E50" s="11"/>
      <c r="F50" s="123"/>
      <c r="G50" s="698"/>
      <c r="H50" s="5"/>
      <c r="I50" s="5"/>
      <c r="J50" s="5"/>
      <c r="K50" s="5"/>
      <c r="L50" s="5"/>
      <c r="M50" s="5"/>
      <c r="N50" s="5"/>
      <c r="O50" s="5"/>
      <c r="P50" s="5"/>
      <c r="Q50" s="5"/>
      <c r="R50" s="5"/>
      <c r="S50" s="5"/>
      <c r="T50" s="5"/>
      <c r="U50" s="5"/>
      <c r="V50" s="5"/>
      <c r="W50" s="5"/>
      <c r="X50" s="5"/>
      <c r="Y50" s="5"/>
      <c r="Z50" s="5"/>
      <c r="AA50" s="130"/>
      <c r="AB50" s="130"/>
      <c r="AC50" s="130"/>
      <c r="AD50" s="130"/>
      <c r="AE50" s="130"/>
      <c r="AF50" s="130"/>
      <c r="AG50" s="130"/>
      <c r="AH50" s="130"/>
      <c r="AI50" s="130"/>
      <c r="AJ50" s="130"/>
      <c r="AK50" s="130"/>
      <c r="AL50" s="130"/>
      <c r="AM50" s="130"/>
      <c r="AN50" s="130"/>
      <c r="AO50" s="130"/>
      <c r="AP50" s="130"/>
      <c r="AQ50" s="130"/>
      <c r="AR50" s="130"/>
      <c r="AS50" s="130"/>
      <c r="AT50" s="130"/>
      <c r="AU50" s="130"/>
      <c r="AV50" s="130"/>
      <c r="AW50" s="130"/>
      <c r="AX50" s="130"/>
      <c r="AY50" s="130"/>
      <c r="AZ50" s="130"/>
      <c r="BA50" s="130"/>
      <c r="BB50" s="130"/>
      <c r="BC50" s="130"/>
      <c r="BD50" s="130"/>
      <c r="BE50" s="130"/>
      <c r="BF50" s="130"/>
      <c r="BG50" s="130"/>
      <c r="BH50" s="130"/>
      <c r="BI50" s="130"/>
      <c r="BJ50" s="130"/>
      <c r="BK50" s="130"/>
      <c r="BL50" s="130"/>
      <c r="BM50" s="130"/>
      <c r="BN50" s="130"/>
    </row>
    <row r="51" spans="1:66" hidden="1" x14ac:dyDescent="0.25">
      <c r="A51" s="742" t="s">
        <v>260</v>
      </c>
      <c r="B51" s="742"/>
      <c r="C51" s="742"/>
      <c r="D51" s="742"/>
      <c r="E51" s="742"/>
      <c r="F51" s="742"/>
      <c r="G51" s="742"/>
      <c r="H51" s="742"/>
      <c r="I51" s="742"/>
      <c r="J51" s="742"/>
      <c r="K51" s="742"/>
      <c r="L51" s="742"/>
      <c r="M51" s="742"/>
      <c r="N51" s="742"/>
      <c r="O51" s="742"/>
      <c r="P51" s="742"/>
      <c r="Q51" s="742"/>
      <c r="R51" s="742"/>
      <c r="S51" s="742"/>
      <c r="T51" s="742"/>
      <c r="U51" s="742"/>
      <c r="V51" s="742"/>
      <c r="W51" s="742"/>
      <c r="X51" s="742"/>
      <c r="Y51" s="742"/>
      <c r="Z51" s="742"/>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row>
    <row r="52" spans="1:66" hidden="1" x14ac:dyDescent="0.25">
      <c r="A52" s="5"/>
      <c r="B52" s="5"/>
      <c r="C52" s="5"/>
      <c r="D52" s="5"/>
      <c r="E52" s="5"/>
      <c r="F52" s="5"/>
      <c r="G52" s="698"/>
      <c r="H52" s="5"/>
      <c r="I52" s="5"/>
      <c r="J52" s="5"/>
      <c r="K52" s="5"/>
      <c r="L52" s="5"/>
      <c r="M52" s="5"/>
      <c r="N52" s="5"/>
      <c r="O52" s="5"/>
      <c r="P52" s="5"/>
      <c r="Q52" s="5"/>
      <c r="R52" s="5"/>
      <c r="S52" s="5"/>
      <c r="T52" s="5"/>
      <c r="U52" s="5"/>
      <c r="V52" s="5"/>
      <c r="W52" s="5"/>
      <c r="X52" s="5"/>
      <c r="Y52" s="5"/>
      <c r="Z52" s="5"/>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row>
    <row r="53" spans="1:66" s="6" customFormat="1" ht="19.95" hidden="1" customHeight="1" x14ac:dyDescent="0.25">
      <c r="A53" s="7"/>
      <c r="B53" s="9"/>
      <c r="C53" s="7"/>
      <c r="D53" s="7"/>
      <c r="E53" s="7"/>
      <c r="F53" s="9"/>
      <c r="G53" s="7"/>
      <c r="H53" s="7"/>
      <c r="I53" s="7"/>
      <c r="J53" s="7"/>
      <c r="K53" s="7"/>
      <c r="L53" s="7"/>
      <c r="M53" s="7"/>
      <c r="N53" s="7"/>
      <c r="O53" s="7"/>
      <c r="P53" s="7"/>
      <c r="Q53" s="7"/>
      <c r="R53" s="7"/>
      <c r="S53" s="7"/>
      <c r="T53" s="7"/>
      <c r="U53" s="7"/>
      <c r="V53" s="7"/>
      <c r="W53" s="120"/>
      <c r="X53" s="5"/>
      <c r="Y53" s="5"/>
      <c r="Z53" s="5"/>
    </row>
    <row r="54" spans="1:66" s="6" customFormat="1" ht="19.95" hidden="1" customHeight="1" x14ac:dyDescent="0.3">
      <c r="A54" s="372" t="s">
        <v>261</v>
      </c>
      <c r="B54" s="9"/>
      <c r="C54" s="7"/>
      <c r="D54" s="7"/>
      <c r="E54" s="7"/>
      <c r="F54" s="9"/>
      <c r="G54" s="7"/>
      <c r="H54" s="7"/>
      <c r="I54" s="7"/>
      <c r="J54" s="7"/>
      <c r="K54" s="7"/>
      <c r="L54" s="7"/>
      <c r="M54" s="7"/>
      <c r="N54" s="7"/>
      <c r="O54" s="7"/>
      <c r="P54" s="7"/>
      <c r="Q54" s="7"/>
      <c r="R54" s="7"/>
      <c r="S54" s="7"/>
      <c r="T54" s="7"/>
      <c r="U54" s="7"/>
      <c r="V54" s="7"/>
      <c r="W54" s="120"/>
      <c r="X54" s="5"/>
      <c r="Y54" s="5"/>
      <c r="Z54" s="5"/>
    </row>
    <row r="55" spans="1:66" s="6" customFormat="1" ht="19.95" hidden="1" customHeight="1" x14ac:dyDescent="0.3">
      <c r="A55" s="372"/>
      <c r="B55" s="9"/>
      <c r="C55" s="7"/>
      <c r="D55" s="7"/>
      <c r="E55" s="7"/>
      <c r="F55" s="9"/>
      <c r="G55" s="7"/>
      <c r="H55" s="7"/>
      <c r="I55" s="7"/>
      <c r="J55" s="7"/>
      <c r="K55" s="7"/>
      <c r="L55" s="7"/>
      <c r="M55" s="7"/>
      <c r="N55" s="7"/>
      <c r="O55" s="7"/>
      <c r="P55" s="7"/>
      <c r="Q55" s="7"/>
      <c r="R55" s="7"/>
      <c r="S55" s="7"/>
      <c r="T55" s="7"/>
      <c r="U55" s="7"/>
      <c r="V55" s="7"/>
      <c r="W55" s="120"/>
      <c r="X55" s="5"/>
      <c r="Y55" s="5"/>
      <c r="Z55" s="5"/>
    </row>
    <row r="56" spans="1:66" s="6" customFormat="1" hidden="1" x14ac:dyDescent="0.3">
      <c r="A56" s="71" t="s">
        <v>262</v>
      </c>
      <c r="B56" s="132" t="s">
        <v>263</v>
      </c>
      <c r="C56" s="163"/>
      <c r="D56" s="163"/>
      <c r="E56" s="163"/>
      <c r="F56" s="9"/>
      <c r="G56" s="7"/>
      <c r="H56" s="7"/>
      <c r="I56" s="7"/>
      <c r="J56" s="7"/>
      <c r="K56" s="7"/>
      <c r="L56" s="7"/>
      <c r="M56" s="7"/>
      <c r="N56" s="352"/>
      <c r="O56" s="7"/>
      <c r="P56" s="7"/>
      <c r="Q56" s="7"/>
      <c r="R56" s="7"/>
      <c r="S56" s="7"/>
      <c r="T56" s="7"/>
      <c r="U56" s="7"/>
      <c r="V56" s="7"/>
      <c r="W56" s="120"/>
      <c r="X56" s="5"/>
      <c r="Y56" s="5"/>
      <c r="Z56" s="5"/>
    </row>
    <row r="57" spans="1:66" s="6" customFormat="1" ht="13.2" hidden="1" x14ac:dyDescent="0.25">
      <c r="A57" s="73" t="s">
        <v>264</v>
      </c>
      <c r="B57" s="132" t="s">
        <v>265</v>
      </c>
      <c r="C57" s="163"/>
      <c r="D57" s="163"/>
      <c r="E57" s="163"/>
      <c r="F57" s="9"/>
      <c r="G57" s="7"/>
      <c r="H57" s="7"/>
      <c r="I57" s="7"/>
      <c r="J57" s="7"/>
      <c r="K57" s="7"/>
      <c r="L57" s="7"/>
      <c r="M57" s="7"/>
      <c r="N57" s="7"/>
      <c r="O57" s="7"/>
      <c r="P57" s="7"/>
      <c r="Q57" s="7"/>
      <c r="R57" s="7"/>
      <c r="S57" s="7"/>
      <c r="T57" s="7"/>
      <c r="U57" s="7"/>
      <c r="V57" s="7"/>
      <c r="W57" s="120"/>
      <c r="X57" s="5"/>
      <c r="Y57" s="5"/>
      <c r="Z57" s="5"/>
    </row>
    <row r="58" spans="1:66" s="6" customFormat="1" ht="13.2" hidden="1" x14ac:dyDescent="0.25">
      <c r="A58" s="73" t="s">
        <v>266</v>
      </c>
      <c r="B58" s="164">
        <v>44</v>
      </c>
      <c r="C58" s="167"/>
      <c r="D58" s="165" t="s">
        <v>267</v>
      </c>
      <c r="E58" s="166">
        <f>(B65*B60-0.74*B62)/(B59*B61)</f>
        <v>0.34506024096385551</v>
      </c>
      <c r="F58" s="5"/>
      <c r="G58" s="5"/>
      <c r="H58" s="5"/>
      <c r="I58" s="5"/>
      <c r="J58" s="5"/>
      <c r="K58" s="5"/>
      <c r="L58" s="5"/>
      <c r="M58" s="5"/>
      <c r="N58" s="5"/>
      <c r="O58" s="5"/>
      <c r="P58" s="5"/>
      <c r="Q58" s="5"/>
      <c r="R58" s="5"/>
      <c r="S58" s="5"/>
      <c r="T58" s="5"/>
      <c r="U58" s="5"/>
      <c r="V58" s="5"/>
      <c r="W58" s="5"/>
      <c r="X58" s="5"/>
      <c r="Y58" s="5"/>
      <c r="Z58" s="5"/>
    </row>
    <row r="59" spans="1:66" s="6" customFormat="1" ht="13.2" hidden="1" x14ac:dyDescent="0.25">
      <c r="A59" s="73" t="s">
        <v>268</v>
      </c>
      <c r="B59" s="164">
        <v>1</v>
      </c>
      <c r="C59" s="167"/>
      <c r="D59" s="165" t="s">
        <v>269</v>
      </c>
      <c r="E59" s="166">
        <f>(B64*B60-B62*0.74)/(B61*B58)</f>
        <v>0.84601314348302314</v>
      </c>
      <c r="F59" s="5"/>
      <c r="G59" s="5"/>
      <c r="H59" s="5"/>
      <c r="I59" s="5"/>
      <c r="J59" s="5"/>
      <c r="K59" s="5"/>
      <c r="L59" s="5"/>
      <c r="M59" s="5"/>
      <c r="N59" s="5"/>
      <c r="O59" s="5"/>
      <c r="P59" s="5"/>
      <c r="Q59" s="5"/>
      <c r="R59" s="5"/>
      <c r="S59" s="5"/>
      <c r="T59" s="5"/>
      <c r="U59" s="5"/>
      <c r="V59" s="5"/>
      <c r="W59" s="5"/>
      <c r="X59" s="5"/>
      <c r="Y59" s="5"/>
      <c r="Z59" s="5"/>
    </row>
    <row r="60" spans="1:66" s="6" customFormat="1" ht="13.2" hidden="1" x14ac:dyDescent="0.25">
      <c r="A60" s="73" t="s">
        <v>270</v>
      </c>
      <c r="B60" s="164">
        <f>(74+74)*2*10</f>
        <v>2960</v>
      </c>
      <c r="C60" s="167"/>
      <c r="D60" s="164"/>
      <c r="E60" s="373"/>
      <c r="F60" s="5"/>
      <c r="G60" s="5"/>
      <c r="H60" s="5"/>
      <c r="I60" s="5"/>
      <c r="J60" s="5"/>
      <c r="K60" s="5"/>
      <c r="L60" s="5"/>
      <c r="M60" s="5"/>
      <c r="N60" s="5"/>
      <c r="O60" s="5"/>
      <c r="P60" s="5"/>
      <c r="Q60" s="5"/>
      <c r="R60" s="5"/>
      <c r="S60" s="5"/>
      <c r="T60" s="5"/>
      <c r="U60" s="5"/>
      <c r="V60" s="5"/>
      <c r="W60" s="5"/>
      <c r="X60" s="5"/>
      <c r="Y60" s="5"/>
      <c r="Z60" s="5"/>
    </row>
    <row r="61" spans="1:66" s="6" customFormat="1" ht="13.2" hidden="1" x14ac:dyDescent="0.25">
      <c r="A61" s="73" t="s">
        <v>271</v>
      </c>
      <c r="B61" s="164">
        <f>B60*83%</f>
        <v>2456.7999999999997</v>
      </c>
      <c r="C61" s="167"/>
      <c r="D61" s="374" t="s">
        <v>272</v>
      </c>
      <c r="E61" s="166">
        <f>MIN(E58:E59)</f>
        <v>0.34506024096385551</v>
      </c>
      <c r="F61" s="5"/>
      <c r="G61" s="5"/>
      <c r="H61" s="5"/>
      <c r="I61" s="5"/>
      <c r="J61" s="5"/>
      <c r="K61" s="5"/>
      <c r="L61" s="5"/>
      <c r="M61" s="5"/>
      <c r="N61" s="5"/>
      <c r="O61" s="5"/>
      <c r="P61" s="5"/>
      <c r="Q61" s="5"/>
      <c r="R61" s="5"/>
      <c r="S61" s="5"/>
      <c r="T61" s="5"/>
      <c r="U61" s="5"/>
      <c r="V61" s="5"/>
      <c r="W61" s="5"/>
      <c r="X61" s="5"/>
      <c r="Y61" s="5"/>
      <c r="Z61" s="5"/>
    </row>
    <row r="62" spans="1:66" s="6" customFormat="1" ht="13.2" hidden="1" x14ac:dyDescent="0.25">
      <c r="A62" s="73" t="s">
        <v>273</v>
      </c>
      <c r="B62" s="164">
        <f>B60*14%</f>
        <v>414.40000000000003</v>
      </c>
      <c r="C62" s="167"/>
      <c r="D62" s="164"/>
      <c r="E62" s="375"/>
      <c r="F62" s="5"/>
      <c r="G62" s="5"/>
      <c r="H62" s="5"/>
      <c r="I62" s="5"/>
      <c r="J62" s="5"/>
      <c r="K62" s="5"/>
      <c r="L62" s="5"/>
      <c r="M62" s="5"/>
      <c r="N62" s="5"/>
      <c r="O62" s="5"/>
      <c r="P62" s="5"/>
      <c r="Q62" s="5"/>
      <c r="R62" s="5"/>
      <c r="S62" s="5"/>
      <c r="T62" s="5"/>
      <c r="U62" s="5"/>
      <c r="V62" s="5"/>
      <c r="W62" s="5"/>
      <c r="X62" s="5"/>
      <c r="Y62" s="5"/>
      <c r="Z62" s="5"/>
    </row>
    <row r="63" spans="1:66" s="6" customFormat="1" ht="13.2" hidden="1" x14ac:dyDescent="0.25">
      <c r="A63" s="73"/>
      <c r="B63" s="164">
        <v>0</v>
      </c>
      <c r="C63" s="167"/>
      <c r="D63" s="164"/>
      <c r="E63" s="375"/>
      <c r="F63" s="5"/>
      <c r="G63" s="5"/>
      <c r="H63" s="5"/>
      <c r="I63" s="5"/>
      <c r="J63" s="5"/>
      <c r="K63" s="5"/>
      <c r="L63" s="5"/>
      <c r="M63" s="5"/>
      <c r="N63" s="5"/>
      <c r="O63" s="5"/>
      <c r="P63" s="5"/>
      <c r="Q63" s="5"/>
      <c r="R63" s="5"/>
      <c r="S63" s="5"/>
      <c r="T63" s="5"/>
      <c r="U63" s="5"/>
      <c r="V63" s="5"/>
      <c r="W63" s="5"/>
      <c r="X63" s="5"/>
      <c r="Y63" s="5"/>
      <c r="Z63" s="5"/>
    </row>
    <row r="64" spans="1:66" s="6" customFormat="1" ht="13.2" hidden="1" x14ac:dyDescent="0.25">
      <c r="A64" s="73" t="s">
        <v>274</v>
      </c>
      <c r="B64" s="164">
        <v>31</v>
      </c>
      <c r="C64" s="167" t="s">
        <v>275</v>
      </c>
      <c r="D64" s="164"/>
      <c r="E64" s="375"/>
      <c r="F64" s="5"/>
      <c r="G64" s="5"/>
      <c r="H64" s="5"/>
      <c r="I64" s="5"/>
      <c r="J64" s="5"/>
      <c r="K64" s="5"/>
      <c r="L64" s="5"/>
      <c r="M64" s="5"/>
      <c r="N64" s="5"/>
      <c r="O64" s="5"/>
      <c r="P64" s="5"/>
      <c r="Q64" s="5"/>
      <c r="R64" s="5"/>
      <c r="S64" s="5"/>
      <c r="T64" s="5"/>
      <c r="U64" s="5"/>
      <c r="V64" s="5"/>
      <c r="W64" s="5"/>
      <c r="X64" s="5"/>
      <c r="Y64" s="5"/>
      <c r="Z64" s="5"/>
    </row>
    <row r="65" spans="1:66" s="6" customFormat="1" ht="13.2" hidden="1" x14ac:dyDescent="0.25">
      <c r="A65" s="73" t="s">
        <v>276</v>
      </c>
      <c r="B65" s="164">
        <v>0.39</v>
      </c>
      <c r="C65" s="167" t="s">
        <v>277</v>
      </c>
      <c r="D65" s="164"/>
      <c r="E65" s="375"/>
      <c r="F65" s="5"/>
      <c r="G65" s="5"/>
      <c r="H65" s="5"/>
      <c r="I65" s="5"/>
      <c r="J65" s="5"/>
      <c r="K65" s="5"/>
      <c r="L65" s="5"/>
      <c r="M65" s="5"/>
      <c r="N65" s="5"/>
      <c r="O65" s="5"/>
      <c r="P65" s="5"/>
      <c r="Q65" s="5"/>
      <c r="R65" s="5"/>
      <c r="S65" s="5"/>
      <c r="T65" s="5"/>
      <c r="U65" s="5"/>
      <c r="V65" s="5"/>
      <c r="W65" s="5"/>
      <c r="X65" s="5"/>
      <c r="Y65" s="5"/>
      <c r="Z65" s="5"/>
    </row>
    <row r="66" spans="1:66" s="6" customFormat="1" ht="13.2" hidden="1" x14ac:dyDescent="0.25">
      <c r="A66" s="73"/>
      <c r="B66" s="73"/>
      <c r="C66" s="167"/>
      <c r="D66" s="164"/>
      <c r="E66" s="375"/>
      <c r="F66" s="5"/>
      <c r="G66" s="5"/>
      <c r="H66" s="5"/>
      <c r="I66" s="5"/>
      <c r="J66" s="5"/>
      <c r="K66" s="5"/>
      <c r="L66" s="5"/>
      <c r="M66" s="5"/>
      <c r="N66" s="5"/>
      <c r="O66" s="5"/>
      <c r="P66" s="5"/>
      <c r="Q66" s="5"/>
      <c r="R66" s="5"/>
      <c r="S66" s="5"/>
      <c r="T66" s="5"/>
      <c r="U66" s="5"/>
      <c r="V66" s="5"/>
      <c r="W66" s="5"/>
      <c r="X66" s="5"/>
      <c r="Y66" s="5"/>
      <c r="Z66" s="5"/>
    </row>
    <row r="67" spans="1:66" s="6" customFormat="1" ht="13.2" hidden="1" x14ac:dyDescent="0.25">
      <c r="A67" s="73"/>
      <c r="B67" s="73"/>
      <c r="C67" s="167"/>
      <c r="D67" s="164"/>
      <c r="E67" s="375"/>
      <c r="F67" s="5"/>
      <c r="G67" s="5"/>
      <c r="H67" s="5"/>
      <c r="I67" s="5"/>
      <c r="J67" s="5"/>
      <c r="K67" s="5"/>
      <c r="L67" s="5"/>
      <c r="M67" s="5"/>
      <c r="N67" s="5"/>
      <c r="O67" s="5"/>
      <c r="P67" s="5"/>
      <c r="Q67" s="5"/>
      <c r="R67" s="5"/>
      <c r="S67" s="5"/>
      <c r="T67" s="5"/>
      <c r="U67" s="5"/>
      <c r="V67" s="5"/>
      <c r="W67" s="5"/>
      <c r="X67" s="5"/>
      <c r="Y67" s="5"/>
      <c r="Z67" s="5"/>
    </row>
    <row r="68" spans="1:66" s="5" customFormat="1" hidden="1" thickBot="1" x14ac:dyDescent="0.3">
      <c r="B68" s="11"/>
      <c r="G68" s="698"/>
      <c r="U68" s="698"/>
    </row>
    <row r="69" spans="1:66" hidden="1" x14ac:dyDescent="0.25">
      <c r="A69" s="353"/>
      <c r="B69" s="354"/>
      <c r="C69" s="354"/>
      <c r="D69" s="355"/>
      <c r="E69" s="354"/>
      <c r="F69" s="354"/>
      <c r="G69" s="356"/>
      <c r="H69" s="353"/>
      <c r="I69" s="354"/>
      <c r="J69" s="354"/>
      <c r="K69" s="354"/>
      <c r="L69" s="354"/>
      <c r="M69" s="354"/>
      <c r="N69" s="354"/>
      <c r="O69" s="354"/>
      <c r="P69" s="354"/>
      <c r="Q69" s="354"/>
      <c r="R69" s="354"/>
      <c r="S69" s="354"/>
      <c r="T69" s="354"/>
      <c r="U69" s="357"/>
      <c r="V69" s="5"/>
      <c r="W69" s="5"/>
      <c r="X69" s="5"/>
      <c r="Y69" s="5"/>
      <c r="Z69" s="5"/>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row>
    <row r="70" spans="1:66" hidden="1" x14ac:dyDescent="0.25">
      <c r="A70" s="358"/>
      <c r="B70" s="11"/>
      <c r="C70" s="5"/>
      <c r="D70" s="5"/>
      <c r="E70" s="5"/>
      <c r="F70" s="5"/>
      <c r="G70" s="359"/>
      <c r="H70" s="358"/>
      <c r="I70" s="5"/>
      <c r="J70" s="5"/>
      <c r="K70" s="5"/>
      <c r="L70" s="5"/>
      <c r="M70" s="5"/>
      <c r="N70" s="5"/>
      <c r="O70" s="5"/>
      <c r="P70" s="5"/>
      <c r="Q70" s="5"/>
      <c r="R70" s="5"/>
      <c r="S70" s="5"/>
      <c r="T70" s="5"/>
      <c r="U70" s="359"/>
      <c r="V70" s="5"/>
      <c r="W70" s="5"/>
      <c r="X70" s="5"/>
      <c r="Y70" s="5"/>
      <c r="Z70" s="5"/>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row>
    <row r="71" spans="1:66" ht="14.4" hidden="1" x14ac:dyDescent="0.3">
      <c r="A71" s="360"/>
      <c r="B71" s="11"/>
      <c r="C71" s="5"/>
      <c r="D71" s="5"/>
      <c r="E71" s="5"/>
      <c r="F71" s="5"/>
      <c r="G71" s="359"/>
      <c r="H71" s="358"/>
      <c r="I71" s="5"/>
      <c r="J71" s="5"/>
      <c r="K71" s="5"/>
      <c r="L71" s="5"/>
      <c r="M71" s="5"/>
      <c r="N71" s="5"/>
      <c r="O71" s="5"/>
      <c r="P71" s="5"/>
      <c r="Q71" s="5"/>
      <c r="R71" s="5"/>
      <c r="S71" s="5"/>
      <c r="T71" s="5"/>
      <c r="U71" s="359"/>
      <c r="V71" s="5"/>
      <c r="W71" s="5"/>
      <c r="X71" s="5"/>
      <c r="Y71" s="5"/>
      <c r="Z71" s="5"/>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row>
    <row r="72" spans="1:66" hidden="1" x14ac:dyDescent="0.25">
      <c r="A72" s="358"/>
      <c r="B72" s="11"/>
      <c r="C72" s="5"/>
      <c r="D72" s="5"/>
      <c r="E72" s="5"/>
      <c r="F72" s="5"/>
      <c r="G72" s="359"/>
      <c r="H72" s="358"/>
      <c r="I72" s="5"/>
      <c r="J72" s="5"/>
      <c r="K72" s="5"/>
      <c r="L72" s="5"/>
      <c r="M72" s="5"/>
      <c r="N72" s="5"/>
      <c r="O72" s="5"/>
      <c r="P72" s="5"/>
      <c r="Q72" s="5"/>
      <c r="R72" s="5"/>
      <c r="S72" s="5"/>
      <c r="T72" s="5"/>
      <c r="U72" s="359"/>
      <c r="V72" s="5"/>
      <c r="W72" s="5"/>
      <c r="X72" s="5"/>
      <c r="Y72" s="5"/>
      <c r="Z72" s="5"/>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row>
    <row r="73" spans="1:66" ht="27.6" hidden="1" customHeight="1" x14ac:dyDescent="0.3">
      <c r="A73" s="358"/>
      <c r="B73" s="5"/>
      <c r="C73" s="5"/>
      <c r="D73" s="5"/>
      <c r="E73" s="5"/>
      <c r="F73" s="5"/>
      <c r="G73" s="361"/>
      <c r="H73" s="360"/>
      <c r="I73" s="5"/>
      <c r="J73" s="5"/>
      <c r="K73" s="5"/>
      <c r="L73" s="5"/>
      <c r="M73" s="5"/>
      <c r="N73" s="5"/>
      <c r="O73" s="5"/>
      <c r="P73" s="5"/>
      <c r="Q73" s="5"/>
      <c r="R73" s="5"/>
      <c r="S73" s="5"/>
      <c r="T73" s="5"/>
      <c r="U73" s="361"/>
      <c r="V73" s="5"/>
      <c r="W73" s="5"/>
      <c r="X73" s="5"/>
      <c r="Y73" s="5"/>
      <c r="Z73" s="5"/>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row>
    <row r="74" spans="1:66" hidden="1" x14ac:dyDescent="0.25">
      <c r="A74" s="358"/>
      <c r="B74" s="5"/>
      <c r="C74" s="5"/>
      <c r="D74" s="5"/>
      <c r="E74" s="5"/>
      <c r="F74" s="5"/>
      <c r="G74" s="361" t="s">
        <v>3</v>
      </c>
      <c r="H74" s="358"/>
      <c r="I74" s="5"/>
      <c r="J74" s="5"/>
      <c r="K74" s="5"/>
      <c r="L74" s="5"/>
      <c r="M74" s="5"/>
      <c r="N74" s="5"/>
      <c r="O74" s="5"/>
      <c r="P74" s="5"/>
      <c r="Q74" s="5" t="s">
        <v>3</v>
      </c>
      <c r="R74" s="5"/>
      <c r="S74" s="5"/>
      <c r="T74" s="5"/>
      <c r="U74" s="361"/>
      <c r="V74" s="5"/>
      <c r="W74" s="5"/>
      <c r="X74" s="5"/>
      <c r="Y74" s="5"/>
      <c r="Z74" s="5"/>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row>
    <row r="75" spans="1:66" hidden="1" x14ac:dyDescent="0.25">
      <c r="A75" s="358"/>
      <c r="B75" s="5"/>
      <c r="C75" s="5"/>
      <c r="D75" s="5"/>
      <c r="E75" s="5"/>
      <c r="F75" s="5"/>
      <c r="G75" s="361" t="s">
        <v>3</v>
      </c>
      <c r="H75" s="358"/>
      <c r="I75" s="5"/>
      <c r="J75" s="5"/>
      <c r="K75" s="5"/>
      <c r="L75" s="5"/>
      <c r="M75" s="5"/>
      <c r="N75" s="5"/>
      <c r="O75" s="5"/>
      <c r="P75" s="5"/>
      <c r="Q75" s="5" t="s">
        <v>3</v>
      </c>
      <c r="R75" s="5"/>
      <c r="S75" s="5"/>
      <c r="T75" s="5"/>
      <c r="U75" s="362"/>
      <c r="V75" s="5"/>
      <c r="W75" s="5"/>
      <c r="X75" s="5"/>
      <c r="Y75" s="5"/>
      <c r="Z75" s="5"/>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row>
    <row r="76" spans="1:66" hidden="1" x14ac:dyDescent="0.25">
      <c r="A76" s="358"/>
      <c r="B76" s="11"/>
      <c r="C76" s="5"/>
      <c r="D76" s="5"/>
      <c r="E76" s="5"/>
      <c r="F76" s="5"/>
      <c r="G76" s="359"/>
      <c r="H76" s="358"/>
      <c r="I76" s="5"/>
      <c r="J76" s="5"/>
      <c r="K76" s="5"/>
      <c r="L76" s="5"/>
      <c r="M76" s="5"/>
      <c r="N76" s="5"/>
      <c r="O76" s="5"/>
      <c r="P76" s="5"/>
      <c r="Q76" s="5"/>
      <c r="R76" s="5"/>
      <c r="S76" s="5"/>
      <c r="T76" s="5"/>
      <c r="U76" s="359"/>
      <c r="V76" s="5"/>
      <c r="W76" s="5"/>
      <c r="X76" s="5"/>
      <c r="Y76" s="5"/>
      <c r="Z76" s="5"/>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row>
    <row r="77" spans="1:66" hidden="1" x14ac:dyDescent="0.25">
      <c r="A77" s="358"/>
      <c r="B77" s="11"/>
      <c r="C77" s="5"/>
      <c r="D77" s="5"/>
      <c r="E77" s="5"/>
      <c r="F77" s="5"/>
      <c r="G77" s="359"/>
      <c r="H77" s="358"/>
      <c r="I77" s="5"/>
      <c r="J77" s="5"/>
      <c r="K77" s="5"/>
      <c r="L77" s="5"/>
      <c r="M77" s="5"/>
      <c r="N77" s="5"/>
      <c r="O77" s="5"/>
      <c r="P77" s="5"/>
      <c r="Q77" s="5"/>
      <c r="R77" s="5"/>
      <c r="S77" s="5"/>
      <c r="T77" s="5"/>
      <c r="U77" s="361"/>
      <c r="V77" s="5"/>
      <c r="W77" s="5"/>
      <c r="X77" s="5"/>
      <c r="Y77" s="5"/>
      <c r="Z77" s="5"/>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row>
    <row r="78" spans="1:66" hidden="1" x14ac:dyDescent="0.25">
      <c r="A78" s="358"/>
      <c r="B78" s="11"/>
      <c r="C78" s="5"/>
      <c r="D78" s="5"/>
      <c r="E78" s="5"/>
      <c r="F78" s="5"/>
      <c r="G78" s="359"/>
      <c r="H78" s="358"/>
      <c r="I78" s="5"/>
      <c r="J78" s="5"/>
      <c r="K78" s="5"/>
      <c r="L78" s="5"/>
      <c r="M78" s="5"/>
      <c r="N78" s="5"/>
      <c r="O78" s="5"/>
      <c r="P78" s="5"/>
      <c r="Q78" s="5"/>
      <c r="R78" s="5"/>
      <c r="S78" s="5"/>
      <c r="T78" s="5"/>
      <c r="U78" s="361"/>
      <c r="V78" s="5"/>
      <c r="W78" s="5"/>
      <c r="X78" s="5"/>
      <c r="Y78" s="5"/>
      <c r="Z78" s="5"/>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row>
    <row r="79" spans="1:66" hidden="1" x14ac:dyDescent="0.25">
      <c r="A79" s="358"/>
      <c r="B79" s="11"/>
      <c r="C79" s="5"/>
      <c r="D79" s="5"/>
      <c r="E79" s="5"/>
      <c r="F79" s="5"/>
      <c r="G79" s="359"/>
      <c r="H79" s="358"/>
      <c r="I79" s="5"/>
      <c r="J79" s="5"/>
      <c r="K79" s="5"/>
      <c r="L79" s="5"/>
      <c r="M79" s="5"/>
      <c r="N79" s="5"/>
      <c r="O79" s="5"/>
      <c r="P79" s="5"/>
      <c r="Q79" s="5"/>
      <c r="R79" s="5"/>
      <c r="S79" s="5"/>
      <c r="T79" s="5"/>
      <c r="U79" s="361"/>
      <c r="V79" s="5"/>
      <c r="W79" s="5"/>
      <c r="X79" s="5"/>
      <c r="Y79" s="5"/>
      <c r="Z79" s="5"/>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row>
    <row r="80" spans="1:66" hidden="1" x14ac:dyDescent="0.25">
      <c r="A80" s="358"/>
      <c r="B80" s="11"/>
      <c r="C80" s="5"/>
      <c r="D80" s="5"/>
      <c r="E80" s="5"/>
      <c r="F80" s="5"/>
      <c r="G80" s="359"/>
      <c r="H80" s="358"/>
      <c r="I80" s="5"/>
      <c r="J80" s="5"/>
      <c r="K80" s="5"/>
      <c r="L80" s="5"/>
      <c r="M80" s="5"/>
      <c r="N80" s="5"/>
      <c r="O80" s="5"/>
      <c r="P80" s="5"/>
      <c r="Q80" s="5"/>
      <c r="R80" s="5"/>
      <c r="S80" s="5"/>
      <c r="T80" s="5"/>
      <c r="U80" s="361"/>
      <c r="V80" s="5"/>
      <c r="W80" s="5"/>
      <c r="X80" s="5"/>
      <c r="Y80" s="5"/>
      <c r="Z80" s="5"/>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row>
    <row r="81" spans="1:66" hidden="1" x14ac:dyDescent="0.25">
      <c r="A81" s="358"/>
      <c r="B81" s="11"/>
      <c r="C81" s="5"/>
      <c r="D81" s="5"/>
      <c r="E81" s="5"/>
      <c r="F81" s="5"/>
      <c r="G81" s="359"/>
      <c r="H81" s="358"/>
      <c r="I81" s="5"/>
      <c r="J81" s="5"/>
      <c r="K81" s="5"/>
      <c r="L81" s="5"/>
      <c r="M81" s="5"/>
      <c r="N81" s="5"/>
      <c r="O81" s="5"/>
      <c r="P81" s="5"/>
      <c r="Q81" s="5"/>
      <c r="R81" s="5"/>
      <c r="S81" s="5"/>
      <c r="T81" s="5"/>
      <c r="U81" s="361"/>
      <c r="V81" s="5"/>
      <c r="W81" s="5"/>
      <c r="X81" s="5"/>
      <c r="Y81" s="5"/>
      <c r="Z81" s="5"/>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row>
    <row r="82" spans="1:66" hidden="1" x14ac:dyDescent="0.25">
      <c r="A82" s="358"/>
      <c r="B82" s="11"/>
      <c r="C82" s="5"/>
      <c r="D82" s="5"/>
      <c r="E82" s="5"/>
      <c r="F82" s="5"/>
      <c r="G82" s="359"/>
      <c r="H82" s="358"/>
      <c r="I82" s="5"/>
      <c r="J82" s="5"/>
      <c r="K82" s="5"/>
      <c r="L82" s="5"/>
      <c r="M82" s="5"/>
      <c r="N82" s="5"/>
      <c r="O82" s="5"/>
      <c r="P82" s="5"/>
      <c r="Q82" s="5"/>
      <c r="R82" s="5"/>
      <c r="S82" s="5"/>
      <c r="T82" s="5"/>
      <c r="U82" s="361"/>
      <c r="V82" s="5"/>
      <c r="W82" s="5"/>
      <c r="X82" s="5"/>
      <c r="Y82" s="5"/>
      <c r="Z82" s="5"/>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row>
    <row r="83" spans="1:66" hidden="1" x14ac:dyDescent="0.25">
      <c r="A83" s="358"/>
      <c r="B83" s="11"/>
      <c r="C83" s="5"/>
      <c r="D83" s="5"/>
      <c r="E83" s="5"/>
      <c r="F83" s="5"/>
      <c r="G83" s="359"/>
      <c r="H83" s="358"/>
      <c r="I83" s="5"/>
      <c r="J83" s="5"/>
      <c r="K83" s="5"/>
      <c r="L83" s="5"/>
      <c r="M83" s="5"/>
      <c r="N83" s="5"/>
      <c r="O83" s="5"/>
      <c r="P83" s="5"/>
      <c r="Q83" s="5"/>
      <c r="R83" s="5"/>
      <c r="S83" s="5"/>
      <c r="T83" s="5"/>
      <c r="U83" s="361"/>
      <c r="V83" s="5"/>
      <c r="W83" s="5"/>
      <c r="X83" s="5"/>
      <c r="Y83" s="5"/>
      <c r="Z83" s="5"/>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row>
    <row r="84" spans="1:66" hidden="1" x14ac:dyDescent="0.25">
      <c r="A84" s="358"/>
      <c r="B84" s="11"/>
      <c r="C84" s="5"/>
      <c r="D84" s="5"/>
      <c r="E84" s="5"/>
      <c r="F84" s="5"/>
      <c r="G84" s="359"/>
      <c r="H84" s="358"/>
      <c r="I84" s="5"/>
      <c r="J84" s="5"/>
      <c r="K84" s="5"/>
      <c r="L84" s="5"/>
      <c r="M84" s="5"/>
      <c r="N84" s="5"/>
      <c r="O84" s="5"/>
      <c r="P84" s="5"/>
      <c r="Q84" s="5"/>
      <c r="R84" s="5"/>
      <c r="S84" s="5"/>
      <c r="T84" s="5"/>
      <c r="U84" s="361"/>
      <c r="V84" s="5"/>
      <c r="W84" s="5"/>
      <c r="X84" s="5"/>
      <c r="Y84" s="5"/>
      <c r="Z84" s="5"/>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row>
    <row r="85" spans="1:66" hidden="1" x14ac:dyDescent="0.25">
      <c r="A85" s="358"/>
      <c r="B85" s="11"/>
      <c r="C85" s="5"/>
      <c r="D85" s="5"/>
      <c r="E85" s="5"/>
      <c r="F85" s="5"/>
      <c r="G85" s="359"/>
      <c r="H85" s="358"/>
      <c r="I85" s="5"/>
      <c r="J85" s="5"/>
      <c r="K85" s="5"/>
      <c r="L85" s="5"/>
      <c r="M85" s="5"/>
      <c r="N85" s="5"/>
      <c r="O85" s="5"/>
      <c r="P85" s="5"/>
      <c r="Q85" s="5"/>
      <c r="R85" s="5"/>
      <c r="S85" s="5"/>
      <c r="T85" s="5"/>
      <c r="U85" s="361"/>
      <c r="V85" s="5"/>
      <c r="W85" s="5"/>
      <c r="X85" s="5"/>
      <c r="Y85" s="5"/>
      <c r="Z85" s="5"/>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row>
    <row r="86" spans="1:66" hidden="1" x14ac:dyDescent="0.25">
      <c r="A86" s="358"/>
      <c r="B86" s="11"/>
      <c r="C86" s="5"/>
      <c r="D86" s="5"/>
      <c r="E86" s="5"/>
      <c r="F86" s="5"/>
      <c r="G86" s="359"/>
      <c r="H86" s="358"/>
      <c r="I86" s="5"/>
      <c r="J86" s="5"/>
      <c r="K86" s="5"/>
      <c r="L86" s="5"/>
      <c r="M86" s="5"/>
      <c r="N86" s="5"/>
      <c r="O86" s="5"/>
      <c r="P86" s="5"/>
      <c r="Q86" s="5"/>
      <c r="R86" s="5"/>
      <c r="S86" s="5"/>
      <c r="T86" s="5"/>
      <c r="U86" s="361"/>
      <c r="V86" s="5"/>
      <c r="W86" s="5"/>
      <c r="X86" s="5"/>
      <c r="Y86" s="5"/>
      <c r="Z86" s="5"/>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row>
    <row r="87" spans="1:66" hidden="1" x14ac:dyDescent="0.25">
      <c r="A87" s="358"/>
      <c r="B87" s="11"/>
      <c r="C87" s="5"/>
      <c r="D87" s="5"/>
      <c r="E87" s="5"/>
      <c r="F87" s="5"/>
      <c r="G87" s="359"/>
      <c r="H87" s="358"/>
      <c r="I87" s="5"/>
      <c r="J87" s="5"/>
      <c r="K87" s="5"/>
      <c r="L87" s="5"/>
      <c r="M87" s="5"/>
      <c r="N87" s="5"/>
      <c r="O87" s="5"/>
      <c r="P87" s="5"/>
      <c r="Q87" s="5"/>
      <c r="R87" s="5"/>
      <c r="S87" s="5"/>
      <c r="T87" s="5"/>
      <c r="U87" s="361"/>
      <c r="V87" s="5"/>
      <c r="W87" s="5"/>
      <c r="X87" s="5"/>
      <c r="Y87" s="5"/>
      <c r="Z87" s="5"/>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row>
    <row r="88" spans="1:66" hidden="1" x14ac:dyDescent="0.25">
      <c r="A88" s="358"/>
      <c r="B88" s="11"/>
      <c r="C88" s="5"/>
      <c r="D88" s="5"/>
      <c r="E88" s="5"/>
      <c r="F88" s="5"/>
      <c r="G88" s="359"/>
      <c r="H88" s="358"/>
      <c r="I88" s="5"/>
      <c r="J88" s="5"/>
      <c r="K88" s="5"/>
      <c r="L88" s="5"/>
      <c r="M88" s="5"/>
      <c r="N88" s="5"/>
      <c r="O88" s="5"/>
      <c r="P88" s="5"/>
      <c r="Q88" s="5"/>
      <c r="R88" s="5"/>
      <c r="S88" s="5"/>
      <c r="T88" s="5"/>
      <c r="U88" s="361"/>
      <c r="V88" s="5"/>
      <c r="W88" s="5"/>
      <c r="X88" s="5"/>
      <c r="Y88" s="5"/>
      <c r="Z88" s="5"/>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row>
    <row r="89" spans="1:66" hidden="1" x14ac:dyDescent="0.25">
      <c r="A89" s="358"/>
      <c r="B89" s="11"/>
      <c r="C89" s="5"/>
      <c r="D89" s="5"/>
      <c r="E89" s="5"/>
      <c r="F89" s="5"/>
      <c r="G89" s="359"/>
      <c r="H89" s="358"/>
      <c r="I89" s="5"/>
      <c r="J89" s="5"/>
      <c r="K89" s="5"/>
      <c r="L89" s="5"/>
      <c r="M89" s="5"/>
      <c r="N89" s="5"/>
      <c r="O89" s="5"/>
      <c r="P89" s="5"/>
      <c r="Q89" s="5"/>
      <c r="R89" s="5"/>
      <c r="S89" s="5"/>
      <c r="T89" s="5"/>
      <c r="U89" s="361"/>
      <c r="V89" s="5"/>
      <c r="W89" s="5"/>
      <c r="X89" s="5"/>
      <c r="Y89" s="5"/>
      <c r="Z89" s="5"/>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row>
    <row r="90" spans="1:66" hidden="1" x14ac:dyDescent="0.25">
      <c r="A90" s="358"/>
      <c r="B90" s="11"/>
      <c r="C90" s="5"/>
      <c r="D90" s="5"/>
      <c r="E90" s="5"/>
      <c r="F90" s="5"/>
      <c r="G90" s="359"/>
      <c r="H90" s="358"/>
      <c r="I90" s="5"/>
      <c r="J90" s="5"/>
      <c r="K90" s="5"/>
      <c r="L90" s="5"/>
      <c r="M90" s="5"/>
      <c r="N90" s="5"/>
      <c r="O90" s="5"/>
      <c r="P90" s="5"/>
      <c r="Q90" s="5"/>
      <c r="R90" s="5"/>
      <c r="S90" s="5"/>
      <c r="T90" s="5"/>
      <c r="U90" s="361"/>
      <c r="V90" s="5"/>
      <c r="W90" s="5"/>
      <c r="X90" s="5"/>
      <c r="Y90" s="5"/>
      <c r="Z90" s="5"/>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row>
    <row r="91" spans="1:66" hidden="1" x14ac:dyDescent="0.25">
      <c r="A91" s="358"/>
      <c r="B91" s="11"/>
      <c r="C91" s="5"/>
      <c r="D91" s="5"/>
      <c r="E91" s="5"/>
      <c r="F91" s="5"/>
      <c r="G91" s="359"/>
      <c r="H91" s="358"/>
      <c r="I91" s="5"/>
      <c r="J91" s="5"/>
      <c r="K91" s="5"/>
      <c r="L91" s="5"/>
      <c r="M91" s="5"/>
      <c r="N91" s="5"/>
      <c r="O91" s="5"/>
      <c r="P91" s="5"/>
      <c r="Q91" s="5"/>
      <c r="R91" s="5"/>
      <c r="S91" s="5"/>
      <c r="T91" s="5"/>
      <c r="U91" s="361"/>
      <c r="V91" s="5"/>
      <c r="W91" s="5"/>
      <c r="X91" s="5"/>
      <c r="Y91" s="5"/>
      <c r="Z91" s="5"/>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row>
    <row r="92" spans="1:66" hidden="1" x14ac:dyDescent="0.25">
      <c r="A92" s="358"/>
      <c r="B92" s="11"/>
      <c r="C92" s="5"/>
      <c r="D92" s="5"/>
      <c r="E92" s="5"/>
      <c r="F92" s="5"/>
      <c r="G92" s="359"/>
      <c r="H92" s="358"/>
      <c r="I92" s="5"/>
      <c r="J92" s="5"/>
      <c r="K92" s="5"/>
      <c r="L92" s="5"/>
      <c r="M92" s="5"/>
      <c r="N92" s="5"/>
      <c r="O92" s="5"/>
      <c r="P92" s="5"/>
      <c r="Q92" s="5"/>
      <c r="R92" s="5"/>
      <c r="S92" s="5"/>
      <c r="T92" s="5"/>
      <c r="U92" s="361"/>
      <c r="V92" s="5"/>
      <c r="W92" s="5"/>
      <c r="X92" s="5"/>
      <c r="Y92" s="5"/>
      <c r="Z92" s="5"/>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row>
    <row r="93" spans="1:66" hidden="1" x14ac:dyDescent="0.25">
      <c r="A93" s="358"/>
      <c r="B93" s="11"/>
      <c r="C93" s="5"/>
      <c r="D93" s="5"/>
      <c r="E93" s="5"/>
      <c r="F93" s="5"/>
      <c r="G93" s="359"/>
      <c r="H93" s="358"/>
      <c r="I93" s="5"/>
      <c r="J93" s="5"/>
      <c r="K93" s="5"/>
      <c r="L93" s="5"/>
      <c r="M93" s="5"/>
      <c r="N93" s="5"/>
      <c r="O93" s="5"/>
      <c r="P93" s="5"/>
      <c r="Q93" s="5"/>
      <c r="R93" s="5"/>
      <c r="S93" s="5"/>
      <c r="T93" s="5"/>
      <c r="U93" s="361"/>
      <c r="V93" s="5"/>
      <c r="W93" s="5"/>
      <c r="X93" s="5"/>
      <c r="Y93" s="5"/>
      <c r="Z93" s="5"/>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row>
    <row r="94" spans="1:66" hidden="1" x14ac:dyDescent="0.25">
      <c r="A94" s="358"/>
      <c r="B94" s="11"/>
      <c r="C94" s="5"/>
      <c r="D94" s="5"/>
      <c r="E94" s="5"/>
      <c r="F94" s="5"/>
      <c r="G94" s="359"/>
      <c r="H94" s="358"/>
      <c r="I94" s="5"/>
      <c r="J94" s="5"/>
      <c r="K94" s="5"/>
      <c r="L94" s="5"/>
      <c r="M94" s="5"/>
      <c r="N94" s="5"/>
      <c r="O94" s="5"/>
      <c r="P94" s="5"/>
      <c r="Q94" s="5"/>
      <c r="R94" s="5"/>
      <c r="S94" s="5"/>
      <c r="T94" s="5"/>
      <c r="U94" s="361"/>
      <c r="V94" s="5"/>
      <c r="W94" s="5"/>
      <c r="X94" s="5"/>
      <c r="Y94" s="5"/>
      <c r="Z94" s="5"/>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row>
    <row r="95" spans="1:66" hidden="1" x14ac:dyDescent="0.25">
      <c r="A95" s="358"/>
      <c r="B95" s="11"/>
      <c r="C95" s="5"/>
      <c r="D95" s="5"/>
      <c r="E95" s="5"/>
      <c r="F95" s="5"/>
      <c r="G95" s="359"/>
      <c r="H95" s="358"/>
      <c r="I95" s="5"/>
      <c r="J95" s="5"/>
      <c r="K95" s="5"/>
      <c r="L95" s="5"/>
      <c r="M95" s="5"/>
      <c r="N95" s="5"/>
      <c r="O95" s="5"/>
      <c r="P95" s="5"/>
      <c r="Q95" s="5"/>
      <c r="R95" s="5"/>
      <c r="S95" s="5"/>
      <c r="T95" s="5"/>
      <c r="U95" s="361"/>
      <c r="V95" s="5"/>
      <c r="W95" s="5"/>
      <c r="X95" s="5"/>
      <c r="Y95" s="5"/>
      <c r="Z95" s="5"/>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row>
    <row r="96" spans="1:66" hidden="1" x14ac:dyDescent="0.25">
      <c r="A96" s="358"/>
      <c r="B96" s="11"/>
      <c r="C96" s="5"/>
      <c r="D96" s="5"/>
      <c r="E96" s="5"/>
      <c r="F96" s="5"/>
      <c r="G96" s="359"/>
      <c r="H96" s="358"/>
      <c r="I96" s="5"/>
      <c r="J96" s="5"/>
      <c r="K96" s="5"/>
      <c r="L96" s="5"/>
      <c r="M96" s="5"/>
      <c r="N96" s="5"/>
      <c r="O96" s="5"/>
      <c r="P96" s="5"/>
      <c r="Q96" s="5"/>
      <c r="R96" s="5"/>
      <c r="S96" s="5"/>
      <c r="T96" s="5"/>
      <c r="U96" s="361"/>
      <c r="V96" s="5"/>
      <c r="W96" s="5"/>
      <c r="X96" s="5"/>
      <c r="Y96" s="5"/>
      <c r="Z96" s="5"/>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row>
    <row r="97" spans="1:66" hidden="1" x14ac:dyDescent="0.25">
      <c r="A97" s="358"/>
      <c r="B97" s="11"/>
      <c r="C97" s="5"/>
      <c r="D97" s="5"/>
      <c r="E97" s="5"/>
      <c r="F97" s="5"/>
      <c r="G97" s="359"/>
      <c r="H97" s="358"/>
      <c r="I97" s="5"/>
      <c r="J97" s="5"/>
      <c r="K97" s="5"/>
      <c r="L97" s="5"/>
      <c r="M97" s="5"/>
      <c r="N97" s="5"/>
      <c r="O97" s="5"/>
      <c r="P97" s="5"/>
      <c r="Q97" s="5"/>
      <c r="R97" s="5"/>
      <c r="S97" s="5"/>
      <c r="T97" s="5"/>
      <c r="U97" s="361"/>
      <c r="V97" s="5"/>
      <c r="W97" s="5"/>
      <c r="X97" s="5"/>
      <c r="Y97" s="5"/>
      <c r="Z97" s="5"/>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row>
    <row r="98" spans="1:66" hidden="1" x14ac:dyDescent="0.25">
      <c r="A98" s="358"/>
      <c r="B98" s="11"/>
      <c r="C98" s="5"/>
      <c r="D98" s="5"/>
      <c r="E98" s="5"/>
      <c r="F98" s="5"/>
      <c r="G98" s="359"/>
      <c r="H98" s="358"/>
      <c r="I98" s="5"/>
      <c r="J98" s="5"/>
      <c r="K98" s="5"/>
      <c r="L98" s="5"/>
      <c r="M98" s="5"/>
      <c r="N98" s="5"/>
      <c r="O98" s="5"/>
      <c r="P98" s="5"/>
      <c r="Q98" s="5"/>
      <c r="R98" s="5"/>
      <c r="S98" s="5"/>
      <c r="T98" s="5"/>
      <c r="U98" s="361"/>
      <c r="V98" s="5"/>
      <c r="W98" s="5"/>
      <c r="X98" s="5"/>
      <c r="Y98" s="5"/>
      <c r="Z98" s="5"/>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row>
    <row r="99" spans="1:66" hidden="1" x14ac:dyDescent="0.25">
      <c r="A99" s="358"/>
      <c r="B99" s="11"/>
      <c r="C99" s="5"/>
      <c r="D99" s="5"/>
      <c r="E99" s="5"/>
      <c r="F99" s="5"/>
      <c r="G99" s="359"/>
      <c r="H99" s="358"/>
      <c r="I99" s="5"/>
      <c r="J99" s="5"/>
      <c r="K99" s="5"/>
      <c r="L99" s="5"/>
      <c r="M99" s="5"/>
      <c r="N99" s="5"/>
      <c r="O99" s="5"/>
      <c r="P99" s="5"/>
      <c r="Q99" s="5"/>
      <c r="R99" s="5"/>
      <c r="S99" s="5"/>
      <c r="T99" s="5"/>
      <c r="U99" s="361"/>
      <c r="V99" s="5"/>
      <c r="W99" s="5"/>
      <c r="X99" s="5"/>
      <c r="Y99" s="5"/>
      <c r="Z99" s="5"/>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row>
    <row r="100" spans="1:66" hidden="1" x14ac:dyDescent="0.25">
      <c r="A100" s="358"/>
      <c r="B100" s="11"/>
      <c r="C100" s="5"/>
      <c r="D100" s="5"/>
      <c r="E100" s="5"/>
      <c r="F100" s="5"/>
      <c r="G100" s="359"/>
      <c r="H100" s="358"/>
      <c r="I100" s="5"/>
      <c r="J100" s="5"/>
      <c r="K100" s="5"/>
      <c r="L100" s="5"/>
      <c r="M100" s="5"/>
      <c r="N100" s="5"/>
      <c r="O100" s="5"/>
      <c r="P100" s="5"/>
      <c r="Q100" s="5"/>
      <c r="R100" s="5"/>
      <c r="S100" s="5"/>
      <c r="T100" s="5"/>
      <c r="U100" s="361"/>
      <c r="V100" s="5"/>
      <c r="W100" s="5"/>
      <c r="X100" s="5"/>
      <c r="Y100" s="5"/>
      <c r="Z100" s="5"/>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row>
    <row r="101" spans="1:66" hidden="1" x14ac:dyDescent="0.25">
      <c r="A101" s="358"/>
      <c r="B101" s="11"/>
      <c r="C101" s="5"/>
      <c r="D101" s="5"/>
      <c r="E101" s="5"/>
      <c r="F101" s="5"/>
      <c r="G101" s="359"/>
      <c r="H101" s="358"/>
      <c r="I101" s="5"/>
      <c r="J101" s="5"/>
      <c r="K101" s="5"/>
      <c r="L101" s="5"/>
      <c r="M101" s="5"/>
      <c r="N101" s="5"/>
      <c r="O101" s="5"/>
      <c r="P101" s="5"/>
      <c r="Q101" s="5"/>
      <c r="R101" s="5"/>
      <c r="S101" s="5"/>
      <c r="T101" s="5"/>
      <c r="U101" s="361"/>
      <c r="V101" s="5"/>
      <c r="W101" s="5"/>
      <c r="X101" s="5"/>
      <c r="Y101" s="5"/>
      <c r="Z101" s="5"/>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row>
    <row r="102" spans="1:66" hidden="1" x14ac:dyDescent="0.25">
      <c r="A102" s="358"/>
      <c r="B102" s="11"/>
      <c r="C102" s="5"/>
      <c r="D102" s="5"/>
      <c r="E102" s="5"/>
      <c r="F102" s="5"/>
      <c r="G102" s="359"/>
      <c r="H102" s="358"/>
      <c r="I102" s="5"/>
      <c r="J102" s="5"/>
      <c r="K102" s="5"/>
      <c r="L102" s="5"/>
      <c r="M102" s="5"/>
      <c r="N102" s="5"/>
      <c r="O102" s="5"/>
      <c r="P102" s="5"/>
      <c r="Q102" s="5"/>
      <c r="R102" s="5"/>
      <c r="S102" s="5"/>
      <c r="T102" s="5"/>
      <c r="U102" s="361"/>
      <c r="V102" s="5"/>
      <c r="W102" s="5"/>
      <c r="X102" s="5"/>
      <c r="Y102" s="5"/>
      <c r="Z102" s="5"/>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row>
    <row r="103" spans="1:66" hidden="1" x14ac:dyDescent="0.25">
      <c r="A103" s="358"/>
      <c r="B103" s="11"/>
      <c r="C103" s="5"/>
      <c r="D103" s="5"/>
      <c r="E103" s="5"/>
      <c r="F103" s="5"/>
      <c r="G103" s="359"/>
      <c r="H103" s="358"/>
      <c r="I103" s="5"/>
      <c r="J103" s="5"/>
      <c r="K103" s="5"/>
      <c r="L103" s="5"/>
      <c r="M103" s="5"/>
      <c r="N103" s="5"/>
      <c r="O103" s="5"/>
      <c r="P103" s="5"/>
      <c r="Q103" s="5"/>
      <c r="R103" s="5"/>
      <c r="S103" s="5"/>
      <c r="T103" s="5"/>
      <c r="U103" s="361"/>
      <c r="V103" s="5"/>
      <c r="W103" s="5"/>
      <c r="X103" s="5"/>
      <c r="Y103" s="5"/>
      <c r="Z103" s="5"/>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row>
    <row r="104" spans="1:66" hidden="1" x14ac:dyDescent="0.25">
      <c r="A104" s="358"/>
      <c r="B104" s="11"/>
      <c r="C104" s="5"/>
      <c r="D104" s="5"/>
      <c r="E104" s="5"/>
      <c r="F104" s="5"/>
      <c r="G104" s="359"/>
      <c r="H104" s="358"/>
      <c r="I104" s="5"/>
      <c r="J104" s="5"/>
      <c r="K104" s="5"/>
      <c r="L104" s="5"/>
      <c r="M104" s="5"/>
      <c r="N104" s="5"/>
      <c r="O104" s="5"/>
      <c r="P104" s="5"/>
      <c r="Q104" s="5"/>
      <c r="R104" s="5"/>
      <c r="S104" s="5"/>
      <c r="T104" s="5"/>
      <c r="U104" s="361"/>
      <c r="V104" s="5"/>
      <c r="W104" s="5"/>
      <c r="X104" s="5"/>
      <c r="Y104" s="5"/>
      <c r="Z104" s="5"/>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row>
    <row r="105" spans="1:66" hidden="1" x14ac:dyDescent="0.25">
      <c r="A105" s="358"/>
      <c r="B105" s="11"/>
      <c r="C105" s="5"/>
      <c r="D105" s="5"/>
      <c r="E105" s="5"/>
      <c r="F105" s="5"/>
      <c r="G105" s="359"/>
      <c r="H105" s="358"/>
      <c r="I105" s="5"/>
      <c r="J105" s="5"/>
      <c r="K105" s="5"/>
      <c r="L105" s="5"/>
      <c r="M105" s="5"/>
      <c r="N105" s="5"/>
      <c r="O105" s="5"/>
      <c r="P105" s="5"/>
      <c r="Q105" s="5"/>
      <c r="R105" s="5"/>
      <c r="S105" s="5"/>
      <c r="T105" s="5"/>
      <c r="U105" s="361"/>
      <c r="V105" s="5"/>
      <c r="W105" s="5"/>
      <c r="X105" s="5"/>
      <c r="Y105" s="5"/>
      <c r="Z105" s="5"/>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row>
    <row r="106" spans="1:66" hidden="1" x14ac:dyDescent="0.25">
      <c r="A106" s="358"/>
      <c r="B106" s="11"/>
      <c r="C106" s="5"/>
      <c r="D106" s="5"/>
      <c r="E106" s="5"/>
      <c r="F106" s="5"/>
      <c r="G106" s="359"/>
      <c r="H106" s="358"/>
      <c r="I106" s="5"/>
      <c r="J106" s="5"/>
      <c r="K106" s="5"/>
      <c r="L106" s="5"/>
      <c r="M106" s="5"/>
      <c r="N106" s="5"/>
      <c r="O106" s="5"/>
      <c r="P106" s="5"/>
      <c r="Q106" s="5"/>
      <c r="R106" s="5"/>
      <c r="S106" s="5"/>
      <c r="T106" s="5"/>
      <c r="U106" s="361"/>
      <c r="V106" s="5"/>
      <c r="W106" s="5"/>
      <c r="X106" s="5"/>
      <c r="Y106" s="5"/>
      <c r="Z106" s="5"/>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row>
    <row r="107" spans="1:66" hidden="1" x14ac:dyDescent="0.25">
      <c r="A107" s="358"/>
      <c r="B107" s="11"/>
      <c r="C107" s="5"/>
      <c r="D107" s="5"/>
      <c r="E107" s="5"/>
      <c r="F107" s="5"/>
      <c r="G107" s="359"/>
      <c r="H107" s="358"/>
      <c r="I107" s="5"/>
      <c r="J107" s="5"/>
      <c r="K107" s="5"/>
      <c r="L107" s="5"/>
      <c r="M107" s="5"/>
      <c r="N107" s="5"/>
      <c r="O107" s="5"/>
      <c r="P107" s="5"/>
      <c r="Q107" s="5"/>
      <c r="R107" s="5"/>
      <c r="S107" s="5"/>
      <c r="T107" s="5"/>
      <c r="U107" s="361"/>
      <c r="V107" s="5"/>
      <c r="W107" s="5"/>
      <c r="X107" s="5"/>
      <c r="Y107" s="5"/>
      <c r="Z107" s="5"/>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row>
    <row r="108" spans="1:66" ht="14.4" hidden="1" thickBot="1" x14ac:dyDescent="0.3">
      <c r="A108" s="363"/>
      <c r="B108" s="364"/>
      <c r="C108" s="365"/>
      <c r="D108" s="365"/>
      <c r="E108" s="365"/>
      <c r="F108" s="365"/>
      <c r="G108" s="366"/>
      <c r="H108" s="363"/>
      <c r="I108" s="365"/>
      <c r="J108" s="365"/>
      <c r="K108" s="365"/>
      <c r="L108" s="365"/>
      <c r="M108" s="365"/>
      <c r="N108" s="365"/>
      <c r="O108" s="365"/>
      <c r="P108" s="365"/>
      <c r="Q108" s="365"/>
      <c r="R108" s="365"/>
      <c r="S108" s="365"/>
      <c r="T108" s="365"/>
      <c r="U108" s="367"/>
      <c r="V108" s="5"/>
      <c r="W108" s="5"/>
      <c r="X108" s="5"/>
      <c r="Y108" s="5"/>
      <c r="Z108" s="5"/>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row>
    <row r="109" spans="1:66" hidden="1" x14ac:dyDescent="0.25">
      <c r="A109" s="5"/>
      <c r="B109" s="11"/>
      <c r="C109" s="5"/>
      <c r="D109" s="5"/>
      <c r="E109" s="5"/>
      <c r="F109" s="5"/>
      <c r="G109" s="698"/>
      <c r="H109" s="5"/>
      <c r="I109" s="5"/>
      <c r="J109" s="5"/>
      <c r="K109" s="5"/>
      <c r="L109" s="5"/>
      <c r="M109" s="5"/>
      <c r="N109" s="5"/>
      <c r="O109" s="5"/>
      <c r="P109" s="5"/>
      <c r="Q109" s="5"/>
      <c r="R109" s="5"/>
      <c r="S109" s="5"/>
      <c r="T109" s="5"/>
      <c r="U109" s="5"/>
      <c r="V109" s="5"/>
      <c r="W109" s="5"/>
      <c r="X109" s="5"/>
      <c r="Y109" s="5"/>
      <c r="Z109" s="5"/>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row>
    <row r="110" spans="1:66" hidden="1" x14ac:dyDescent="0.25">
      <c r="A110" s="5"/>
      <c r="B110" s="11"/>
      <c r="C110" s="5"/>
      <c r="D110" s="5"/>
      <c r="E110" s="5"/>
      <c r="F110" s="5"/>
      <c r="G110" s="698"/>
      <c r="H110" s="5"/>
      <c r="I110" s="5"/>
      <c r="J110" s="5"/>
      <c r="K110" s="5"/>
      <c r="L110" s="5"/>
      <c r="M110" s="5"/>
      <c r="N110" s="5"/>
      <c r="O110" s="5"/>
      <c r="P110" s="5"/>
      <c r="Q110" s="5"/>
      <c r="R110" s="5"/>
      <c r="S110" s="5"/>
      <c r="T110" s="5"/>
      <c r="U110" s="5"/>
      <c r="V110" s="5"/>
      <c r="W110" s="5"/>
      <c r="X110" s="5"/>
      <c r="Y110" s="5"/>
      <c r="Z110" s="5"/>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row>
    <row r="111" spans="1:66" x14ac:dyDescent="0.25">
      <c r="A111" s="5"/>
      <c r="B111" s="11"/>
      <c r="C111" s="5"/>
      <c r="D111" s="5"/>
      <c r="E111" s="3"/>
      <c r="F111" s="3"/>
      <c r="G111" s="698"/>
      <c r="H111" s="5"/>
      <c r="I111" s="5"/>
      <c r="J111" s="5"/>
      <c r="K111" s="5"/>
      <c r="L111" s="5"/>
      <c r="M111" s="5"/>
      <c r="N111" s="5"/>
      <c r="O111" s="5"/>
      <c r="P111" s="5"/>
      <c r="Q111" s="5"/>
      <c r="R111" s="5"/>
      <c r="S111" s="5"/>
      <c r="T111" s="5"/>
      <c r="U111" s="5"/>
      <c r="V111" s="5"/>
      <c r="W111" s="5"/>
      <c r="X111" s="5"/>
      <c r="Y111" s="5"/>
      <c r="Z111" s="5"/>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row>
    <row r="112" spans="1:66" x14ac:dyDescent="0.25">
      <c r="A112" s="3"/>
      <c r="B112" s="78"/>
      <c r="C112" s="3"/>
      <c r="D112" s="3"/>
      <c r="E112" s="3"/>
      <c r="F112" s="5"/>
      <c r="G112" s="79"/>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row>
    <row r="113" spans="1:66" x14ac:dyDescent="0.25">
      <c r="A113" s="3"/>
      <c r="B113" s="78"/>
      <c r="C113" s="3"/>
      <c r="D113" s="3"/>
      <c r="E113" s="3"/>
      <c r="F113" s="3"/>
      <c r="G113" s="79"/>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row>
    <row r="114" spans="1:66" x14ac:dyDescent="0.25">
      <c r="A114" s="3"/>
      <c r="B114" s="78"/>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row>
    <row r="115" spans="1:66" x14ac:dyDescent="0.25">
      <c r="A115" s="3"/>
      <c r="B115" s="78"/>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row>
    <row r="116" spans="1:66" x14ac:dyDescent="0.25">
      <c r="A116" s="3"/>
      <c r="B116" s="78"/>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row>
    <row r="117" spans="1:66" ht="72" customHeight="1" x14ac:dyDescent="0.25">
      <c r="A117" s="3"/>
      <c r="B117" s="78"/>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row>
    <row r="118" spans="1:66" x14ac:dyDescent="0.25">
      <c r="A118" s="3"/>
      <c r="B118" s="78"/>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row>
    <row r="119" spans="1:66" x14ac:dyDescent="0.25">
      <c r="A119" s="3"/>
      <c r="B119" s="78"/>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row>
    <row r="120" spans="1:66" x14ac:dyDescent="0.25">
      <c r="A120" s="3"/>
      <c r="B120" s="78"/>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row>
    <row r="121" spans="1:66" x14ac:dyDescent="0.25">
      <c r="A121" s="3"/>
      <c r="B121" s="78"/>
      <c r="C121" s="3"/>
      <c r="D121" s="3"/>
      <c r="E121" s="3"/>
      <c r="F121" s="3"/>
      <c r="G121" s="79"/>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row>
    <row r="122" spans="1:66" x14ac:dyDescent="0.25">
      <c r="A122" s="3"/>
      <c r="B122" s="78"/>
      <c r="C122" s="3"/>
      <c r="D122" s="3"/>
      <c r="E122" s="3"/>
      <c r="F122" s="3"/>
      <c r="G122" s="79"/>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row>
    <row r="123" spans="1:66" x14ac:dyDescent="0.25">
      <c r="A123" s="3"/>
      <c r="B123" s="78"/>
      <c r="C123" s="3"/>
      <c r="D123" s="3"/>
      <c r="E123" s="3"/>
      <c r="F123" s="3"/>
      <c r="G123" s="79"/>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row>
    <row r="124" spans="1:66" x14ac:dyDescent="0.25">
      <c r="A124" s="3"/>
      <c r="B124" s="78"/>
      <c r="C124" s="3"/>
      <c r="D124" s="3"/>
      <c r="E124" s="3"/>
      <c r="F124" s="3"/>
      <c r="G124" s="79"/>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row>
    <row r="125" spans="1:66" x14ac:dyDescent="0.25">
      <c r="A125" s="3"/>
      <c r="B125" s="78"/>
      <c r="C125" s="3"/>
      <c r="D125" s="3"/>
      <c r="E125" s="3"/>
      <c r="F125" s="3"/>
      <c r="G125" s="79"/>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row>
    <row r="126" spans="1:66" x14ac:dyDescent="0.25">
      <c r="A126" s="3"/>
      <c r="B126" s="78"/>
      <c r="C126" s="3"/>
      <c r="D126" s="3"/>
      <c r="E126" s="3"/>
      <c r="F126" s="3"/>
      <c r="G126" s="79"/>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row>
    <row r="127" spans="1:66" x14ac:dyDescent="0.25">
      <c r="A127" s="3"/>
      <c r="B127" s="78"/>
      <c r="C127" s="3"/>
      <c r="D127" s="3"/>
      <c r="E127" s="3"/>
      <c r="F127" s="3"/>
      <c r="G127" s="79"/>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row>
    <row r="128" spans="1:66" x14ac:dyDescent="0.25">
      <c r="A128" s="3"/>
      <c r="B128" s="78"/>
      <c r="C128" s="3"/>
      <c r="D128" s="3"/>
      <c r="E128" s="3"/>
      <c r="F128" s="3"/>
      <c r="G128" s="79"/>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row>
  </sheetData>
  <mergeCells count="48">
    <mergeCell ref="F44:F47"/>
    <mergeCell ref="G44:G47"/>
    <mergeCell ref="C28:J28"/>
    <mergeCell ref="I34:X34"/>
    <mergeCell ref="AQ32:AT32"/>
    <mergeCell ref="AU32:AX32"/>
    <mergeCell ref="AG32:AK32"/>
    <mergeCell ref="AB32:AF32"/>
    <mergeCell ref="AL32:AP32"/>
    <mergeCell ref="A1:X1"/>
    <mergeCell ref="D21:D22"/>
    <mergeCell ref="E21:E26"/>
    <mergeCell ref="A15:A26"/>
    <mergeCell ref="E3:E8"/>
    <mergeCell ref="B3:B8"/>
    <mergeCell ref="A3:A8"/>
    <mergeCell ref="D3:D8"/>
    <mergeCell ref="C3:C8"/>
    <mergeCell ref="C9:C14"/>
    <mergeCell ref="H9:H10"/>
    <mergeCell ref="D17:D20"/>
    <mergeCell ref="H15:H16"/>
    <mergeCell ref="H21:H22"/>
    <mergeCell ref="D23:D26"/>
    <mergeCell ref="A9:A14"/>
    <mergeCell ref="B9:B14"/>
    <mergeCell ref="E9:E14"/>
    <mergeCell ref="E15:E20"/>
    <mergeCell ref="D9:D14"/>
    <mergeCell ref="D15:D16"/>
    <mergeCell ref="B15:B26"/>
    <mergeCell ref="C15:C26"/>
    <mergeCell ref="A51:Z51"/>
    <mergeCell ref="I35:X35"/>
    <mergeCell ref="I29:X29"/>
    <mergeCell ref="E30:E35"/>
    <mergeCell ref="I31:X31"/>
    <mergeCell ref="I32:X32"/>
    <mergeCell ref="I33:X33"/>
    <mergeCell ref="I30:X30"/>
    <mergeCell ref="C30:C35"/>
    <mergeCell ref="D30:D35"/>
    <mergeCell ref="I47:X47"/>
    <mergeCell ref="A44:A47"/>
    <mergeCell ref="B44:B47"/>
    <mergeCell ref="C44:C47"/>
    <mergeCell ref="D44:D47"/>
    <mergeCell ref="E44:E47"/>
  </mergeCells>
  <phoneticPr fontId="5" type="noConversion"/>
  <hyperlinks>
    <hyperlink ref="H30" r:id="rId1" xr:uid="{9153F47E-FCBB-42B5-A7E2-9AE58445F5C5}"/>
    <hyperlink ref="H31:H32" r:id="rId2" display="2022 CASE report (Table 38)" xr:uid="{AB6FEC5D-A312-48E5-9443-3858096808B6}"/>
    <hyperlink ref="E37" r:id="rId3" xr:uid="{25C90A1D-2413-41E3-8163-A6D94106D91D}"/>
  </hyperlink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K42"/>
  <sheetViews>
    <sheetView zoomScale="70" zoomScaleNormal="70" workbookViewId="0">
      <selection sqref="A1:G1"/>
    </sheetView>
  </sheetViews>
  <sheetFormatPr defaultColWidth="8.6640625" defaultRowHeight="13.2" x14ac:dyDescent="0.25"/>
  <cols>
    <col min="1" max="1" width="26" style="5" customWidth="1"/>
    <col min="2" max="2" width="23.109375" style="5" customWidth="1"/>
    <col min="3" max="3" width="31.109375" style="5" customWidth="1"/>
    <col min="4" max="4" width="35.6640625" style="5" customWidth="1"/>
    <col min="5" max="5" width="35.33203125" style="5" customWidth="1"/>
    <col min="6" max="6" width="41.109375" style="5" customWidth="1"/>
    <col min="7" max="7" width="45.88671875" style="5" customWidth="1"/>
    <col min="8" max="8" width="41" style="5" customWidth="1"/>
    <col min="9" max="12" width="12.6640625" style="5" customWidth="1"/>
    <col min="13" max="20" width="15.33203125" style="5" customWidth="1"/>
    <col min="21" max="21" width="14.6640625" style="5" customWidth="1"/>
    <col min="22" max="22" width="13.5546875" style="5" customWidth="1"/>
    <col min="23" max="23" width="15.6640625" style="5" customWidth="1"/>
    <col min="24" max="30" width="11" style="5" customWidth="1"/>
    <col min="31" max="39" width="6.5546875" style="5" customWidth="1"/>
    <col min="40" max="40" width="8.6640625" style="5" customWidth="1"/>
    <col min="41" max="16384" width="8.6640625" style="5"/>
  </cols>
  <sheetData>
    <row r="1" spans="1:11" ht="27" customHeight="1" x14ac:dyDescent="0.25">
      <c r="A1" s="801" t="str">
        <f>"HVAC system - "&amp;Prototype!A2</f>
        <v>HVAC system - RestaurantSitDown</v>
      </c>
      <c r="B1" s="801"/>
      <c r="C1" s="801"/>
      <c r="D1" s="801"/>
      <c r="E1" s="801"/>
      <c r="F1" s="801"/>
      <c r="G1" s="801"/>
      <c r="H1" s="7"/>
    </row>
    <row r="2" spans="1:11" ht="22.2" customHeight="1" x14ac:dyDescent="0.25">
      <c r="A2" s="714" t="s">
        <v>190</v>
      </c>
      <c r="B2" s="714" t="s">
        <v>163</v>
      </c>
      <c r="C2" s="714" t="s">
        <v>278</v>
      </c>
      <c r="D2" s="714" t="s">
        <v>279</v>
      </c>
      <c r="E2" s="714" t="s">
        <v>280</v>
      </c>
      <c r="F2" s="714" t="s">
        <v>281</v>
      </c>
      <c r="G2" s="714" t="s">
        <v>244</v>
      </c>
    </row>
    <row r="3" spans="1:11" ht="30.6" customHeight="1" x14ac:dyDescent="0.25">
      <c r="A3" s="795" t="s">
        <v>282</v>
      </c>
      <c r="B3" s="16" t="s">
        <v>100</v>
      </c>
      <c r="C3" s="181" t="s">
        <v>283</v>
      </c>
      <c r="D3" s="181" t="s">
        <v>284</v>
      </c>
      <c r="E3" s="181" t="s">
        <v>285</v>
      </c>
      <c r="F3" s="181" t="s">
        <v>286</v>
      </c>
      <c r="G3" s="795" t="s">
        <v>287</v>
      </c>
      <c r="H3" s="71"/>
      <c r="I3" s="702"/>
      <c r="J3" s="702"/>
      <c r="K3" s="702"/>
    </row>
    <row r="4" spans="1:11" ht="39.6" x14ac:dyDescent="0.25">
      <c r="A4" s="796"/>
      <c r="B4" s="16" t="s">
        <v>80</v>
      </c>
      <c r="C4" s="181" t="s">
        <v>283</v>
      </c>
      <c r="D4" s="181" t="s">
        <v>284</v>
      </c>
      <c r="E4" s="181" t="s">
        <v>285</v>
      </c>
      <c r="F4" s="181" t="s">
        <v>288</v>
      </c>
      <c r="G4" s="797"/>
      <c r="H4" s="702"/>
      <c r="J4" s="702"/>
      <c r="K4" s="702"/>
    </row>
    <row r="5" spans="1:11" ht="30.6" customHeight="1" x14ac:dyDescent="0.25">
      <c r="A5" s="795" t="s">
        <v>289</v>
      </c>
      <c r="B5" s="16" t="s">
        <v>100</v>
      </c>
      <c r="C5" s="181" t="s">
        <v>283</v>
      </c>
      <c r="D5" s="181" t="s">
        <v>284</v>
      </c>
      <c r="E5" s="181" t="s">
        <v>285</v>
      </c>
      <c r="F5" s="182" t="s">
        <v>290</v>
      </c>
      <c r="G5" s="802" t="s">
        <v>291</v>
      </c>
      <c r="H5" s="702"/>
      <c r="I5" s="702"/>
      <c r="J5" s="702"/>
      <c r="K5" s="702"/>
    </row>
    <row r="6" spans="1:11" ht="43.2" customHeight="1" x14ac:dyDescent="0.25">
      <c r="A6" s="797"/>
      <c r="B6" s="16" t="s">
        <v>80</v>
      </c>
      <c r="C6" s="181" t="s">
        <v>283</v>
      </c>
      <c r="D6" s="181" t="s">
        <v>284</v>
      </c>
      <c r="E6" s="181" t="s">
        <v>285</v>
      </c>
      <c r="F6" s="182" t="s">
        <v>292</v>
      </c>
      <c r="G6" s="803"/>
      <c r="H6" s="702"/>
      <c r="I6" s="702"/>
      <c r="J6" s="702"/>
      <c r="K6" s="702"/>
    </row>
    <row r="7" spans="1:11" x14ac:dyDescent="0.25">
      <c r="A7" s="82" t="s">
        <v>689</v>
      </c>
    </row>
    <row r="10" spans="1:11" x14ac:dyDescent="0.25">
      <c r="A10" s="7"/>
      <c r="B10" s="7"/>
      <c r="C10" s="7"/>
      <c r="D10" s="7"/>
      <c r="E10" s="7"/>
      <c r="F10" s="7"/>
    </row>
    <row r="11" spans="1:11" ht="45" customHeight="1" x14ac:dyDescent="0.25">
      <c r="A11" s="801" t="s">
        <v>293</v>
      </c>
      <c r="B11" s="801"/>
      <c r="C11" s="801"/>
      <c r="D11" s="801"/>
      <c r="E11" s="801"/>
      <c r="F11" s="801"/>
      <c r="G11" s="801"/>
    </row>
    <row r="12" spans="1:11" ht="28.2" customHeight="1" x14ac:dyDescent="0.25">
      <c r="A12" s="31" t="s">
        <v>190</v>
      </c>
      <c r="B12" s="61" t="s">
        <v>294</v>
      </c>
      <c r="C12" s="61" t="s">
        <v>295</v>
      </c>
      <c r="D12" s="61" t="s">
        <v>296</v>
      </c>
      <c r="E12" s="249" t="s">
        <v>297</v>
      </c>
      <c r="F12" s="714" t="s">
        <v>244</v>
      </c>
      <c r="G12" s="714" t="s">
        <v>298</v>
      </c>
    </row>
    <row r="13" spans="1:11" ht="34.200000000000003" customHeight="1" x14ac:dyDescent="0.3">
      <c r="A13" s="181" t="s">
        <v>212</v>
      </c>
      <c r="B13" s="798">
        <v>2008</v>
      </c>
      <c r="C13" s="798" t="s">
        <v>299</v>
      </c>
      <c r="D13" s="798" t="s">
        <v>300</v>
      </c>
      <c r="E13" s="798" t="s">
        <v>300</v>
      </c>
      <c r="F13" s="795" t="s">
        <v>301</v>
      </c>
      <c r="G13" s="804" t="s">
        <v>302</v>
      </c>
      <c r="H13"/>
    </row>
    <row r="14" spans="1:11" ht="34.200000000000003" customHeight="1" x14ac:dyDescent="0.25">
      <c r="A14" s="181" t="s">
        <v>214</v>
      </c>
      <c r="B14" s="799"/>
      <c r="C14" s="799"/>
      <c r="D14" s="799"/>
      <c r="E14" s="799"/>
      <c r="F14" s="796"/>
      <c r="G14" s="805"/>
    </row>
    <row r="15" spans="1:11" ht="34.200000000000003" customHeight="1" x14ac:dyDescent="0.25">
      <c r="A15" s="181" t="s">
        <v>217</v>
      </c>
      <c r="B15" s="800"/>
      <c r="C15" s="800"/>
      <c r="D15" s="800"/>
      <c r="E15" s="800"/>
      <c r="F15" s="797"/>
      <c r="G15" s="806"/>
    </row>
    <row r="16" spans="1:11" ht="43.2" customHeight="1" x14ac:dyDescent="0.25">
      <c r="A16" s="181" t="s">
        <v>219</v>
      </c>
      <c r="B16" s="181">
        <v>2013</v>
      </c>
      <c r="C16" s="181" t="s">
        <v>299</v>
      </c>
      <c r="D16" s="181" t="s">
        <v>303</v>
      </c>
      <c r="E16" s="181" t="s">
        <v>303</v>
      </c>
      <c r="F16" s="16" t="s">
        <v>304</v>
      </c>
      <c r="G16" s="151" t="s">
        <v>305</v>
      </c>
    </row>
    <row r="17" spans="1:8" ht="58.95" customHeight="1" x14ac:dyDescent="0.25">
      <c r="A17" s="181" t="s">
        <v>289</v>
      </c>
      <c r="B17" s="181">
        <v>2025</v>
      </c>
      <c r="C17" s="181" t="s">
        <v>299</v>
      </c>
      <c r="D17" s="181" t="s">
        <v>303</v>
      </c>
      <c r="E17" s="181" t="s">
        <v>303</v>
      </c>
      <c r="F17" s="16" t="s">
        <v>306</v>
      </c>
      <c r="G17" s="376" t="s">
        <v>307</v>
      </c>
    </row>
    <row r="18" spans="1:8" x14ac:dyDescent="0.25">
      <c r="C18" s="8"/>
      <c r="D18" s="8"/>
      <c r="E18" s="8"/>
    </row>
    <row r="19" spans="1:8" x14ac:dyDescent="0.25">
      <c r="C19" s="8"/>
      <c r="D19" s="8"/>
      <c r="E19" s="32"/>
      <c r="F19" s="8"/>
    </row>
    <row r="20" spans="1:8" x14ac:dyDescent="0.25">
      <c r="C20" s="8"/>
      <c r="D20" s="8"/>
      <c r="E20" s="32"/>
      <c r="F20" s="8"/>
    </row>
    <row r="21" spans="1:8" ht="27" customHeight="1" x14ac:dyDescent="0.25">
      <c r="A21" s="786" t="s">
        <v>308</v>
      </c>
      <c r="B21" s="786"/>
      <c r="C21" s="786"/>
      <c r="D21" s="787"/>
      <c r="E21" s="787"/>
      <c r="F21" s="787"/>
      <c r="G21" s="787"/>
      <c r="H21" s="787"/>
    </row>
    <row r="22" spans="1:8" ht="57.75" customHeight="1" x14ac:dyDescent="0.25">
      <c r="A22" s="610" t="s">
        <v>190</v>
      </c>
      <c r="B22" s="612" t="s">
        <v>309</v>
      </c>
      <c r="C22" s="612" t="s">
        <v>310</v>
      </c>
      <c r="D22" s="613" t="s">
        <v>311</v>
      </c>
      <c r="E22" s="613" t="s">
        <v>312</v>
      </c>
      <c r="F22" s="613" t="s">
        <v>313</v>
      </c>
      <c r="G22" s="613" t="s">
        <v>314</v>
      </c>
      <c r="H22" s="611" t="s">
        <v>315</v>
      </c>
    </row>
    <row r="23" spans="1:8" ht="49.5" customHeight="1" x14ac:dyDescent="0.25">
      <c r="A23" s="782" t="s">
        <v>221</v>
      </c>
      <c r="B23" s="784" t="s">
        <v>316</v>
      </c>
      <c r="C23" s="124" t="s">
        <v>317</v>
      </c>
      <c r="D23" s="168">
        <v>2.5</v>
      </c>
      <c r="E23" s="168">
        <v>0.65</v>
      </c>
      <c r="F23" s="780" t="s">
        <v>318</v>
      </c>
      <c r="G23" s="781"/>
      <c r="H23" s="780" t="s">
        <v>688</v>
      </c>
    </row>
    <row r="24" spans="1:8" ht="48.75" customHeight="1" x14ac:dyDescent="0.25">
      <c r="A24" s="783"/>
      <c r="B24" s="785"/>
      <c r="C24" s="168" t="s">
        <v>319</v>
      </c>
      <c r="D24" s="168" t="s">
        <v>320</v>
      </c>
      <c r="E24" s="168">
        <v>0.65</v>
      </c>
      <c r="F24" s="780"/>
      <c r="G24" s="781"/>
      <c r="H24" s="780"/>
    </row>
    <row r="25" spans="1:8" ht="16.2" customHeight="1" x14ac:dyDescent="0.25">
      <c r="A25" s="615" t="s">
        <v>321</v>
      </c>
      <c r="B25" s="154"/>
      <c r="C25" s="155"/>
      <c r="D25" s="155"/>
      <c r="E25" s="156"/>
      <c r="F25" s="155"/>
      <c r="G25" s="155"/>
      <c r="H25" s="157"/>
    </row>
    <row r="26" spans="1:8" ht="15.6" customHeight="1" x14ac:dyDescent="0.25">
      <c r="A26" s="614" t="s">
        <v>322</v>
      </c>
      <c r="B26" s="75"/>
      <c r="C26" s="75"/>
      <c r="D26" s="133"/>
      <c r="E26" s="75"/>
      <c r="F26" s="134"/>
      <c r="G26" s="134"/>
      <c r="H26" s="158"/>
    </row>
    <row r="27" spans="1:8" ht="27" customHeight="1" x14ac:dyDescent="0.25">
      <c r="A27" s="794" t="s">
        <v>289</v>
      </c>
      <c r="B27" s="793" t="s">
        <v>323</v>
      </c>
      <c r="C27" s="717" t="s">
        <v>324</v>
      </c>
      <c r="D27" s="717" t="s">
        <v>325</v>
      </c>
      <c r="E27" s="780">
        <v>0.65</v>
      </c>
      <c r="F27" s="780" t="s">
        <v>326</v>
      </c>
      <c r="G27" s="717">
        <v>0.61399999999999999</v>
      </c>
      <c r="H27" s="789" t="s">
        <v>327</v>
      </c>
    </row>
    <row r="28" spans="1:8" ht="27" customHeight="1" x14ac:dyDescent="0.25">
      <c r="A28" s="794"/>
      <c r="B28" s="793"/>
      <c r="C28" s="717" t="s">
        <v>328</v>
      </c>
      <c r="D28" s="717" t="s">
        <v>329</v>
      </c>
      <c r="E28" s="780"/>
      <c r="F28" s="780"/>
      <c r="G28" s="712">
        <v>0.59599999999999997</v>
      </c>
      <c r="H28" s="790"/>
    </row>
    <row r="29" spans="1:8" ht="27" customHeight="1" x14ac:dyDescent="0.25">
      <c r="A29" s="794"/>
      <c r="B29" s="793"/>
      <c r="C29" s="717" t="s">
        <v>330</v>
      </c>
      <c r="D29" s="717" t="s">
        <v>325</v>
      </c>
      <c r="E29" s="780"/>
      <c r="F29" s="788"/>
      <c r="G29" s="717">
        <v>0.8</v>
      </c>
      <c r="H29" s="791"/>
    </row>
    <row r="30" spans="1:8" ht="25.95" customHeight="1" x14ac:dyDescent="0.25">
      <c r="A30" s="794"/>
      <c r="B30" s="793"/>
      <c r="C30" s="717" t="s">
        <v>331</v>
      </c>
      <c r="D30" s="717" t="s">
        <v>325</v>
      </c>
      <c r="E30" s="780"/>
      <c r="F30" s="780"/>
      <c r="G30" s="718">
        <v>0.78</v>
      </c>
      <c r="H30" s="792"/>
    </row>
    <row r="31" spans="1:8" ht="19.2" customHeight="1" x14ac:dyDescent="0.25">
      <c r="A31" s="702"/>
      <c r="B31" s="9"/>
      <c r="C31" s="9"/>
      <c r="D31" s="9"/>
      <c r="E31" s="132"/>
      <c r="F31" s="8"/>
    </row>
    <row r="32" spans="1:8" ht="33.75" customHeight="1" x14ac:dyDescent="0.25">
      <c r="A32" s="807" t="s">
        <v>332</v>
      </c>
      <c r="B32" s="808"/>
      <c r="C32" s="808"/>
      <c r="D32" s="808"/>
      <c r="E32" s="808"/>
      <c r="F32" s="808"/>
      <c r="G32" s="808"/>
      <c r="H32" s="808"/>
    </row>
    <row r="33" spans="1:8" ht="49.5" customHeight="1" x14ac:dyDescent="0.25">
      <c r="A33" s="807" t="s">
        <v>333</v>
      </c>
      <c r="B33" s="807"/>
      <c r="C33" s="807"/>
      <c r="D33" s="807"/>
      <c r="E33" s="807"/>
      <c r="F33" s="807"/>
      <c r="G33" s="807"/>
      <c r="H33" s="807"/>
    </row>
    <row r="34" spans="1:8" ht="13.95" customHeight="1" x14ac:dyDescent="0.25">
      <c r="A34" s="8"/>
      <c r="B34" s="10"/>
      <c r="E34" s="29"/>
    </row>
    <row r="35" spans="1:8" ht="13.95" customHeight="1" x14ac:dyDescent="0.25">
      <c r="A35" s="8"/>
      <c r="B35" s="10"/>
      <c r="E35" s="29"/>
    </row>
    <row r="36" spans="1:8" ht="13.95" customHeight="1" x14ac:dyDescent="0.25">
      <c r="A36" s="8"/>
      <c r="B36" s="10"/>
      <c r="E36" s="29"/>
    </row>
    <row r="37" spans="1:8" ht="13.95" customHeight="1" x14ac:dyDescent="0.25">
      <c r="A37" s="8"/>
      <c r="B37" s="10"/>
      <c r="E37" s="29"/>
    </row>
    <row r="38" spans="1:8" ht="13.95" customHeight="1" x14ac:dyDescent="0.25">
      <c r="A38" s="10"/>
      <c r="B38" s="10"/>
      <c r="E38" s="29"/>
    </row>
    <row r="42" spans="1:8" x14ac:dyDescent="0.25">
      <c r="A42" s="7"/>
      <c r="B42" s="7"/>
      <c r="C42" s="7"/>
      <c r="D42" s="7"/>
      <c r="E42" s="7"/>
      <c r="F42" s="7"/>
    </row>
  </sheetData>
  <mergeCells count="25">
    <mergeCell ref="A32:H32"/>
    <mergeCell ref="A33:H33"/>
    <mergeCell ref="A3:A4"/>
    <mergeCell ref="A5:A6"/>
    <mergeCell ref="C13:C15"/>
    <mergeCell ref="A1:G1"/>
    <mergeCell ref="G5:G6"/>
    <mergeCell ref="G3:G4"/>
    <mergeCell ref="D13:D15"/>
    <mergeCell ref="F13:F15"/>
    <mergeCell ref="G13:G15"/>
    <mergeCell ref="B13:B15"/>
    <mergeCell ref="E13:E15"/>
    <mergeCell ref="A11:G11"/>
    <mergeCell ref="F27:F30"/>
    <mergeCell ref="E27:E30"/>
    <mergeCell ref="H27:H30"/>
    <mergeCell ref="B27:B30"/>
    <mergeCell ref="A27:A30"/>
    <mergeCell ref="F23:F24"/>
    <mergeCell ref="G23:G24"/>
    <mergeCell ref="A23:A24"/>
    <mergeCell ref="B23:B24"/>
    <mergeCell ref="A21:H21"/>
    <mergeCell ref="H23:H24"/>
  </mergeCells>
  <phoneticPr fontId="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CF2B8-D81A-4739-B3FD-7DE124AB8529}">
  <sheetPr codeName="Sheet7"/>
  <dimension ref="A1:S15"/>
  <sheetViews>
    <sheetView workbookViewId="0">
      <selection sqref="A1:S1"/>
    </sheetView>
  </sheetViews>
  <sheetFormatPr defaultRowHeight="14.4" x14ac:dyDescent="0.3"/>
  <cols>
    <col min="1" max="1" width="21.33203125" customWidth="1"/>
    <col min="2" max="2" width="26.109375" customWidth="1"/>
    <col min="19" max="19" width="24.6640625" customWidth="1"/>
  </cols>
  <sheetData>
    <row r="1" spans="1:19" ht="24" customHeight="1" x14ac:dyDescent="0.3">
      <c r="A1" s="772" t="str">
        <f>"Thermostat Setpoints - "&amp;Prototype!A2</f>
        <v>Thermostat Setpoints - RestaurantSitDown</v>
      </c>
      <c r="B1" s="772"/>
      <c r="C1" s="772"/>
      <c r="D1" s="772"/>
      <c r="E1" s="772"/>
      <c r="F1" s="772"/>
      <c r="G1" s="772"/>
      <c r="H1" s="772"/>
      <c r="I1" s="772"/>
      <c r="J1" s="772"/>
      <c r="K1" s="772"/>
      <c r="L1" s="772"/>
      <c r="M1" s="772"/>
      <c r="N1" s="772"/>
      <c r="O1" s="772"/>
      <c r="P1" s="772"/>
      <c r="Q1" s="772"/>
      <c r="R1" s="772"/>
      <c r="S1" s="772"/>
    </row>
    <row r="2" spans="1:19" ht="27.6" customHeight="1" x14ac:dyDescent="0.3">
      <c r="A2" s="63" t="s">
        <v>163</v>
      </c>
      <c r="B2" s="63" t="s">
        <v>336</v>
      </c>
      <c r="C2" s="64" t="s">
        <v>192</v>
      </c>
      <c r="D2" s="64" t="s">
        <v>193</v>
      </c>
      <c r="E2" s="64" t="s">
        <v>194</v>
      </c>
      <c r="F2" s="64" t="s">
        <v>195</v>
      </c>
      <c r="G2" s="64" t="s">
        <v>196</v>
      </c>
      <c r="H2" s="64" t="s">
        <v>197</v>
      </c>
      <c r="I2" s="64" t="s">
        <v>198</v>
      </c>
      <c r="J2" s="64" t="s">
        <v>199</v>
      </c>
      <c r="K2" s="64" t="s">
        <v>200</v>
      </c>
      <c r="L2" s="64" t="s">
        <v>201</v>
      </c>
      <c r="M2" s="64" t="s">
        <v>202</v>
      </c>
      <c r="N2" s="64" t="s">
        <v>203</v>
      </c>
      <c r="O2" s="64" t="s">
        <v>204</v>
      </c>
      <c r="P2" s="64" t="s">
        <v>205</v>
      </c>
      <c r="Q2" s="64" t="s">
        <v>206</v>
      </c>
      <c r="R2" s="64" t="s">
        <v>207</v>
      </c>
      <c r="S2" s="114" t="s">
        <v>244</v>
      </c>
    </row>
    <row r="3" spans="1:19" ht="20.399999999999999" customHeight="1" x14ac:dyDescent="0.3">
      <c r="A3" s="809" t="s">
        <v>100</v>
      </c>
      <c r="B3" s="709" t="s">
        <v>337</v>
      </c>
      <c r="C3" s="30">
        <v>70</v>
      </c>
      <c r="D3" s="30">
        <v>70</v>
      </c>
      <c r="E3" s="30">
        <v>70</v>
      </c>
      <c r="F3" s="30">
        <v>70</v>
      </c>
      <c r="G3" s="30">
        <v>70</v>
      </c>
      <c r="H3" s="30">
        <v>70</v>
      </c>
      <c r="I3" s="30">
        <v>70</v>
      </c>
      <c r="J3" s="30">
        <v>70</v>
      </c>
      <c r="K3" s="30">
        <v>70</v>
      </c>
      <c r="L3" s="30">
        <v>70</v>
      </c>
      <c r="M3" s="30">
        <v>70</v>
      </c>
      <c r="N3" s="30">
        <v>70</v>
      </c>
      <c r="O3" s="30">
        <v>70</v>
      </c>
      <c r="P3" s="30">
        <v>70</v>
      </c>
      <c r="Q3" s="30">
        <v>70</v>
      </c>
      <c r="R3" s="30">
        <v>70</v>
      </c>
      <c r="S3" s="810" t="s">
        <v>338</v>
      </c>
    </row>
    <row r="4" spans="1:19" ht="20.399999999999999" customHeight="1" x14ac:dyDescent="0.3">
      <c r="A4" s="809"/>
      <c r="B4" s="709" t="s">
        <v>339</v>
      </c>
      <c r="C4" s="30">
        <v>60</v>
      </c>
      <c r="D4" s="30">
        <v>60</v>
      </c>
      <c r="E4" s="30">
        <v>60</v>
      </c>
      <c r="F4" s="30">
        <v>60</v>
      </c>
      <c r="G4" s="30">
        <v>60</v>
      </c>
      <c r="H4" s="30">
        <v>60</v>
      </c>
      <c r="I4" s="30">
        <v>60</v>
      </c>
      <c r="J4" s="30">
        <v>60</v>
      </c>
      <c r="K4" s="30">
        <v>60</v>
      </c>
      <c r="L4" s="30">
        <v>60</v>
      </c>
      <c r="M4" s="30">
        <v>60</v>
      </c>
      <c r="N4" s="30">
        <v>60</v>
      </c>
      <c r="O4" s="30">
        <v>60</v>
      </c>
      <c r="P4" s="30">
        <v>60</v>
      </c>
      <c r="Q4" s="30">
        <v>60</v>
      </c>
      <c r="R4" s="30">
        <v>60</v>
      </c>
      <c r="S4" s="810"/>
    </row>
    <row r="5" spans="1:19" ht="20.399999999999999" customHeight="1" x14ac:dyDescent="0.3">
      <c r="A5" s="809"/>
      <c r="B5" s="709" t="s">
        <v>340</v>
      </c>
      <c r="C5" s="30">
        <v>75</v>
      </c>
      <c r="D5" s="30">
        <v>75</v>
      </c>
      <c r="E5" s="30">
        <v>75</v>
      </c>
      <c r="F5" s="30">
        <v>75</v>
      </c>
      <c r="G5" s="30">
        <v>75</v>
      </c>
      <c r="H5" s="30">
        <v>75</v>
      </c>
      <c r="I5" s="30">
        <v>75</v>
      </c>
      <c r="J5" s="30">
        <v>75</v>
      </c>
      <c r="K5" s="30">
        <v>75</v>
      </c>
      <c r="L5" s="30">
        <v>75</v>
      </c>
      <c r="M5" s="30">
        <v>75</v>
      </c>
      <c r="N5" s="30">
        <v>75</v>
      </c>
      <c r="O5" s="30">
        <v>75</v>
      </c>
      <c r="P5" s="30">
        <v>75</v>
      </c>
      <c r="Q5" s="30">
        <v>75</v>
      </c>
      <c r="R5" s="30">
        <v>75</v>
      </c>
      <c r="S5" s="810"/>
    </row>
    <row r="6" spans="1:19" ht="20.399999999999999" customHeight="1" x14ac:dyDescent="0.3">
      <c r="A6" s="809"/>
      <c r="B6" s="709" t="s">
        <v>341</v>
      </c>
      <c r="C6" s="30">
        <v>85</v>
      </c>
      <c r="D6" s="30">
        <v>85</v>
      </c>
      <c r="E6" s="30">
        <v>85</v>
      </c>
      <c r="F6" s="30">
        <v>85</v>
      </c>
      <c r="G6" s="30">
        <v>85</v>
      </c>
      <c r="H6" s="30">
        <v>85</v>
      </c>
      <c r="I6" s="30">
        <v>85</v>
      </c>
      <c r="J6" s="30">
        <v>85</v>
      </c>
      <c r="K6" s="30">
        <v>85</v>
      </c>
      <c r="L6" s="30">
        <v>85</v>
      </c>
      <c r="M6" s="30">
        <v>85</v>
      </c>
      <c r="N6" s="30">
        <v>85</v>
      </c>
      <c r="O6" s="30">
        <v>85</v>
      </c>
      <c r="P6" s="30">
        <v>85</v>
      </c>
      <c r="Q6" s="30">
        <v>85</v>
      </c>
      <c r="R6" s="30">
        <v>85</v>
      </c>
      <c r="S6" s="810"/>
    </row>
    <row r="7" spans="1:19" ht="20.399999999999999" customHeight="1" x14ac:dyDescent="0.3">
      <c r="A7" s="809" t="s">
        <v>80</v>
      </c>
      <c r="B7" s="709" t="s">
        <v>337</v>
      </c>
      <c r="C7" s="30">
        <v>66</v>
      </c>
      <c r="D7" s="30">
        <v>66</v>
      </c>
      <c r="E7" s="30">
        <v>66</v>
      </c>
      <c r="F7" s="30">
        <v>66</v>
      </c>
      <c r="G7" s="30">
        <v>66</v>
      </c>
      <c r="H7" s="30">
        <v>66</v>
      </c>
      <c r="I7" s="30">
        <v>66</v>
      </c>
      <c r="J7" s="30">
        <v>66</v>
      </c>
      <c r="K7" s="30">
        <v>66</v>
      </c>
      <c r="L7" s="30">
        <v>66</v>
      </c>
      <c r="M7" s="30">
        <v>66</v>
      </c>
      <c r="N7" s="30">
        <v>66</v>
      </c>
      <c r="O7" s="30">
        <v>66</v>
      </c>
      <c r="P7" s="30">
        <v>66</v>
      </c>
      <c r="Q7" s="30">
        <v>66</v>
      </c>
      <c r="R7" s="30">
        <v>66</v>
      </c>
      <c r="S7" s="811" t="s">
        <v>342</v>
      </c>
    </row>
    <row r="8" spans="1:19" ht="20.399999999999999" customHeight="1" x14ac:dyDescent="0.3">
      <c r="A8" s="809"/>
      <c r="B8" s="709" t="s">
        <v>339</v>
      </c>
      <c r="C8" s="30">
        <v>60</v>
      </c>
      <c r="D8" s="30">
        <v>60</v>
      </c>
      <c r="E8" s="30">
        <v>60</v>
      </c>
      <c r="F8" s="30">
        <v>60</v>
      </c>
      <c r="G8" s="30">
        <v>60</v>
      </c>
      <c r="H8" s="30">
        <v>60</v>
      </c>
      <c r="I8" s="30">
        <v>60</v>
      </c>
      <c r="J8" s="30">
        <v>60</v>
      </c>
      <c r="K8" s="30">
        <v>60</v>
      </c>
      <c r="L8" s="30">
        <v>60</v>
      </c>
      <c r="M8" s="30">
        <v>60</v>
      </c>
      <c r="N8" s="30">
        <v>60</v>
      </c>
      <c r="O8" s="30">
        <v>60</v>
      </c>
      <c r="P8" s="30">
        <v>60</v>
      </c>
      <c r="Q8" s="30">
        <v>60</v>
      </c>
      <c r="R8" s="30">
        <v>60</v>
      </c>
      <c r="S8" s="811"/>
    </row>
    <row r="9" spans="1:19" ht="20.399999999999999" customHeight="1" x14ac:dyDescent="0.3">
      <c r="A9" s="809"/>
      <c r="B9" s="709" t="s">
        <v>340</v>
      </c>
      <c r="C9" s="30">
        <v>79</v>
      </c>
      <c r="D9" s="30">
        <v>79</v>
      </c>
      <c r="E9" s="30">
        <v>79</v>
      </c>
      <c r="F9" s="30">
        <v>79</v>
      </c>
      <c r="G9" s="30">
        <v>79</v>
      </c>
      <c r="H9" s="30">
        <v>79</v>
      </c>
      <c r="I9" s="30">
        <v>79</v>
      </c>
      <c r="J9" s="30">
        <v>79</v>
      </c>
      <c r="K9" s="30">
        <v>79</v>
      </c>
      <c r="L9" s="30">
        <v>79</v>
      </c>
      <c r="M9" s="30">
        <v>79</v>
      </c>
      <c r="N9" s="30">
        <v>79</v>
      </c>
      <c r="O9" s="30">
        <v>79</v>
      </c>
      <c r="P9" s="30">
        <v>79</v>
      </c>
      <c r="Q9" s="30">
        <v>79</v>
      </c>
      <c r="R9" s="30">
        <v>79</v>
      </c>
      <c r="S9" s="811"/>
    </row>
    <row r="10" spans="1:19" ht="20.399999999999999" customHeight="1" x14ac:dyDescent="0.3">
      <c r="A10" s="809"/>
      <c r="B10" s="709" t="s">
        <v>341</v>
      </c>
      <c r="C10" s="30">
        <v>86</v>
      </c>
      <c r="D10" s="30">
        <v>86</v>
      </c>
      <c r="E10" s="30">
        <v>86</v>
      </c>
      <c r="F10" s="30">
        <v>86</v>
      </c>
      <c r="G10" s="30">
        <v>86</v>
      </c>
      <c r="H10" s="30">
        <v>86</v>
      </c>
      <c r="I10" s="30">
        <v>86</v>
      </c>
      <c r="J10" s="30">
        <v>86</v>
      </c>
      <c r="K10" s="30">
        <v>86</v>
      </c>
      <c r="L10" s="30">
        <v>86</v>
      </c>
      <c r="M10" s="30">
        <v>86</v>
      </c>
      <c r="N10" s="30">
        <v>86</v>
      </c>
      <c r="O10" s="30">
        <v>86</v>
      </c>
      <c r="P10" s="30">
        <v>86</v>
      </c>
      <c r="Q10" s="30">
        <v>86</v>
      </c>
      <c r="R10" s="30">
        <v>86</v>
      </c>
      <c r="S10" s="811"/>
    </row>
    <row r="12" spans="1:19" x14ac:dyDescent="0.3">
      <c r="A12" s="223" t="s">
        <v>343</v>
      </c>
      <c r="B12" s="223"/>
      <c r="C12" s="223"/>
      <c r="D12" s="223"/>
      <c r="E12" s="223"/>
      <c r="F12" s="223"/>
    </row>
    <row r="13" spans="1:19" x14ac:dyDescent="0.3">
      <c r="A13" s="223" t="s">
        <v>344</v>
      </c>
      <c r="B13" s="395"/>
      <c r="C13" s="223"/>
      <c r="D13" s="223"/>
      <c r="E13" s="223"/>
      <c r="F13" s="223"/>
    </row>
    <row r="15" spans="1:19" x14ac:dyDescent="0.3">
      <c r="A15" s="223" t="s">
        <v>345</v>
      </c>
    </row>
  </sheetData>
  <mergeCells count="5">
    <mergeCell ref="A3:A6"/>
    <mergeCell ref="A1:S1"/>
    <mergeCell ref="S3:S6"/>
    <mergeCell ref="A7:A10"/>
    <mergeCell ref="S7:S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K368"/>
  <sheetViews>
    <sheetView zoomScale="70" zoomScaleNormal="70" workbookViewId="0">
      <selection sqref="A1:K1"/>
    </sheetView>
  </sheetViews>
  <sheetFormatPr defaultColWidth="9.33203125" defaultRowHeight="13.8" x14ac:dyDescent="0.25"/>
  <cols>
    <col min="1" max="1" width="32.44140625" style="52" customWidth="1"/>
    <col min="2" max="2" width="15.33203125" style="52" customWidth="1"/>
    <col min="3" max="3" width="19.33203125" style="52" customWidth="1"/>
    <col min="4" max="4" width="31.5546875" style="52" customWidth="1"/>
    <col min="5" max="5" width="27.33203125" style="52" customWidth="1"/>
    <col min="6" max="6" width="31.44140625" style="52" customWidth="1"/>
    <col min="7" max="7" width="16" style="52" customWidth="1"/>
    <col min="8" max="8" width="15.33203125" style="52" customWidth="1"/>
    <col min="9" max="9" width="16.88671875" style="52" customWidth="1"/>
    <col min="10" max="10" width="13.6640625" style="52" customWidth="1"/>
    <col min="11" max="11" width="30.5546875" style="52" customWidth="1"/>
    <col min="12" max="12" width="13.6640625" style="52" customWidth="1"/>
    <col min="13" max="13" width="11.6640625" style="52" customWidth="1"/>
    <col min="14" max="14" width="13.6640625" style="52" customWidth="1"/>
    <col min="15" max="15" width="12.33203125" style="52" customWidth="1"/>
    <col min="16" max="16" width="13.6640625" style="52" customWidth="1"/>
    <col min="17" max="17" width="12.33203125" style="52" customWidth="1"/>
    <col min="18" max="18" width="13.6640625" style="52" customWidth="1"/>
    <col min="19" max="19" width="11.6640625" style="52" customWidth="1"/>
    <col min="20" max="21" width="10.6640625" style="52" customWidth="1"/>
    <col min="22" max="22" width="9.33203125" style="52"/>
    <col min="23" max="27" width="11.33203125" style="52" customWidth="1"/>
    <col min="28" max="16384" width="9.33203125" style="52"/>
  </cols>
  <sheetData>
    <row r="1" spans="1:11" ht="24.6" customHeight="1" x14ac:dyDescent="0.25">
      <c r="A1" s="772" t="str">
        <f>"Outdoor Airflow Rate - "&amp;Prototype!A2</f>
        <v>Outdoor Airflow Rate - RestaurantSitDown</v>
      </c>
      <c r="B1" s="772"/>
      <c r="C1" s="772"/>
      <c r="D1" s="772"/>
      <c r="E1" s="772"/>
      <c r="F1" s="772"/>
      <c r="G1" s="772"/>
      <c r="H1" s="772"/>
      <c r="I1" s="772"/>
      <c r="J1" s="772"/>
      <c r="K1" s="772"/>
    </row>
    <row r="2" spans="1:11" ht="43.2" customHeight="1" x14ac:dyDescent="0.25">
      <c r="A2" s="135" t="s">
        <v>163</v>
      </c>
      <c r="B2" s="147" t="s">
        <v>172</v>
      </c>
      <c r="C2" s="147" t="s">
        <v>346</v>
      </c>
      <c r="D2" s="142" t="s">
        <v>347</v>
      </c>
      <c r="E2" s="142" t="s">
        <v>348</v>
      </c>
      <c r="F2" s="142" t="s">
        <v>349</v>
      </c>
      <c r="G2" s="142" t="s">
        <v>350</v>
      </c>
      <c r="H2" s="142" t="s">
        <v>351</v>
      </c>
      <c r="I2" s="142" t="s">
        <v>352</v>
      </c>
      <c r="J2" s="135" t="s">
        <v>353</v>
      </c>
      <c r="K2" s="135" t="s">
        <v>42</v>
      </c>
    </row>
    <row r="3" spans="1:11" ht="28.95" customHeight="1" x14ac:dyDescent="0.25">
      <c r="A3" s="148" t="str">
        <f>Zones!B3</f>
        <v>Dining</v>
      </c>
      <c r="B3" s="141">
        <f>Zones!K3</f>
        <v>132.04818</v>
      </c>
      <c r="C3" s="141">
        <f>Zones!H3</f>
        <v>4001.46</v>
      </c>
      <c r="D3" s="141">
        <v>15</v>
      </c>
      <c r="E3" s="699">
        <v>0.15</v>
      </c>
      <c r="F3" s="392" t="s">
        <v>354</v>
      </c>
      <c r="G3" s="144">
        <f>B3*D3</f>
        <v>1980.7227</v>
      </c>
      <c r="H3" s="144">
        <f t="shared" ref="G3:H4" si="0">C3*E3</f>
        <v>600.21899999999994</v>
      </c>
      <c r="I3" s="145">
        <f>4*50</f>
        <v>200</v>
      </c>
      <c r="J3" s="144">
        <f>MAX(G3:I3)</f>
        <v>1980.7227</v>
      </c>
      <c r="K3" s="209"/>
    </row>
    <row r="4" spans="1:11" ht="28.95" customHeight="1" x14ac:dyDescent="0.25">
      <c r="A4" s="148" t="str">
        <f>Zones!B4</f>
        <v>Kitchen</v>
      </c>
      <c r="B4" s="141">
        <f>Zones!K4</f>
        <v>4.5016499999999997</v>
      </c>
      <c r="C4" s="141">
        <f>Zones!H4</f>
        <v>1500.55</v>
      </c>
      <c r="D4" s="141">
        <v>15</v>
      </c>
      <c r="E4" s="699">
        <v>0.15</v>
      </c>
      <c r="F4" s="149" t="s">
        <v>355</v>
      </c>
      <c r="G4" s="144">
        <f t="shared" si="0"/>
        <v>67.524749999999997</v>
      </c>
      <c r="H4" s="144">
        <f t="shared" si="0"/>
        <v>225.08249999999998</v>
      </c>
      <c r="I4" s="396">
        <f>0.7*C4</f>
        <v>1050.385</v>
      </c>
      <c r="J4" s="144">
        <f t="shared" ref="J4" si="1">MAX(G4:I4)</f>
        <v>1050.385</v>
      </c>
      <c r="K4" s="209"/>
    </row>
    <row r="5" spans="1:11" ht="28.95" customHeight="1" x14ac:dyDescent="0.25">
      <c r="A5" s="148" t="str">
        <f>Zones!B5</f>
        <v>Attic</v>
      </c>
      <c r="B5" s="148"/>
      <c r="C5" s="148"/>
      <c r="D5" s="148"/>
      <c r="E5" s="148"/>
      <c r="F5" s="148"/>
      <c r="G5" s="148"/>
      <c r="H5" s="148"/>
      <c r="I5" s="148"/>
      <c r="J5" s="148"/>
      <c r="K5" s="148"/>
    </row>
    <row r="6" spans="1:11" x14ac:dyDescent="0.25">
      <c r="A6" s="3"/>
      <c r="B6" s="3"/>
      <c r="C6" s="3"/>
      <c r="D6" s="3"/>
      <c r="E6" s="3"/>
      <c r="F6" s="3"/>
      <c r="G6" s="3"/>
      <c r="H6" s="3"/>
      <c r="I6" s="3"/>
      <c r="J6" s="3"/>
      <c r="K6" s="3"/>
    </row>
    <row r="7" spans="1:11" x14ac:dyDescent="0.25">
      <c r="A7" s="82" t="s">
        <v>356</v>
      </c>
      <c r="B7" s="5"/>
      <c r="C7" s="5"/>
      <c r="D7" s="5"/>
      <c r="E7" s="5"/>
      <c r="F7" s="3"/>
      <c r="G7" s="3"/>
      <c r="H7" s="3"/>
      <c r="I7" s="3"/>
      <c r="J7" s="3"/>
      <c r="K7" s="3"/>
    </row>
    <row r="8" spans="1:11" x14ac:dyDescent="0.25">
      <c r="A8" s="5"/>
      <c r="B8" s="5"/>
      <c r="C8" s="5"/>
      <c r="D8" s="5"/>
      <c r="E8" s="5"/>
      <c r="F8" s="3"/>
      <c r="G8" s="3"/>
      <c r="H8" s="3"/>
      <c r="I8" s="3"/>
      <c r="J8" s="3"/>
      <c r="K8" s="3"/>
    </row>
    <row r="9" spans="1:11" x14ac:dyDescent="0.25">
      <c r="A9" s="3"/>
      <c r="B9" s="3"/>
      <c r="C9" s="3"/>
      <c r="D9" s="3"/>
      <c r="E9" s="3"/>
      <c r="F9" s="3"/>
      <c r="G9" s="3"/>
      <c r="H9" s="3"/>
      <c r="I9" s="3"/>
      <c r="J9" s="3"/>
      <c r="K9" s="3"/>
    </row>
    <row r="10" spans="1:11" ht="15.6" customHeight="1" x14ac:dyDescent="0.25">
      <c r="A10" s="816" t="s">
        <v>357</v>
      </c>
      <c r="B10" s="816"/>
      <c r="C10" s="816"/>
      <c r="D10" s="816"/>
      <c r="E10" s="816"/>
      <c r="F10" s="816"/>
      <c r="G10" s="200"/>
      <c r="H10" s="200"/>
      <c r="I10" s="200"/>
      <c r="J10" s="200"/>
      <c r="K10" s="3"/>
    </row>
    <row r="11" spans="1:11" ht="52.8" x14ac:dyDescent="0.25">
      <c r="A11" s="812" t="s">
        <v>358</v>
      </c>
      <c r="B11" s="813"/>
      <c r="C11" s="197" t="s">
        <v>359</v>
      </c>
      <c r="D11" s="197" t="s">
        <v>360</v>
      </c>
      <c r="E11" s="198" t="s">
        <v>361</v>
      </c>
      <c r="F11" s="198" t="s">
        <v>362</v>
      </c>
      <c r="G11" s="201"/>
      <c r="H11" s="688"/>
      <c r="I11" s="688"/>
      <c r="J11" s="688"/>
      <c r="K11" s="3"/>
    </row>
    <row r="12" spans="1:11" ht="21" customHeight="1" x14ac:dyDescent="0.25">
      <c r="A12" s="814" t="s">
        <v>363</v>
      </c>
      <c r="B12" s="815"/>
      <c r="C12" s="228">
        <v>210</v>
      </c>
      <c r="D12" s="229">
        <f>B26</f>
        <v>21.5</v>
      </c>
      <c r="E12" s="231">
        <f>D12*C12</f>
        <v>4515</v>
      </c>
      <c r="F12" s="199"/>
      <c r="G12" s="121"/>
      <c r="H12" s="121"/>
      <c r="I12" s="121"/>
      <c r="J12" s="688"/>
      <c r="K12" s="3"/>
    </row>
    <row r="13" spans="1:11" x14ac:dyDescent="0.25">
      <c r="A13" s="225"/>
      <c r="B13" s="225"/>
      <c r="C13" s="163"/>
      <c r="D13" s="226"/>
      <c r="E13" s="71"/>
      <c r="F13" s="214"/>
      <c r="G13" s="121"/>
      <c r="H13" s="121"/>
      <c r="I13" s="121"/>
      <c r="J13" s="688"/>
      <c r="K13" s="3"/>
    </row>
    <row r="14" spans="1:11" x14ac:dyDescent="0.25">
      <c r="A14" s="34" t="s">
        <v>364</v>
      </c>
      <c r="B14" s="688"/>
      <c r="C14" s="688"/>
      <c r="D14" s="688"/>
      <c r="E14" s="688"/>
      <c r="F14" s="688"/>
      <c r="G14" s="688"/>
      <c r="H14" s="688"/>
      <c r="I14" s="688"/>
      <c r="J14" s="688"/>
      <c r="K14" s="3"/>
    </row>
    <row r="15" spans="1:11" x14ac:dyDescent="0.25">
      <c r="A15" s="34"/>
      <c r="B15" s="121"/>
      <c r="C15" s="121"/>
      <c r="D15" s="688"/>
      <c r="E15" s="121"/>
      <c r="F15" s="121"/>
      <c r="G15" s="121"/>
      <c r="H15" s="121"/>
      <c r="I15" s="121"/>
      <c r="J15" s="688"/>
      <c r="K15" s="3"/>
    </row>
    <row r="16" spans="1:11" ht="19.2" customHeight="1" x14ac:dyDescent="0.25">
      <c r="A16" s="820" t="s">
        <v>365</v>
      </c>
      <c r="B16" s="820"/>
      <c r="C16" s="820"/>
      <c r="D16" s="820"/>
      <c r="E16" s="230"/>
      <c r="F16" s="121"/>
      <c r="G16" s="121"/>
      <c r="H16" s="121"/>
      <c r="I16" s="121"/>
      <c r="J16" s="688"/>
      <c r="K16" s="3"/>
    </row>
    <row r="17" spans="1:11" x14ac:dyDescent="0.25">
      <c r="A17" s="197" t="s">
        <v>366</v>
      </c>
      <c r="B17" s="197" t="s">
        <v>3</v>
      </c>
      <c r="C17" s="197" t="s">
        <v>367</v>
      </c>
      <c r="D17" s="197" t="s">
        <v>244</v>
      </c>
      <c r="E17" s="121"/>
      <c r="F17" s="121"/>
      <c r="G17" s="121"/>
      <c r="H17" s="121"/>
      <c r="I17" s="121"/>
      <c r="J17" s="688"/>
      <c r="K17" s="3"/>
    </row>
    <row r="18" spans="1:11" ht="13.95" customHeight="1" x14ac:dyDescent="0.25">
      <c r="A18" s="380" t="s">
        <v>368</v>
      </c>
      <c r="B18" s="699">
        <v>3</v>
      </c>
      <c r="C18" s="699">
        <v>3.75</v>
      </c>
      <c r="D18" s="821" t="s">
        <v>369</v>
      </c>
      <c r="E18" s="121"/>
      <c r="F18" s="121"/>
      <c r="G18" s="121"/>
      <c r="H18" s="121"/>
      <c r="I18" s="121"/>
      <c r="J18" s="688"/>
      <c r="K18" s="3"/>
    </row>
    <row r="19" spans="1:11" ht="37.950000000000003" customHeight="1" x14ac:dyDescent="0.25">
      <c r="A19" s="381" t="s">
        <v>370</v>
      </c>
      <c r="B19" s="379">
        <v>1</v>
      </c>
      <c r="C19" s="699">
        <v>1.25</v>
      </c>
      <c r="D19" s="821"/>
      <c r="E19" s="121"/>
      <c r="F19" s="121"/>
      <c r="G19" s="121"/>
      <c r="H19" s="121"/>
      <c r="I19" s="121"/>
      <c r="J19" s="3"/>
      <c r="K19" s="3"/>
    </row>
    <row r="20" spans="1:11" x14ac:dyDescent="0.25">
      <c r="A20" s="380" t="s">
        <v>371</v>
      </c>
      <c r="B20" s="699">
        <v>1</v>
      </c>
      <c r="C20" s="699">
        <v>6</v>
      </c>
      <c r="D20" s="821"/>
      <c r="E20" s="121"/>
      <c r="F20" s="121"/>
      <c r="G20" s="121"/>
      <c r="H20" s="121"/>
      <c r="I20" s="121"/>
      <c r="J20" s="3"/>
      <c r="K20" s="3"/>
    </row>
    <row r="21" spans="1:11" ht="13.95" customHeight="1" x14ac:dyDescent="0.25">
      <c r="A21" s="380" t="s">
        <v>372</v>
      </c>
      <c r="B21" s="699">
        <v>1</v>
      </c>
      <c r="C21" s="699">
        <v>1</v>
      </c>
      <c r="D21" s="821"/>
      <c r="E21" s="3"/>
      <c r="F21" s="3"/>
      <c r="G21" s="3"/>
      <c r="H21" s="3"/>
      <c r="I21" s="3"/>
      <c r="J21" s="3"/>
      <c r="K21" s="3"/>
    </row>
    <row r="22" spans="1:11" ht="13.95" customHeight="1" x14ac:dyDescent="0.25">
      <c r="A22" s="380" t="s">
        <v>373</v>
      </c>
      <c r="B22" s="699">
        <v>4</v>
      </c>
      <c r="C22" s="699">
        <v>2</v>
      </c>
      <c r="D22" s="821"/>
      <c r="E22" s="3"/>
      <c r="F22" s="3"/>
      <c r="G22" s="3"/>
      <c r="H22" s="3"/>
      <c r="I22" s="3"/>
      <c r="J22" s="3"/>
      <c r="K22" s="3"/>
    </row>
    <row r="23" spans="1:11" x14ac:dyDescent="0.25">
      <c r="A23" s="377" t="s">
        <v>374</v>
      </c>
      <c r="B23" s="699">
        <v>1</v>
      </c>
      <c r="C23" s="699">
        <v>4</v>
      </c>
      <c r="D23" s="821"/>
      <c r="E23" s="3"/>
      <c r="F23" s="3"/>
      <c r="G23" s="3"/>
      <c r="H23" s="3"/>
      <c r="I23" s="3"/>
      <c r="J23" s="3"/>
      <c r="K23" s="3"/>
    </row>
    <row r="24" spans="1:11" ht="26.4" x14ac:dyDescent="0.25">
      <c r="A24" s="382" t="s">
        <v>375</v>
      </c>
      <c r="B24" s="383">
        <v>1</v>
      </c>
      <c r="C24" s="383">
        <v>2.5</v>
      </c>
      <c r="D24" s="384" t="s">
        <v>376</v>
      </c>
      <c r="E24" s="3"/>
      <c r="F24" s="3"/>
      <c r="G24" s="3"/>
      <c r="H24" s="3"/>
      <c r="I24" s="3"/>
      <c r="J24" s="3"/>
      <c r="K24" s="3"/>
    </row>
    <row r="25" spans="1:11" ht="13.95" customHeight="1" x14ac:dyDescent="0.25">
      <c r="A25" s="378" t="s">
        <v>377</v>
      </c>
      <c r="B25" s="819">
        <f>SUM(C18:C24)</f>
        <v>20.5</v>
      </c>
      <c r="C25" s="819"/>
      <c r="D25" s="3"/>
      <c r="E25" s="3"/>
      <c r="F25" s="3"/>
      <c r="G25" s="3"/>
      <c r="H25" s="3"/>
      <c r="I25" s="3"/>
      <c r="J25" s="3"/>
      <c r="K25" s="3"/>
    </row>
    <row r="26" spans="1:11" x14ac:dyDescent="0.25">
      <c r="A26" s="224" t="s">
        <v>378</v>
      </c>
      <c r="B26" s="817">
        <f>B25+1</f>
        <v>21.5</v>
      </c>
      <c r="C26" s="818"/>
      <c r="D26" s="3"/>
      <c r="E26" s="3"/>
      <c r="F26" s="3"/>
      <c r="G26" s="3"/>
      <c r="H26" s="3"/>
      <c r="I26" s="3"/>
      <c r="J26" s="3"/>
      <c r="K26" s="3"/>
    </row>
    <row r="27" spans="1:11" ht="13.95" customHeight="1" x14ac:dyDescent="0.25">
      <c r="A27" s="5"/>
      <c r="B27" s="5"/>
      <c r="C27" s="5"/>
      <c r="D27" s="3"/>
      <c r="E27" s="3"/>
      <c r="F27" s="3"/>
      <c r="G27" s="3"/>
      <c r="H27" s="3"/>
      <c r="I27" s="3"/>
      <c r="J27" s="3"/>
      <c r="K27" s="3"/>
    </row>
    <row r="28" spans="1:11" x14ac:dyDescent="0.25">
      <c r="A28" s="3"/>
      <c r="B28" s="3"/>
      <c r="C28" s="3"/>
      <c r="D28" s="3"/>
      <c r="E28" s="3"/>
      <c r="F28" s="3"/>
      <c r="G28" s="3"/>
      <c r="H28" s="3"/>
      <c r="I28" s="3"/>
      <c r="J28" s="3"/>
      <c r="K28" s="3"/>
    </row>
    <row r="29" spans="1:11" ht="15.6" customHeight="1" x14ac:dyDescent="0.25">
      <c r="A29" s="5"/>
      <c r="B29" s="698"/>
      <c r="C29" s="698"/>
      <c r="D29" s="3"/>
      <c r="E29" s="3"/>
      <c r="F29" s="3"/>
      <c r="G29" s="3"/>
      <c r="H29" s="3"/>
      <c r="I29" s="3"/>
      <c r="J29" s="3"/>
      <c r="K29" s="3"/>
    </row>
    <row r="31" spans="1:11" ht="22.95" customHeight="1" x14ac:dyDescent="0.25">
      <c r="A31" s="3"/>
      <c r="B31" s="3"/>
      <c r="C31" s="3"/>
      <c r="D31" s="3"/>
      <c r="E31" s="3"/>
      <c r="F31" s="3"/>
      <c r="G31" s="3"/>
      <c r="H31" s="3"/>
      <c r="I31" s="3"/>
      <c r="J31" s="3"/>
      <c r="K31" s="3"/>
    </row>
    <row r="32" spans="1:11" s="5" customFormat="1" ht="12" hidden="1" customHeight="1" x14ac:dyDescent="0.25"/>
    <row r="33" spans="1:5" s="23" customFormat="1" ht="18" hidden="1" customHeight="1" x14ac:dyDescent="0.25">
      <c r="A33" s="23" t="s">
        <v>81</v>
      </c>
    </row>
    <row r="34" spans="1:5" s="5" customFormat="1" ht="13.2" hidden="1" x14ac:dyDescent="0.25"/>
    <row r="35" spans="1:5" hidden="1" x14ac:dyDescent="0.25">
      <c r="A35" s="227" t="s">
        <v>379</v>
      </c>
      <c r="B35" s="3"/>
      <c r="C35" s="3"/>
      <c r="D35" s="3"/>
      <c r="E35" s="3"/>
    </row>
    <row r="36" spans="1:5" hidden="1" x14ac:dyDescent="0.25">
      <c r="A36" s="3"/>
      <c r="B36" s="3"/>
      <c r="C36" s="3"/>
      <c r="D36" s="3"/>
      <c r="E36" s="227" t="s">
        <v>380</v>
      </c>
    </row>
    <row r="37" spans="1:5" hidden="1" x14ac:dyDescent="0.25">
      <c r="A37" s="3"/>
      <c r="B37" s="3"/>
      <c r="C37" s="3"/>
      <c r="D37" s="3"/>
      <c r="E37" s="3"/>
    </row>
    <row r="38" spans="1:5" hidden="1" x14ac:dyDescent="0.25">
      <c r="A38" s="3"/>
      <c r="B38" s="3"/>
      <c r="C38" s="3"/>
      <c r="D38" s="3"/>
      <c r="E38" s="3"/>
    </row>
    <row r="39" spans="1:5" hidden="1" x14ac:dyDescent="0.25">
      <c r="A39" s="3"/>
      <c r="B39" s="3"/>
      <c r="C39" s="3"/>
      <c r="D39" s="3"/>
      <c r="E39" s="3"/>
    </row>
    <row r="40" spans="1:5" hidden="1" x14ac:dyDescent="0.25">
      <c r="A40" s="3"/>
      <c r="B40" s="3"/>
      <c r="C40" s="3"/>
      <c r="D40" s="3"/>
      <c r="E40" s="3"/>
    </row>
    <row r="41" spans="1:5" hidden="1" x14ac:dyDescent="0.25">
      <c r="A41" s="3"/>
      <c r="B41" s="3"/>
      <c r="C41" s="3"/>
      <c r="D41" s="3"/>
      <c r="E41" s="3"/>
    </row>
    <row r="42" spans="1:5" hidden="1" x14ac:dyDescent="0.25">
      <c r="A42" s="3"/>
      <c r="B42" s="3"/>
      <c r="C42" s="3"/>
      <c r="D42" s="3"/>
      <c r="E42" s="3"/>
    </row>
    <row r="43" spans="1:5" hidden="1" x14ac:dyDescent="0.25">
      <c r="A43" s="3"/>
      <c r="B43" s="3"/>
      <c r="C43" s="3"/>
      <c r="D43" s="3"/>
      <c r="E43" s="3"/>
    </row>
    <row r="44" spans="1:5" hidden="1" x14ac:dyDescent="0.25">
      <c r="A44" s="3"/>
      <c r="B44" s="3"/>
      <c r="C44" s="3"/>
      <c r="D44" s="3"/>
      <c r="E44" s="3"/>
    </row>
    <row r="45" spans="1:5" hidden="1" x14ac:dyDescent="0.25">
      <c r="A45" s="3"/>
      <c r="B45" s="3"/>
      <c r="C45" s="3"/>
      <c r="D45" s="3"/>
      <c r="E45" s="3"/>
    </row>
    <row r="46" spans="1:5" hidden="1" x14ac:dyDescent="0.25">
      <c r="A46" s="3"/>
      <c r="B46" s="3"/>
      <c r="C46" s="3"/>
      <c r="D46" s="3"/>
      <c r="E46" s="3"/>
    </row>
    <row r="47" spans="1:5" hidden="1" x14ac:dyDescent="0.25">
      <c r="A47" s="3"/>
      <c r="B47" s="3"/>
      <c r="C47" s="3"/>
      <c r="D47" s="3"/>
      <c r="E47" s="3"/>
    </row>
    <row r="48" spans="1:5" hidden="1" x14ac:dyDescent="0.25">
      <c r="A48" s="3"/>
      <c r="B48" s="3"/>
      <c r="C48" s="3"/>
      <c r="D48" s="3"/>
      <c r="E48" s="3"/>
    </row>
    <row r="49" spans="1:5" hidden="1" x14ac:dyDescent="0.25">
      <c r="A49" s="3"/>
      <c r="B49" s="3"/>
      <c r="C49" s="3"/>
      <c r="D49" s="3"/>
      <c r="E49" s="3"/>
    </row>
    <row r="50" spans="1:5" hidden="1" x14ac:dyDescent="0.25">
      <c r="A50" s="3"/>
      <c r="B50" s="3"/>
      <c r="C50" s="3"/>
      <c r="D50" s="3"/>
      <c r="E50" s="3"/>
    </row>
    <row r="51" spans="1:5" hidden="1" x14ac:dyDescent="0.25">
      <c r="A51" s="3"/>
      <c r="B51" s="3"/>
      <c r="C51" s="3"/>
      <c r="D51" s="3"/>
      <c r="E51" s="3"/>
    </row>
    <row r="52" spans="1:5" hidden="1" x14ac:dyDescent="0.25">
      <c r="A52" s="3"/>
      <c r="B52" s="3"/>
      <c r="C52" s="3"/>
      <c r="D52" s="3"/>
      <c r="E52" s="3"/>
    </row>
    <row r="53" spans="1:5" hidden="1" x14ac:dyDescent="0.25">
      <c r="A53" s="3"/>
      <c r="B53" s="3"/>
      <c r="C53" s="3"/>
      <c r="D53" s="3"/>
      <c r="E53" s="3"/>
    </row>
    <row r="54" spans="1:5" hidden="1" x14ac:dyDescent="0.25">
      <c r="A54" s="3"/>
      <c r="B54" s="3"/>
      <c r="C54" s="3"/>
      <c r="D54" s="3"/>
      <c r="E54" s="3"/>
    </row>
    <row r="55" spans="1:5" hidden="1" x14ac:dyDescent="0.25">
      <c r="A55" s="3"/>
      <c r="B55" s="3"/>
      <c r="C55" s="3"/>
      <c r="D55" s="3"/>
      <c r="E55" s="3"/>
    </row>
    <row r="56" spans="1:5" hidden="1" x14ac:dyDescent="0.25">
      <c r="A56" s="3"/>
      <c r="B56" s="3"/>
      <c r="C56" s="3"/>
      <c r="D56" s="3"/>
      <c r="E56" s="3"/>
    </row>
    <row r="57" spans="1:5" hidden="1" x14ac:dyDescent="0.25">
      <c r="A57" s="3"/>
      <c r="B57" s="3"/>
      <c r="C57" s="3"/>
      <c r="D57" s="3"/>
      <c r="E57" s="3"/>
    </row>
    <row r="58" spans="1:5" hidden="1" x14ac:dyDescent="0.25">
      <c r="A58" s="3"/>
      <c r="B58" s="3"/>
      <c r="C58" s="3"/>
      <c r="D58" s="3"/>
      <c r="E58" s="3"/>
    </row>
    <row r="59" spans="1:5" hidden="1" x14ac:dyDescent="0.25">
      <c r="A59" s="3"/>
      <c r="B59" s="3"/>
      <c r="C59" s="3"/>
      <c r="D59" s="3"/>
      <c r="E59" s="3"/>
    </row>
    <row r="60" spans="1:5" hidden="1" x14ac:dyDescent="0.25">
      <c r="A60" s="3"/>
      <c r="B60" s="3"/>
      <c r="C60" s="3"/>
      <c r="D60" s="3"/>
      <c r="E60" s="3"/>
    </row>
    <row r="61" spans="1:5" hidden="1" x14ac:dyDescent="0.25">
      <c r="A61" s="3"/>
      <c r="B61" s="3"/>
      <c r="C61" s="3"/>
      <c r="D61" s="3"/>
      <c r="E61" s="3"/>
    </row>
    <row r="62" spans="1:5" hidden="1" x14ac:dyDescent="0.25">
      <c r="A62" s="3"/>
      <c r="B62" s="3"/>
      <c r="C62" s="3"/>
      <c r="D62" s="3"/>
      <c r="E62" s="3"/>
    </row>
    <row r="63" spans="1:5" hidden="1" x14ac:dyDescent="0.25">
      <c r="A63" s="3"/>
      <c r="B63" s="3"/>
      <c r="C63" s="3"/>
      <c r="D63" s="3"/>
      <c r="E63" s="3"/>
    </row>
    <row r="64" spans="1:5" hidden="1" x14ac:dyDescent="0.25">
      <c r="A64" s="3"/>
      <c r="B64" s="3"/>
      <c r="C64" s="3"/>
      <c r="D64" s="3"/>
      <c r="E64" s="3"/>
    </row>
    <row r="65" spans="1:1" hidden="1" x14ac:dyDescent="0.25">
      <c r="A65" s="3"/>
    </row>
    <row r="66" spans="1:1" hidden="1" x14ac:dyDescent="0.25">
      <c r="A66" s="3"/>
    </row>
    <row r="67" spans="1:1" hidden="1" x14ac:dyDescent="0.25">
      <c r="A67" s="3"/>
    </row>
    <row r="68" spans="1:1" hidden="1" x14ac:dyDescent="0.25">
      <c r="A68" s="3"/>
    </row>
    <row r="69" spans="1:1" hidden="1" x14ac:dyDescent="0.25">
      <c r="A69" s="227" t="s">
        <v>381</v>
      </c>
    </row>
    <row r="70" spans="1:1" ht="14.4" hidden="1" x14ac:dyDescent="0.3">
      <c r="A70" s="122" t="s">
        <v>382</v>
      </c>
    </row>
    <row r="71" spans="1:1" hidden="1" x14ac:dyDescent="0.25">
      <c r="A71" s="3"/>
    </row>
    <row r="72" spans="1:1" hidden="1" x14ac:dyDescent="0.25">
      <c r="A72" s="3"/>
    </row>
    <row r="73" spans="1:1" hidden="1" x14ac:dyDescent="0.25">
      <c r="A73" s="3"/>
    </row>
    <row r="74" spans="1:1" hidden="1" x14ac:dyDescent="0.25">
      <c r="A74" s="3"/>
    </row>
    <row r="75" spans="1:1" hidden="1" x14ac:dyDescent="0.25">
      <c r="A75" s="3"/>
    </row>
    <row r="76" spans="1:1" hidden="1" x14ac:dyDescent="0.25">
      <c r="A76" s="3"/>
    </row>
    <row r="77" spans="1:1" hidden="1" x14ac:dyDescent="0.25">
      <c r="A77" s="3"/>
    </row>
    <row r="78" spans="1:1" hidden="1" x14ac:dyDescent="0.25">
      <c r="A78" s="3"/>
    </row>
    <row r="79" spans="1:1" hidden="1" x14ac:dyDescent="0.25">
      <c r="A79" s="3"/>
    </row>
    <row r="80" spans="1:1" hidden="1" x14ac:dyDescent="0.25">
      <c r="A80" s="3"/>
    </row>
    <row r="81" spans="1:1" hidden="1" x14ac:dyDescent="0.25">
      <c r="A81" s="3"/>
    </row>
    <row r="82" spans="1:1" hidden="1" x14ac:dyDescent="0.25">
      <c r="A82" s="3"/>
    </row>
    <row r="83" spans="1:1" hidden="1" x14ac:dyDescent="0.25">
      <c r="A83" s="3"/>
    </row>
    <row r="84" spans="1:1" hidden="1" x14ac:dyDescent="0.25">
      <c r="A84" s="3"/>
    </row>
    <row r="85" spans="1:1" hidden="1" x14ac:dyDescent="0.25">
      <c r="A85" s="227" t="s">
        <v>383</v>
      </c>
    </row>
    <row r="86" spans="1:1" hidden="1" x14ac:dyDescent="0.25">
      <c r="A86" s="3"/>
    </row>
    <row r="87" spans="1:1" hidden="1" x14ac:dyDescent="0.25">
      <c r="A87" s="3"/>
    </row>
    <row r="88" spans="1:1" hidden="1" x14ac:dyDescent="0.25">
      <c r="A88" s="3"/>
    </row>
    <row r="89" spans="1:1" ht="14.4" hidden="1" x14ac:dyDescent="0.3">
      <c r="A89"/>
    </row>
    <row r="90" spans="1:1" hidden="1" x14ac:dyDescent="0.25">
      <c r="A90" s="3"/>
    </row>
    <row r="91" spans="1:1" hidden="1" x14ac:dyDescent="0.25">
      <c r="A91" s="3"/>
    </row>
    <row r="92" spans="1:1" hidden="1" x14ac:dyDescent="0.25">
      <c r="A92" s="3"/>
    </row>
    <row r="93" spans="1:1" hidden="1" x14ac:dyDescent="0.25">
      <c r="A93" s="3"/>
    </row>
    <row r="94" spans="1:1" ht="14.4" hidden="1" x14ac:dyDescent="0.3">
      <c r="A94"/>
    </row>
    <row r="95" spans="1:1" hidden="1" x14ac:dyDescent="0.25">
      <c r="A95" s="3"/>
    </row>
    <row r="96" spans="1:1" hidden="1" x14ac:dyDescent="0.25">
      <c r="A96" s="3"/>
    </row>
    <row r="97" spans="1:1" hidden="1" x14ac:dyDescent="0.25">
      <c r="A97" s="3"/>
    </row>
    <row r="98" spans="1:1" hidden="1" x14ac:dyDescent="0.25">
      <c r="A98" s="3"/>
    </row>
    <row r="99" spans="1:1" hidden="1" x14ac:dyDescent="0.25">
      <c r="A99" s="3"/>
    </row>
    <row r="100" spans="1:1" hidden="1" x14ac:dyDescent="0.25">
      <c r="A100" s="3"/>
    </row>
    <row r="101" spans="1:1" hidden="1" x14ac:dyDescent="0.25">
      <c r="A101" s="3"/>
    </row>
    <row r="102" spans="1:1" hidden="1" x14ac:dyDescent="0.25">
      <c r="A102" s="3"/>
    </row>
    <row r="103" spans="1:1" hidden="1" x14ac:dyDescent="0.25">
      <c r="A103" s="3"/>
    </row>
    <row r="104" spans="1:1" hidden="1" x14ac:dyDescent="0.25">
      <c r="A104" s="3"/>
    </row>
    <row r="105" spans="1:1" hidden="1" x14ac:dyDescent="0.25">
      <c r="A105" s="3"/>
    </row>
    <row r="106" spans="1:1" hidden="1" x14ac:dyDescent="0.25">
      <c r="A106" s="3"/>
    </row>
    <row r="107" spans="1:1" hidden="1" x14ac:dyDescent="0.25">
      <c r="A107" s="3"/>
    </row>
    <row r="108" spans="1:1" hidden="1" x14ac:dyDescent="0.25">
      <c r="A108" s="3"/>
    </row>
    <row r="109" spans="1:1" hidden="1" x14ac:dyDescent="0.25">
      <c r="A109" s="3"/>
    </row>
    <row r="110" spans="1:1" hidden="1" x14ac:dyDescent="0.25">
      <c r="A110" s="3"/>
    </row>
    <row r="111" spans="1:1" hidden="1" x14ac:dyDescent="0.25">
      <c r="A111" s="3"/>
    </row>
    <row r="112" spans="1:1" hidden="1" x14ac:dyDescent="0.25">
      <c r="A112" s="3"/>
    </row>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idden="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5" hidden="1" x14ac:dyDescent="0.25"/>
    <row r="206" hidden="1" x14ac:dyDescent="0.25"/>
    <row r="207" hidden="1" x14ac:dyDescent="0.25"/>
    <row r="208" hidden="1" x14ac:dyDescent="0.25"/>
    <row r="209" hidden="1" x14ac:dyDescent="0.25"/>
    <row r="210" hidden="1" x14ac:dyDescent="0.25"/>
    <row r="211" hidden="1" x14ac:dyDescent="0.25"/>
    <row r="212" hidden="1" x14ac:dyDescent="0.25"/>
    <row r="213" hidden="1" x14ac:dyDescent="0.25"/>
    <row r="214" hidden="1" x14ac:dyDescent="0.25"/>
    <row r="215" hidden="1" x14ac:dyDescent="0.25"/>
    <row r="216" hidden="1" x14ac:dyDescent="0.25"/>
    <row r="217" hidden="1" x14ac:dyDescent="0.25"/>
    <row r="218" hidden="1" x14ac:dyDescent="0.25"/>
    <row r="219" hidden="1" x14ac:dyDescent="0.25"/>
    <row r="220" hidden="1" x14ac:dyDescent="0.25"/>
    <row r="221" hidden="1" x14ac:dyDescent="0.25"/>
    <row r="222" hidden="1" x14ac:dyDescent="0.25"/>
    <row r="223" hidden="1" x14ac:dyDescent="0.25"/>
    <row r="224" hidden="1" x14ac:dyDescent="0.25"/>
    <row r="225" hidden="1" x14ac:dyDescent="0.25"/>
    <row r="226" hidden="1" x14ac:dyDescent="0.25"/>
    <row r="227" hidden="1" x14ac:dyDescent="0.25"/>
    <row r="228" hidden="1" x14ac:dyDescent="0.25"/>
    <row r="229" hidden="1" x14ac:dyDescent="0.25"/>
    <row r="230" hidden="1" x14ac:dyDescent="0.25"/>
    <row r="231" hidden="1" x14ac:dyDescent="0.25"/>
    <row r="232" hidden="1" x14ac:dyDescent="0.25"/>
    <row r="233" hidden="1" x14ac:dyDescent="0.25"/>
    <row r="234" hidden="1" x14ac:dyDescent="0.25"/>
    <row r="235" hidden="1" x14ac:dyDescent="0.25"/>
    <row r="236" hidden="1" x14ac:dyDescent="0.25"/>
    <row r="237" hidden="1" x14ac:dyDescent="0.25"/>
    <row r="238" hidden="1" x14ac:dyDescent="0.25"/>
    <row r="239" hidden="1" x14ac:dyDescent="0.25"/>
    <row r="240" hidden="1" x14ac:dyDescent="0.25"/>
    <row r="241" hidden="1" x14ac:dyDescent="0.25"/>
    <row r="242" hidden="1" x14ac:dyDescent="0.25"/>
    <row r="243" hidden="1" x14ac:dyDescent="0.25"/>
    <row r="244" hidden="1" x14ac:dyDescent="0.25"/>
    <row r="245" hidden="1" x14ac:dyDescent="0.25"/>
    <row r="246" hidden="1" x14ac:dyDescent="0.25"/>
    <row r="247" hidden="1" x14ac:dyDescent="0.25"/>
    <row r="248" hidden="1" x14ac:dyDescent="0.25"/>
    <row r="249" hidden="1" x14ac:dyDescent="0.25"/>
    <row r="250" hidden="1" x14ac:dyDescent="0.25"/>
    <row r="251" hidden="1" x14ac:dyDescent="0.25"/>
    <row r="252" hidden="1" x14ac:dyDescent="0.25"/>
    <row r="253" hidden="1" x14ac:dyDescent="0.25"/>
    <row r="254" hidden="1" x14ac:dyDescent="0.25"/>
    <row r="255" hidden="1" x14ac:dyDescent="0.25"/>
    <row r="256" hidden="1" x14ac:dyDescent="0.25"/>
    <row r="257" hidden="1" x14ac:dyDescent="0.25"/>
    <row r="258" hidden="1" x14ac:dyDescent="0.25"/>
    <row r="259" hidden="1" x14ac:dyDescent="0.25"/>
    <row r="260" hidden="1" x14ac:dyDescent="0.25"/>
    <row r="261" hidden="1" x14ac:dyDescent="0.25"/>
    <row r="262" hidden="1" x14ac:dyDescent="0.25"/>
    <row r="263" hidden="1" x14ac:dyDescent="0.25"/>
    <row r="264" hidden="1" x14ac:dyDescent="0.25"/>
    <row r="265" hidden="1" x14ac:dyDescent="0.25"/>
    <row r="266" hidden="1" x14ac:dyDescent="0.25"/>
    <row r="267" hidden="1" x14ac:dyDescent="0.25"/>
    <row r="268" hidden="1" x14ac:dyDescent="0.25"/>
    <row r="269" hidden="1" x14ac:dyDescent="0.25"/>
    <row r="270" hidden="1" x14ac:dyDescent="0.25"/>
    <row r="271" hidden="1" x14ac:dyDescent="0.25"/>
    <row r="272" hidden="1" x14ac:dyDescent="0.25"/>
    <row r="273" hidden="1" x14ac:dyDescent="0.25"/>
    <row r="274" hidden="1" x14ac:dyDescent="0.25"/>
    <row r="275" hidden="1" x14ac:dyDescent="0.25"/>
    <row r="276" hidden="1" x14ac:dyDescent="0.25"/>
    <row r="277" hidden="1" x14ac:dyDescent="0.25"/>
    <row r="278" hidden="1" x14ac:dyDescent="0.25"/>
    <row r="279" hidden="1" x14ac:dyDescent="0.25"/>
    <row r="280" hidden="1" x14ac:dyDescent="0.25"/>
    <row r="281" hidden="1" x14ac:dyDescent="0.25"/>
    <row r="282" hidden="1" x14ac:dyDescent="0.25"/>
    <row r="283" hidden="1" x14ac:dyDescent="0.25"/>
    <row r="284" hidden="1" x14ac:dyDescent="0.25"/>
    <row r="285" hidden="1" x14ac:dyDescent="0.25"/>
    <row r="286" hidden="1" x14ac:dyDescent="0.25"/>
    <row r="287" hidden="1" x14ac:dyDescent="0.25"/>
    <row r="288" hidden="1" x14ac:dyDescent="0.25"/>
    <row r="289" hidden="1" x14ac:dyDescent="0.25"/>
    <row r="290" hidden="1" x14ac:dyDescent="0.25"/>
    <row r="291" hidden="1" x14ac:dyDescent="0.25"/>
    <row r="292" hidden="1" x14ac:dyDescent="0.25"/>
    <row r="293" hidden="1" x14ac:dyDescent="0.25"/>
    <row r="294" hidden="1" x14ac:dyDescent="0.25"/>
    <row r="295" hidden="1" x14ac:dyDescent="0.25"/>
    <row r="296" hidden="1" x14ac:dyDescent="0.25"/>
    <row r="297" hidden="1" x14ac:dyDescent="0.25"/>
    <row r="298" hidden="1" x14ac:dyDescent="0.25"/>
    <row r="299" hidden="1" x14ac:dyDescent="0.25"/>
    <row r="300" hidden="1" x14ac:dyDescent="0.25"/>
    <row r="301" hidden="1" x14ac:dyDescent="0.25"/>
    <row r="302" hidden="1" x14ac:dyDescent="0.25"/>
    <row r="303" hidden="1" x14ac:dyDescent="0.25"/>
    <row r="304" hidden="1" x14ac:dyDescent="0.25"/>
    <row r="305" hidden="1" x14ac:dyDescent="0.25"/>
    <row r="306" hidden="1" x14ac:dyDescent="0.25"/>
    <row r="307" hidden="1" x14ac:dyDescent="0.25"/>
    <row r="308" hidden="1" x14ac:dyDescent="0.25"/>
    <row r="309" hidden="1" x14ac:dyDescent="0.25"/>
    <row r="310" hidden="1" x14ac:dyDescent="0.25"/>
    <row r="311" hidden="1" x14ac:dyDescent="0.25"/>
    <row r="312" hidden="1" x14ac:dyDescent="0.25"/>
    <row r="313" hidden="1" x14ac:dyDescent="0.25"/>
    <row r="314" hidden="1" x14ac:dyDescent="0.25"/>
    <row r="315" hidden="1" x14ac:dyDescent="0.25"/>
    <row r="316" hidden="1" x14ac:dyDescent="0.25"/>
    <row r="317" hidden="1" x14ac:dyDescent="0.25"/>
    <row r="318" hidden="1" x14ac:dyDescent="0.25"/>
    <row r="319" hidden="1" x14ac:dyDescent="0.25"/>
    <row r="320" hidden="1" x14ac:dyDescent="0.25"/>
    <row r="321" hidden="1" x14ac:dyDescent="0.25"/>
    <row r="322" hidden="1" x14ac:dyDescent="0.25"/>
    <row r="323" hidden="1" x14ac:dyDescent="0.25"/>
    <row r="324" hidden="1" x14ac:dyDescent="0.25"/>
    <row r="325" hidden="1" x14ac:dyDescent="0.25"/>
    <row r="326" hidden="1" x14ac:dyDescent="0.25"/>
    <row r="327" hidden="1" x14ac:dyDescent="0.25"/>
    <row r="328" hidden="1" x14ac:dyDescent="0.25"/>
    <row r="329" hidden="1" x14ac:dyDescent="0.25"/>
    <row r="330" hidden="1" x14ac:dyDescent="0.25"/>
    <row r="331" hidden="1" x14ac:dyDescent="0.25"/>
    <row r="332" hidden="1" x14ac:dyDescent="0.25"/>
    <row r="333" hidden="1" x14ac:dyDescent="0.25"/>
    <row r="334" hidden="1" x14ac:dyDescent="0.25"/>
    <row r="335" hidden="1" x14ac:dyDescent="0.25"/>
    <row r="336" hidden="1" x14ac:dyDescent="0.25"/>
    <row r="337" hidden="1" x14ac:dyDescent="0.25"/>
    <row r="338" hidden="1" x14ac:dyDescent="0.25"/>
    <row r="339" hidden="1" x14ac:dyDescent="0.25"/>
    <row r="340" hidden="1" x14ac:dyDescent="0.25"/>
    <row r="341" hidden="1" x14ac:dyDescent="0.25"/>
    <row r="342" hidden="1" x14ac:dyDescent="0.25"/>
    <row r="343" hidden="1" x14ac:dyDescent="0.25"/>
    <row r="344" hidden="1" x14ac:dyDescent="0.25"/>
    <row r="345" hidden="1" x14ac:dyDescent="0.25"/>
    <row r="346" hidden="1" x14ac:dyDescent="0.25"/>
    <row r="347" hidden="1" x14ac:dyDescent="0.25"/>
    <row r="348" hidden="1" x14ac:dyDescent="0.25"/>
    <row r="349" hidden="1" x14ac:dyDescent="0.25"/>
    <row r="350" hidden="1" x14ac:dyDescent="0.25"/>
    <row r="351" hidden="1" x14ac:dyDescent="0.25"/>
    <row r="352" hidden="1" x14ac:dyDescent="0.25"/>
    <row r="353" hidden="1" x14ac:dyDescent="0.25"/>
    <row r="354" hidden="1" x14ac:dyDescent="0.25"/>
    <row r="355" hidden="1" x14ac:dyDescent="0.25"/>
    <row r="356" hidden="1" x14ac:dyDescent="0.25"/>
    <row r="357" hidden="1" x14ac:dyDescent="0.25"/>
    <row r="358" hidden="1" x14ac:dyDescent="0.25"/>
    <row r="359" hidden="1" x14ac:dyDescent="0.25"/>
    <row r="360" hidden="1" x14ac:dyDescent="0.25"/>
    <row r="361" hidden="1" x14ac:dyDescent="0.25"/>
    <row r="362" hidden="1" x14ac:dyDescent="0.25"/>
    <row r="363" hidden="1" x14ac:dyDescent="0.25"/>
    <row r="364" hidden="1" x14ac:dyDescent="0.25"/>
    <row r="365" hidden="1" x14ac:dyDescent="0.25"/>
    <row r="366" hidden="1" x14ac:dyDescent="0.25"/>
    <row r="367" hidden="1" x14ac:dyDescent="0.25"/>
    <row r="368" hidden="1" x14ac:dyDescent="0.25"/>
  </sheetData>
  <mergeCells count="8">
    <mergeCell ref="A1:K1"/>
    <mergeCell ref="A11:B11"/>
    <mergeCell ref="A12:B12"/>
    <mergeCell ref="A10:F10"/>
    <mergeCell ref="B26:C26"/>
    <mergeCell ref="B25:C25"/>
    <mergeCell ref="A16:D16"/>
    <mergeCell ref="D18:D23"/>
  </mergeCells>
  <phoneticPr fontId="5" type="noConversion"/>
  <hyperlinks>
    <hyperlink ref="A70" r:id="rId1" display="https://www.streivor.com/wp-content/uploads/2020/11/CKV-Design-Guide-1-Selecting-and-Sizing-Exhaust-Hoods.pdf" xr:uid="{BFBB6FFC-3575-4A37-8B57-23170F2ABE56}"/>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H38"/>
  <sheetViews>
    <sheetView tabSelected="1" zoomScaleNormal="100" workbookViewId="0">
      <selection activeCell="F15" sqref="F15"/>
    </sheetView>
  </sheetViews>
  <sheetFormatPr defaultColWidth="8.6640625" defaultRowHeight="13.2" x14ac:dyDescent="0.25"/>
  <cols>
    <col min="1" max="1" width="38.88671875" style="5" customWidth="1"/>
    <col min="2" max="2" width="19" style="5" customWidth="1"/>
    <col min="3" max="3" width="23.33203125" style="5" customWidth="1"/>
    <col min="4" max="4" width="23" style="5" customWidth="1"/>
    <col min="5" max="5" width="21.44140625" style="5" customWidth="1"/>
    <col min="6" max="6" width="25.5546875" style="5" customWidth="1"/>
    <col min="7" max="7" width="29.88671875" style="5" customWidth="1"/>
    <col min="8" max="8" width="19.6640625" style="5" customWidth="1"/>
    <col min="9" max="9" width="54.5546875" style="5" customWidth="1"/>
    <col min="10" max="10" width="9.6640625" style="5" customWidth="1"/>
    <col min="11" max="11" width="13.33203125" style="5" customWidth="1"/>
    <col min="12" max="12" width="24" style="5" customWidth="1"/>
    <col min="13" max="13" width="10.5546875" style="5" customWidth="1"/>
    <col min="14" max="14" width="11.44140625" style="5" customWidth="1"/>
    <col min="15" max="15" width="10.5546875" style="5" customWidth="1"/>
    <col min="16" max="16" width="13.33203125" style="5" customWidth="1"/>
    <col min="17" max="17" width="9.6640625" style="5" customWidth="1"/>
    <col min="18" max="18" width="9.44140625" style="5" customWidth="1"/>
    <col min="19" max="19" width="12.6640625" style="5" customWidth="1"/>
    <col min="20" max="20" width="14.6640625" style="5" customWidth="1"/>
    <col min="21" max="21" width="20.6640625" style="5" customWidth="1"/>
    <col min="22" max="22" width="19.6640625" style="5" customWidth="1"/>
    <col min="23" max="28" width="8.6640625" style="5"/>
    <col min="29" max="29" width="13.6640625" style="5" bestFit="1" customWidth="1"/>
    <col min="30" max="16384" width="8.6640625" style="5"/>
  </cols>
  <sheetData>
    <row r="1" spans="1:7" ht="25.95" customHeight="1" x14ac:dyDescent="0.25">
      <c r="A1" s="827" t="str">
        <f>"Interior Lighting - "&amp;Prototype!A2</f>
        <v>Interior Lighting - RestaurantSitDown</v>
      </c>
      <c r="B1" s="827"/>
      <c r="C1" s="827"/>
      <c r="D1" s="827"/>
      <c r="E1" s="827"/>
      <c r="F1" s="827"/>
      <c r="G1" s="827"/>
    </row>
    <row r="2" spans="1:7" ht="18.600000000000001" customHeight="1" x14ac:dyDescent="0.25">
      <c r="A2" s="828" t="s">
        <v>384</v>
      </c>
      <c r="B2" s="829" t="s">
        <v>385</v>
      </c>
      <c r="C2" s="829"/>
      <c r="D2" s="829"/>
      <c r="E2" s="829" t="s">
        <v>221</v>
      </c>
      <c r="F2" s="829"/>
      <c r="G2" s="829"/>
    </row>
    <row r="3" spans="1:7" ht="28.95" customHeight="1" x14ac:dyDescent="0.25">
      <c r="A3" s="828"/>
      <c r="B3" s="708" t="s">
        <v>386</v>
      </c>
      <c r="C3" s="708" t="s">
        <v>387</v>
      </c>
      <c r="D3" s="708" t="s">
        <v>244</v>
      </c>
      <c r="E3" s="708" t="s">
        <v>388</v>
      </c>
      <c r="F3" s="708" t="s">
        <v>387</v>
      </c>
      <c r="G3" s="708" t="s">
        <v>244</v>
      </c>
    </row>
    <row r="4" spans="1:7" ht="34.5" customHeight="1" x14ac:dyDescent="0.25">
      <c r="A4" s="233" t="str">
        <f>Zones!C3</f>
        <v>Dining Area (Bar/Lounge and Fine Dining)</v>
      </c>
      <c r="B4" s="711">
        <v>0.45</v>
      </c>
      <c r="C4" s="711" t="s">
        <v>389</v>
      </c>
      <c r="D4" s="826" t="s">
        <v>390</v>
      </c>
      <c r="E4" s="710">
        <v>1</v>
      </c>
      <c r="F4" s="235" t="s">
        <v>391</v>
      </c>
      <c r="G4" s="825" t="s">
        <v>392</v>
      </c>
    </row>
    <row r="5" spans="1:7" ht="30.75" customHeight="1" x14ac:dyDescent="0.25">
      <c r="A5" s="233" t="str">
        <f>Zones!C4</f>
        <v>Kitchen/Food Preparation Area</v>
      </c>
      <c r="B5" s="711">
        <v>0.95</v>
      </c>
      <c r="C5" s="234"/>
      <c r="D5" s="826"/>
      <c r="E5" s="711">
        <v>1.2</v>
      </c>
      <c r="F5" s="397"/>
      <c r="G5" s="825"/>
    </row>
    <row r="6" spans="1:7" ht="16.95" customHeight="1" x14ac:dyDescent="0.25">
      <c r="A6" s="233" t="str">
        <f>Zones!C5</f>
        <v>Attic</v>
      </c>
      <c r="B6" s="233"/>
      <c r="C6" s="233"/>
      <c r="D6" s="233"/>
      <c r="E6" s="233"/>
      <c r="F6" s="233"/>
      <c r="G6" s="233"/>
    </row>
    <row r="7" spans="1:7" ht="16.95" customHeight="1" x14ac:dyDescent="0.25">
      <c r="A7" s="8"/>
      <c r="B7" s="9"/>
      <c r="D7" s="8"/>
    </row>
    <row r="8" spans="1:7" ht="16.95" customHeight="1" x14ac:dyDescent="0.25">
      <c r="A8" s="8"/>
      <c r="B8" s="9"/>
      <c r="D8" s="8"/>
    </row>
    <row r="9" spans="1:7" ht="13.2" customHeight="1" x14ac:dyDescent="0.25">
      <c r="B9" s="22"/>
      <c r="C9" s="22"/>
      <c r="D9" s="22"/>
      <c r="E9" s="22"/>
    </row>
    <row r="10" spans="1:7" ht="13.2" customHeight="1" x14ac:dyDescent="0.25">
      <c r="B10" s="22"/>
      <c r="C10" s="22"/>
      <c r="D10" s="22"/>
      <c r="E10" s="22"/>
    </row>
    <row r="11" spans="1:7" ht="13.2" customHeight="1" x14ac:dyDescent="0.25">
      <c r="B11" s="22"/>
      <c r="C11" s="22"/>
      <c r="D11" s="22"/>
      <c r="E11" s="22"/>
    </row>
    <row r="12" spans="1:7" ht="13.2" customHeight="1" x14ac:dyDescent="0.25">
      <c r="B12" s="22"/>
      <c r="C12" s="22"/>
      <c r="D12" s="22"/>
      <c r="E12" s="22"/>
    </row>
    <row r="13" spans="1:7" ht="13.2" customHeight="1" x14ac:dyDescent="0.25">
      <c r="B13" s="22"/>
      <c r="C13" s="22"/>
      <c r="D13" s="22"/>
      <c r="E13" s="22"/>
    </row>
    <row r="14" spans="1:7" ht="13.2" customHeight="1" x14ac:dyDescent="0.25">
      <c r="B14" s="22"/>
      <c r="C14" s="22"/>
      <c r="D14" s="22"/>
      <c r="E14" s="22"/>
    </row>
    <row r="15" spans="1:7" ht="13.2" customHeight="1" x14ac:dyDescent="0.25">
      <c r="B15" s="22"/>
      <c r="C15" s="22"/>
      <c r="D15" s="22"/>
      <c r="E15" s="22"/>
    </row>
    <row r="16" spans="1:7" ht="13.2" customHeight="1" x14ac:dyDescent="0.25">
      <c r="B16" s="22"/>
      <c r="C16" s="22"/>
      <c r="D16" s="22"/>
      <c r="E16" s="22"/>
    </row>
    <row r="17" spans="1:8" ht="13.2" customHeight="1" x14ac:dyDescent="0.25">
      <c r="B17" s="22"/>
      <c r="C17" s="22"/>
      <c r="D17" s="22"/>
      <c r="E17" s="22"/>
    </row>
    <row r="18" spans="1:8" ht="13.2" customHeight="1" x14ac:dyDescent="0.25">
      <c r="B18" s="22"/>
      <c r="C18" s="22"/>
      <c r="D18" s="22"/>
      <c r="E18" s="22"/>
    </row>
    <row r="19" spans="1:8" s="23" customFormat="1" hidden="1" x14ac:dyDescent="0.25">
      <c r="A19" s="23" t="s">
        <v>81</v>
      </c>
      <c r="F19" s="24"/>
      <c r="G19" s="25"/>
      <c r="H19" s="26"/>
    </row>
    <row r="20" spans="1:8" ht="17.7" hidden="1" customHeight="1" x14ac:dyDescent="0.25"/>
    <row r="21" spans="1:8" ht="15" hidden="1" x14ac:dyDescent="0.25">
      <c r="A21" s="65"/>
    </row>
    <row r="22" spans="1:8" hidden="1" x14ac:dyDescent="0.25"/>
    <row r="23" spans="1:8" hidden="1" x14ac:dyDescent="0.25">
      <c r="A23" s="802" t="s">
        <v>393</v>
      </c>
      <c r="B23" s="709" t="s">
        <v>394</v>
      </c>
      <c r="C23" s="16" t="s">
        <v>395</v>
      </c>
      <c r="D23" s="707">
        <v>0.4</v>
      </c>
      <c r="E23" s="9"/>
      <c r="F23" s="69" t="s">
        <v>396</v>
      </c>
    </row>
    <row r="24" spans="1:8" hidden="1" x14ac:dyDescent="0.25">
      <c r="A24" s="822"/>
      <c r="B24" s="823" t="s">
        <v>397</v>
      </c>
      <c r="C24" s="16">
        <f>Zones!B31</f>
        <v>0</v>
      </c>
      <c r="D24" s="16">
        <v>0.65</v>
      </c>
      <c r="E24" s="9"/>
      <c r="F24" s="824" t="s">
        <v>398</v>
      </c>
    </row>
    <row r="25" spans="1:8" hidden="1" x14ac:dyDescent="0.25">
      <c r="A25" s="822"/>
      <c r="B25" s="823"/>
      <c r="C25" s="16">
        <f>Zones!B32</f>
        <v>0</v>
      </c>
      <c r="D25" s="16">
        <v>0.4</v>
      </c>
      <c r="E25" s="9"/>
      <c r="F25" s="824"/>
    </row>
    <row r="26" spans="1:8" hidden="1" x14ac:dyDescent="0.25">
      <c r="A26" s="803"/>
      <c r="B26" s="823"/>
      <c r="C26" s="16">
        <f>Zones!B33</f>
        <v>0</v>
      </c>
      <c r="D26" s="16">
        <v>0.4</v>
      </c>
      <c r="E26" s="9"/>
      <c r="F26" s="824"/>
    </row>
    <row r="27" spans="1:8" hidden="1" x14ac:dyDescent="0.25"/>
    <row r="28" spans="1:8" hidden="1" x14ac:dyDescent="0.25">
      <c r="A28" s="802" t="s">
        <v>393</v>
      </c>
      <c r="B28" s="709" t="s">
        <v>394</v>
      </c>
      <c r="C28" s="16" t="s">
        <v>395</v>
      </c>
      <c r="D28" s="707">
        <v>0.5</v>
      </c>
      <c r="E28" s="9"/>
      <c r="F28" s="69" t="s">
        <v>399</v>
      </c>
    </row>
    <row r="29" spans="1:8" hidden="1" x14ac:dyDescent="0.25">
      <c r="A29" s="822"/>
      <c r="B29" s="823" t="s">
        <v>397</v>
      </c>
      <c r="C29" s="16" t="s">
        <v>400</v>
      </c>
      <c r="D29" s="16">
        <v>0.75</v>
      </c>
      <c r="E29" s="9"/>
      <c r="F29" s="824" t="s">
        <v>401</v>
      </c>
    </row>
    <row r="30" spans="1:8" hidden="1" x14ac:dyDescent="0.25">
      <c r="A30" s="822"/>
      <c r="B30" s="823"/>
      <c r="C30" s="16" t="s">
        <v>402</v>
      </c>
      <c r="D30" s="16">
        <v>0.5</v>
      </c>
      <c r="E30" s="9"/>
      <c r="F30" s="824"/>
    </row>
    <row r="31" spans="1:8" hidden="1" x14ac:dyDescent="0.25">
      <c r="A31" s="803"/>
      <c r="B31" s="823"/>
      <c r="C31" s="16" t="s">
        <v>403</v>
      </c>
      <c r="D31" s="16">
        <v>0.5</v>
      </c>
      <c r="E31" s="9"/>
      <c r="F31" s="824"/>
    </row>
    <row r="32" spans="1:8" hidden="1" x14ac:dyDescent="0.25"/>
    <row r="33" spans="1:6" hidden="1" x14ac:dyDescent="0.25">
      <c r="A33" s="802" t="s">
        <v>393</v>
      </c>
      <c r="B33" s="709" t="s">
        <v>394</v>
      </c>
      <c r="C33" s="16" t="s">
        <v>395</v>
      </c>
      <c r="D33" s="707">
        <v>0.6</v>
      </c>
      <c r="E33" s="9"/>
      <c r="F33" s="69" t="s">
        <v>404</v>
      </c>
    </row>
    <row r="34" spans="1:6" hidden="1" x14ac:dyDescent="0.25">
      <c r="A34" s="822"/>
      <c r="B34" s="823" t="s">
        <v>397</v>
      </c>
      <c r="C34" s="16" t="s">
        <v>400</v>
      </c>
      <c r="D34" s="16">
        <v>0.75</v>
      </c>
      <c r="E34" s="9"/>
      <c r="F34" s="824" t="s">
        <v>405</v>
      </c>
    </row>
    <row r="35" spans="1:6" hidden="1" x14ac:dyDescent="0.25">
      <c r="A35" s="822"/>
      <c r="B35" s="823"/>
      <c r="C35" s="16" t="s">
        <v>402</v>
      </c>
      <c r="D35" s="16">
        <v>0.6</v>
      </c>
      <c r="E35" s="9"/>
      <c r="F35" s="824"/>
    </row>
    <row r="36" spans="1:6" hidden="1" x14ac:dyDescent="0.25">
      <c r="A36" s="803"/>
      <c r="B36" s="823"/>
      <c r="C36" s="16" t="s">
        <v>403</v>
      </c>
      <c r="D36" s="16">
        <v>0.6</v>
      </c>
      <c r="E36" s="9"/>
      <c r="F36" s="824"/>
    </row>
    <row r="37" spans="1:6" hidden="1" x14ac:dyDescent="0.25"/>
    <row r="38" spans="1:6" hidden="1" x14ac:dyDescent="0.25"/>
  </sheetData>
  <mergeCells count="15">
    <mergeCell ref="A1:G1"/>
    <mergeCell ref="A2:A3"/>
    <mergeCell ref="B2:D2"/>
    <mergeCell ref="E2:G2"/>
    <mergeCell ref="A33:A36"/>
    <mergeCell ref="B34:B36"/>
    <mergeCell ref="F34:F36"/>
    <mergeCell ref="G4:G5"/>
    <mergeCell ref="D4:D5"/>
    <mergeCell ref="A23:A26"/>
    <mergeCell ref="B24:B26"/>
    <mergeCell ref="F24:F26"/>
    <mergeCell ref="A28:A31"/>
    <mergeCell ref="B29:B31"/>
    <mergeCell ref="F29:F31"/>
  </mergeCells>
  <phoneticPr fontId="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573C9-635E-4559-8843-1297BD643A2C}">
  <dimension ref="A1:AL87"/>
  <sheetViews>
    <sheetView zoomScaleNormal="100" workbookViewId="0">
      <selection sqref="A1:G1"/>
    </sheetView>
  </sheetViews>
  <sheetFormatPr defaultColWidth="8.6640625" defaultRowHeight="13.2" x14ac:dyDescent="0.25"/>
  <cols>
    <col min="1" max="1" width="35.88671875" style="5" customWidth="1"/>
    <col min="2" max="2" width="29.6640625" style="5" customWidth="1"/>
    <col min="3" max="3" width="23.109375" style="5" customWidth="1"/>
    <col min="4" max="4" width="33" style="5" customWidth="1"/>
    <col min="5" max="5" width="32.44140625" style="5" customWidth="1"/>
    <col min="6" max="6" width="25.5546875" style="5" customWidth="1"/>
    <col min="7" max="7" width="23" style="5" customWidth="1"/>
    <col min="8" max="8" width="27.44140625" style="5" customWidth="1"/>
    <col min="9" max="10" width="23" style="5" customWidth="1"/>
    <col min="11" max="11" width="19" style="5" customWidth="1"/>
    <col min="12" max="12" width="8.6640625" style="5" customWidth="1"/>
    <col min="13" max="13" width="12.33203125" style="5" customWidth="1"/>
    <col min="14" max="14" width="13.33203125" style="5" customWidth="1"/>
    <col min="15" max="15" width="15.33203125" style="5" customWidth="1"/>
    <col min="16" max="16" width="11" style="5" customWidth="1"/>
    <col min="17" max="20" width="15.33203125" style="5" customWidth="1"/>
    <col min="21" max="21" width="7.6640625" style="5" hidden="1" customWidth="1"/>
    <col min="22" max="22" width="12.44140625" style="5" hidden="1" customWidth="1"/>
    <col min="23" max="38" width="6.5546875" style="5" hidden="1" customWidth="1"/>
    <col min="39" max="39" width="15.33203125" style="5" customWidth="1"/>
    <col min="40" max="40" width="11.33203125" style="5" customWidth="1"/>
    <col min="41" max="41" width="6.33203125" style="5" customWidth="1"/>
    <col min="42" max="45" width="4.6640625" style="5" customWidth="1"/>
    <col min="46" max="46" width="6.33203125" style="5" customWidth="1"/>
    <col min="47" max="61" width="4.6640625" style="5" customWidth="1"/>
    <col min="62" max="16384" width="8.6640625" style="5"/>
  </cols>
  <sheetData>
    <row r="1" spans="1:10" ht="24" customHeight="1" x14ac:dyDescent="0.25">
      <c r="A1" s="831" t="str">
        <f>"Water Heater Summary - "&amp;Prototype!A2</f>
        <v>Water Heater Summary - RestaurantSitDown</v>
      </c>
      <c r="B1" s="801"/>
      <c r="C1" s="801"/>
      <c r="D1" s="801"/>
      <c r="E1" s="801"/>
      <c r="F1" s="801"/>
      <c r="G1" s="801"/>
    </row>
    <row r="2" spans="1:10" ht="22.35" customHeight="1" x14ac:dyDescent="0.25">
      <c r="A2" s="535" t="s">
        <v>190</v>
      </c>
      <c r="B2" s="535" t="s">
        <v>406</v>
      </c>
      <c r="C2" s="535" t="s">
        <v>407</v>
      </c>
      <c r="D2" s="625" t="s">
        <v>408</v>
      </c>
      <c r="E2" s="572" t="s">
        <v>409</v>
      </c>
      <c r="F2" s="572" t="s">
        <v>410</v>
      </c>
      <c r="G2" s="572" t="s">
        <v>244</v>
      </c>
    </row>
    <row r="3" spans="1:10" ht="61.5" customHeight="1" x14ac:dyDescent="0.25">
      <c r="A3" s="16" t="s">
        <v>282</v>
      </c>
      <c r="B3" s="16" t="s">
        <v>334</v>
      </c>
      <c r="C3" s="573">
        <v>0.8</v>
      </c>
      <c r="D3" s="626">
        <v>1</v>
      </c>
      <c r="E3" s="658" t="s">
        <v>411</v>
      </c>
      <c r="F3" s="659" t="s">
        <v>412</v>
      </c>
      <c r="G3" s="660" t="s">
        <v>413</v>
      </c>
      <c r="H3" s="574"/>
    </row>
    <row r="4" spans="1:10" ht="63.75" customHeight="1" x14ac:dyDescent="0.25">
      <c r="A4" s="16" t="s">
        <v>289</v>
      </c>
      <c r="B4" s="16" t="s">
        <v>334</v>
      </c>
      <c r="C4" s="573">
        <v>0.8</v>
      </c>
      <c r="D4" s="626">
        <v>1</v>
      </c>
      <c r="E4" s="658" t="str">
        <f>E3</f>
        <v>See table below for CZ-specific values: Climate Zone Water Heater Sizing and Loss Coefficients, Storage Volume column (col F)</v>
      </c>
      <c r="F4" s="658" t="str">
        <f>F3</f>
        <v>See table below: Climate Zone Water Heater Sizing and Loss Coefficients, Standby Loss column (col G)</v>
      </c>
      <c r="G4" s="660" t="str">
        <f>G3</f>
        <v>See table below for sources: Climate Zone Water Heater Sizing and Loss Coefficients</v>
      </c>
      <c r="H4" s="574"/>
    </row>
    <row r="5" spans="1:10" ht="14.7" customHeight="1" x14ac:dyDescent="0.25">
      <c r="A5" s="9"/>
      <c r="B5" s="9"/>
      <c r="C5" s="9"/>
      <c r="D5" s="9"/>
      <c r="E5" s="9"/>
    </row>
    <row r="6" spans="1:10" ht="14.7" customHeight="1" x14ac:dyDescent="0.25"/>
    <row r="7" spans="1:10" ht="23.25" customHeight="1" x14ac:dyDescent="0.25">
      <c r="A7" s="772" t="s">
        <v>414</v>
      </c>
      <c r="B7" s="772"/>
      <c r="C7" s="772"/>
      <c r="D7" s="772"/>
      <c r="E7" s="772"/>
      <c r="F7" s="772"/>
      <c r="G7" s="772"/>
      <c r="H7" s="772"/>
    </row>
    <row r="8" spans="1:10" ht="65.400000000000006" customHeight="1" x14ac:dyDescent="0.25">
      <c r="A8" s="143" t="s">
        <v>415</v>
      </c>
      <c r="B8" s="143" t="s">
        <v>416</v>
      </c>
      <c r="C8" s="143" t="s">
        <v>417</v>
      </c>
      <c r="D8" s="143" t="s">
        <v>172</v>
      </c>
      <c r="E8" s="143" t="s">
        <v>418</v>
      </c>
      <c r="F8" s="143" t="s">
        <v>419</v>
      </c>
      <c r="G8" s="143" t="s">
        <v>420</v>
      </c>
      <c r="H8" s="63" t="s">
        <v>362</v>
      </c>
      <c r="I8" s="540"/>
    </row>
    <row r="9" spans="1:10" ht="18" customHeight="1" x14ac:dyDescent="0.25">
      <c r="A9" s="144" t="str">
        <f>Zones!B3</f>
        <v>Dining</v>
      </c>
      <c r="B9" s="701" t="s">
        <v>334</v>
      </c>
      <c r="C9" s="145">
        <f>Zones!H3</f>
        <v>4001.46</v>
      </c>
      <c r="D9" s="81">
        <f>Zones!K3</f>
        <v>132.04818</v>
      </c>
      <c r="E9" s="146">
        <f>0.578*0.2</f>
        <v>0.11559999999999999</v>
      </c>
      <c r="F9" s="550">
        <f>D9*E9</f>
        <v>15.264769608</v>
      </c>
      <c r="G9" s="592">
        <f>F9/60</f>
        <v>0.25441282679999999</v>
      </c>
      <c r="H9" s="837" t="s">
        <v>421</v>
      </c>
      <c r="I9" s="232"/>
    </row>
    <row r="10" spans="1:10" ht="18" customHeight="1" x14ac:dyDescent="0.25">
      <c r="A10" s="144" t="str">
        <f>Zones!B4</f>
        <v>Kitchen</v>
      </c>
      <c r="B10" s="701" t="s">
        <v>334</v>
      </c>
      <c r="C10" s="145">
        <f>Zones!H4</f>
        <v>1500.55</v>
      </c>
      <c r="D10" s="81">
        <f>Zones!K4</f>
        <v>4.5016499999999997</v>
      </c>
      <c r="E10" s="146">
        <v>0.57999999999999996</v>
      </c>
      <c r="F10" s="551">
        <v>162</v>
      </c>
      <c r="G10" s="592">
        <f>F10/60</f>
        <v>2.7</v>
      </c>
      <c r="H10" s="838"/>
      <c r="I10" s="232"/>
    </row>
    <row r="11" spans="1:10" ht="20.25" customHeight="1" x14ac:dyDescent="0.25">
      <c r="A11" s="575" t="s">
        <v>90</v>
      </c>
      <c r="B11" s="839" t="s">
        <v>422</v>
      </c>
      <c r="C11" s="840"/>
      <c r="D11" s="840"/>
      <c r="E11" s="841"/>
      <c r="F11" s="661" cm="1">
        <f t="array" ref="F11">_xlfn.LET(
  _xlpm.g,SUMIF($B$9:$B$10,"Gas*",$F$9:$F$10),
  _xlpm.e,SUMIF($B$9:$B$10,"Electric*",$F$9:$F$10),
  IF(AND(_xlpm.g&gt;0,_xlpm.e&gt;0),_xlpm.g,IF(_xlpm.g&gt;0,MAX(75,_xlpm.g),0)))</f>
        <v>177.26476960799999</v>
      </c>
      <c r="G11" s="576"/>
      <c r="H11" s="842" t="s">
        <v>423</v>
      </c>
    </row>
    <row r="12" spans="1:10" ht="19.5" customHeight="1" x14ac:dyDescent="0.25">
      <c r="A12" s="575" t="s">
        <v>424</v>
      </c>
      <c r="B12" s="839" t="s">
        <v>425</v>
      </c>
      <c r="C12" s="840"/>
      <c r="D12" s="840"/>
      <c r="E12" s="841"/>
      <c r="F12" s="661">
        <f>_xlfn.LET(
  _xlpm.g,SUMIF($B$9:$B$10,"Gas*",$F$9:$F$10),
  _xlpm.e,SUMIF($B$9:$B$10,"Electric*",$F$9:$F$10),
  IF(AND(_xlpm.g&gt;0,_xlpm.e&gt;0),_xlpm.e,IF(_xlpm.e&gt;0,MAX(75,_xlpm.e),0)))</f>
        <v>0</v>
      </c>
      <c r="G12" s="576"/>
      <c r="H12" s="843"/>
    </row>
    <row r="13" spans="1:10" s="577" customFormat="1" ht="14.4" x14ac:dyDescent="0.3">
      <c r="A13"/>
      <c r="B13"/>
      <c r="C13"/>
      <c r="D13"/>
      <c r="E13"/>
      <c r="F13"/>
      <c r="G13"/>
      <c r="H13"/>
      <c r="I13"/>
      <c r="J13"/>
    </row>
    <row r="14" spans="1:10" s="577" customFormat="1" ht="14.4" x14ac:dyDescent="0.3">
      <c r="A14"/>
      <c r="B14"/>
      <c r="C14"/>
      <c r="D14"/>
      <c r="E14"/>
      <c r="F14"/>
      <c r="G14"/>
      <c r="H14"/>
      <c r="I14"/>
      <c r="J14"/>
    </row>
    <row r="15" spans="1:10" s="577" customFormat="1" ht="14.4" x14ac:dyDescent="0.3">
      <c r="A15"/>
      <c r="B15"/>
      <c r="C15"/>
      <c r="D15"/>
      <c r="E15"/>
      <c r="F15"/>
      <c r="G15"/>
      <c r="H15"/>
      <c r="I15"/>
      <c r="J15"/>
    </row>
    <row r="16" spans="1:10" s="577" customFormat="1" ht="15" customHeight="1" x14ac:dyDescent="0.3">
      <c r="A16" s="578" t="s">
        <v>426</v>
      </c>
      <c r="B16" s="579">
        <v>135</v>
      </c>
      <c r="C16" s="580" t="s">
        <v>427</v>
      </c>
      <c r="D16" s="581"/>
      <c r="E16" s="581"/>
      <c r="F16"/>
      <c r="G16"/>
      <c r="H16"/>
      <c r="I16"/>
      <c r="J16"/>
    </row>
    <row r="17" spans="1:12" s="577" customFormat="1" ht="15" customHeight="1" x14ac:dyDescent="0.3">
      <c r="A17" s="581" t="s">
        <v>428</v>
      </c>
      <c r="B17" s="582">
        <v>0.6</v>
      </c>
      <c r="C17" s="580" t="s">
        <v>429</v>
      </c>
      <c r="D17" s="583"/>
      <c r="E17" s="583"/>
      <c r="F17"/>
      <c r="G17"/>
      <c r="H17"/>
      <c r="I17"/>
      <c r="J17"/>
    </row>
    <row r="18" spans="1:12" s="577" customFormat="1" ht="14.4" x14ac:dyDescent="0.3">
      <c r="A18" s="584" t="s">
        <v>430</v>
      </c>
      <c r="B18" s="585">
        <v>8.2876999999999992</v>
      </c>
      <c r="C18" s="580" t="s">
        <v>429</v>
      </c>
      <c r="D18" s="580"/>
      <c r="E18" s="580"/>
      <c r="F18"/>
      <c r="G18"/>
      <c r="H18"/>
      <c r="I18"/>
      <c r="J18"/>
    </row>
    <row r="19" spans="1:12" s="577" customFormat="1" ht="14.4" x14ac:dyDescent="0.3">
      <c r="A19" s="577" t="s">
        <v>431</v>
      </c>
      <c r="B19" s="586">
        <v>0.4</v>
      </c>
      <c r="C19" s="587" t="s">
        <v>432</v>
      </c>
      <c r="D19" s="587"/>
      <c r="F19" s="587"/>
      <c r="G19" s="587"/>
    </row>
    <row r="20" spans="1:12" s="577" customFormat="1" ht="26.1" customHeight="1" x14ac:dyDescent="0.25">
      <c r="A20" s="832" t="s">
        <v>433</v>
      </c>
      <c r="B20" s="833"/>
      <c r="C20" s="833"/>
      <c r="D20" s="833"/>
      <c r="E20" s="833"/>
      <c r="F20" s="833"/>
      <c r="G20" s="833"/>
      <c r="H20" s="833"/>
      <c r="I20" s="833"/>
      <c r="J20" s="833"/>
      <c r="K20" s="833"/>
    </row>
    <row r="21" spans="1:12" s="577" customFormat="1" ht="48.75" customHeight="1" x14ac:dyDescent="0.3">
      <c r="A21" s="662" t="s">
        <v>434</v>
      </c>
      <c r="B21" s="662" t="s">
        <v>435</v>
      </c>
      <c r="C21" s="662" t="s">
        <v>436</v>
      </c>
      <c r="D21" s="662" t="s">
        <v>437</v>
      </c>
      <c r="E21" s="662" t="s">
        <v>438</v>
      </c>
      <c r="F21" s="662" t="s">
        <v>439</v>
      </c>
      <c r="G21" s="834" t="s">
        <v>440</v>
      </c>
      <c r="H21" s="834"/>
      <c r="I21" s="834" t="s">
        <v>441</v>
      </c>
      <c r="J21" s="834"/>
      <c r="K21" s="663" t="s">
        <v>442</v>
      </c>
      <c r="L21"/>
    </row>
    <row r="22" spans="1:12" s="577" customFormat="1" ht="18.75" customHeight="1" x14ac:dyDescent="0.25">
      <c r="A22" s="664" t="s">
        <v>443</v>
      </c>
      <c r="B22" s="665">
        <v>47.9</v>
      </c>
      <c r="C22" s="606">
        <f>$F$11*($B$16-B22)*$B$18</f>
        <v>127960.11082708726</v>
      </c>
      <c r="D22" s="606">
        <f t="shared" ref="D22:D37" si="0">C22*$B$17</f>
        <v>76776.066496252359</v>
      </c>
      <c r="E22" s="606">
        <f>_xlfn.LET(_xlpm.x,_xlfn.XLOOKUP(D22/$C$3,$A$43:$A$73,$A$43:$A$73,"",1),IF(_xlpm.x="",ROUNDUP(D22/$C$3,0),_xlpm.x))</f>
        <v>99900</v>
      </c>
      <c r="F22" s="606">
        <f>_xlfn.LET(_xlpm.v,MAX(30,$F$11*$B$19),_xlpm.x,_xlfn.XLOOKUP(_xlpm.v,$E$43:$E$61,$E$43:$E$61,"",1),IF(_xlpm.x="",ROUNDUP(_xlpm.v,0),_xlpm.x))</f>
        <v>72</v>
      </c>
      <c r="G22" s="606">
        <f>(E22/800)+110*SQRT(F22)</f>
        <v>1058.2559511662425</v>
      </c>
      <c r="H22" s="606" t="s">
        <v>444</v>
      </c>
      <c r="I22" s="609">
        <f>G22/70</f>
        <v>15.117942159517751</v>
      </c>
      <c r="J22" s="666" t="s">
        <v>445</v>
      </c>
      <c r="K22" s="789" t="s">
        <v>446</v>
      </c>
    </row>
    <row r="23" spans="1:12" s="577" customFormat="1" ht="18.75" customHeight="1" x14ac:dyDescent="0.25">
      <c r="A23" s="664" t="s">
        <v>447</v>
      </c>
      <c r="B23" s="665">
        <v>50.8</v>
      </c>
      <c r="C23" s="606">
        <f t="shared" ref="C23:C37" si="1">$F$11*($B$16-B23)*$B$18</f>
        <v>123699.67085695465</v>
      </c>
      <c r="D23" s="606">
        <f t="shared" si="0"/>
        <v>74219.802514172785</v>
      </c>
      <c r="E23" s="606">
        <f t="shared" ref="E23:E37" si="2">_xlfn.LET(_xlpm.x,_xlfn.XLOOKUP(D23/$C$3,$A$43:$A$73,$A$43:$A$73,"",1),IF(_xlpm.x="",ROUNDUP(D23/$C$3,0),_xlpm.x))</f>
        <v>99900</v>
      </c>
      <c r="F23" s="606">
        <f t="shared" ref="F23:F37" si="3">_xlfn.LET(_xlpm.v,MAX(30,$F$11*$B$19),_xlpm.x,_xlfn.XLOOKUP(_xlpm.v,$E$43:$E$61,$E$43:$E$61,"",1),IF(_xlpm.x="",ROUNDUP(_xlpm.v,0),_xlpm.x))</f>
        <v>72</v>
      </c>
      <c r="G23" s="606">
        <f t="shared" ref="G23:G37" si="4">(E23/800)+110*SQRT(F23)</f>
        <v>1058.2559511662425</v>
      </c>
      <c r="H23" s="606" t="s">
        <v>444</v>
      </c>
      <c r="I23" s="609">
        <f t="shared" ref="I23:I37" si="5">G23/70</f>
        <v>15.117942159517751</v>
      </c>
      <c r="J23" s="666" t="s">
        <v>445</v>
      </c>
      <c r="K23" s="835"/>
    </row>
    <row r="24" spans="1:12" s="577" customFormat="1" ht="18.75" customHeight="1" x14ac:dyDescent="0.25">
      <c r="A24" s="664" t="s">
        <v>448</v>
      </c>
      <c r="B24" s="665">
        <v>52.2</v>
      </c>
      <c r="C24" s="606">
        <f t="shared" si="1"/>
        <v>121642.90673344233</v>
      </c>
      <c r="D24" s="606">
        <f t="shared" si="0"/>
        <v>72985.744040065401</v>
      </c>
      <c r="E24" s="606">
        <f t="shared" si="2"/>
        <v>99900</v>
      </c>
      <c r="F24" s="606">
        <f t="shared" si="3"/>
        <v>72</v>
      </c>
      <c r="G24" s="606">
        <f t="shared" si="4"/>
        <v>1058.2559511662425</v>
      </c>
      <c r="H24" s="606" t="s">
        <v>444</v>
      </c>
      <c r="I24" s="609">
        <f t="shared" si="5"/>
        <v>15.117942159517751</v>
      </c>
      <c r="J24" s="666" t="s">
        <v>445</v>
      </c>
      <c r="K24" s="835"/>
    </row>
    <row r="25" spans="1:12" s="577" customFormat="1" ht="18.75" customHeight="1" x14ac:dyDescent="0.25">
      <c r="A25" s="664" t="s">
        <v>449</v>
      </c>
      <c r="B25" s="665">
        <v>52.7</v>
      </c>
      <c r="C25" s="606">
        <f t="shared" si="1"/>
        <v>120908.34811790221</v>
      </c>
      <c r="D25" s="606">
        <f t="shared" si="0"/>
        <v>72545.008870741323</v>
      </c>
      <c r="E25" s="606">
        <f t="shared" si="2"/>
        <v>99900</v>
      </c>
      <c r="F25" s="606">
        <f t="shared" si="3"/>
        <v>72</v>
      </c>
      <c r="G25" s="606">
        <f t="shared" si="4"/>
        <v>1058.2559511662425</v>
      </c>
      <c r="H25" s="606" t="s">
        <v>444</v>
      </c>
      <c r="I25" s="609">
        <f t="shared" si="5"/>
        <v>15.117942159517751</v>
      </c>
      <c r="J25" s="666" t="s">
        <v>445</v>
      </c>
      <c r="K25" s="835"/>
    </row>
    <row r="26" spans="1:12" s="577" customFormat="1" ht="18.75" customHeight="1" x14ac:dyDescent="0.25">
      <c r="A26" s="664" t="s">
        <v>450</v>
      </c>
      <c r="B26" s="665">
        <v>51.6</v>
      </c>
      <c r="C26" s="606">
        <f t="shared" si="1"/>
        <v>122524.37707209049</v>
      </c>
      <c r="D26" s="606">
        <f t="shared" si="0"/>
        <v>73514.626243254286</v>
      </c>
      <c r="E26" s="606">
        <f t="shared" si="2"/>
        <v>99900</v>
      </c>
      <c r="F26" s="606">
        <f t="shared" si="3"/>
        <v>72</v>
      </c>
      <c r="G26" s="606">
        <f t="shared" si="4"/>
        <v>1058.2559511662425</v>
      </c>
      <c r="H26" s="606" t="s">
        <v>444</v>
      </c>
      <c r="I26" s="609">
        <f t="shared" si="5"/>
        <v>15.117942159517751</v>
      </c>
      <c r="J26" s="666" t="s">
        <v>445</v>
      </c>
      <c r="K26" s="835"/>
    </row>
    <row r="27" spans="1:12" s="577" customFormat="1" ht="18.75" customHeight="1" x14ac:dyDescent="0.25">
      <c r="A27" s="664" t="s">
        <v>451</v>
      </c>
      <c r="B27" s="665">
        <v>56.8</v>
      </c>
      <c r="C27" s="606">
        <f t="shared" si="1"/>
        <v>114884.96747047332</v>
      </c>
      <c r="D27" s="606">
        <f t="shared" si="0"/>
        <v>68930.980482283994</v>
      </c>
      <c r="E27" s="606">
        <f t="shared" si="2"/>
        <v>99900</v>
      </c>
      <c r="F27" s="606">
        <f t="shared" si="3"/>
        <v>72</v>
      </c>
      <c r="G27" s="606">
        <f t="shared" si="4"/>
        <v>1058.2559511662425</v>
      </c>
      <c r="H27" s="606" t="s">
        <v>444</v>
      </c>
      <c r="I27" s="609">
        <f t="shared" si="5"/>
        <v>15.117942159517751</v>
      </c>
      <c r="J27" s="666" t="s">
        <v>445</v>
      </c>
      <c r="K27" s="835"/>
    </row>
    <row r="28" spans="1:12" s="577" customFormat="1" ht="18.75" customHeight="1" x14ac:dyDescent="0.25">
      <c r="A28" s="664" t="s">
        <v>452</v>
      </c>
      <c r="B28" s="665">
        <v>58.4</v>
      </c>
      <c r="C28" s="606">
        <f t="shared" si="1"/>
        <v>112534.37990074494</v>
      </c>
      <c r="D28" s="606">
        <f t="shared" si="0"/>
        <v>67520.627940446968</v>
      </c>
      <c r="E28" s="606">
        <f t="shared" si="2"/>
        <v>99900</v>
      </c>
      <c r="F28" s="606">
        <f t="shared" si="3"/>
        <v>72</v>
      </c>
      <c r="G28" s="606">
        <f t="shared" si="4"/>
        <v>1058.2559511662425</v>
      </c>
      <c r="H28" s="606" t="s">
        <v>444</v>
      </c>
      <c r="I28" s="609">
        <f t="shared" si="5"/>
        <v>15.117942159517751</v>
      </c>
      <c r="J28" s="666" t="s">
        <v>445</v>
      </c>
      <c r="K28" s="835"/>
    </row>
    <row r="29" spans="1:12" s="577" customFormat="1" ht="18.75" customHeight="1" x14ac:dyDescent="0.25">
      <c r="A29" s="664" t="s">
        <v>453</v>
      </c>
      <c r="B29" s="665">
        <v>58.4</v>
      </c>
      <c r="C29" s="606">
        <f t="shared" si="1"/>
        <v>112534.37990074494</v>
      </c>
      <c r="D29" s="606">
        <f t="shared" si="0"/>
        <v>67520.627940446968</v>
      </c>
      <c r="E29" s="606">
        <f t="shared" si="2"/>
        <v>99900</v>
      </c>
      <c r="F29" s="606">
        <f t="shared" si="3"/>
        <v>72</v>
      </c>
      <c r="G29" s="606">
        <f t="shared" si="4"/>
        <v>1058.2559511662425</v>
      </c>
      <c r="H29" s="606" t="s">
        <v>444</v>
      </c>
      <c r="I29" s="609">
        <f t="shared" si="5"/>
        <v>15.117942159517751</v>
      </c>
      <c r="J29" s="666" t="s">
        <v>445</v>
      </c>
      <c r="K29" s="835"/>
    </row>
    <row r="30" spans="1:12" s="577" customFormat="1" ht="18.75" customHeight="1" x14ac:dyDescent="0.25">
      <c r="A30" s="664" t="s">
        <v>454</v>
      </c>
      <c r="B30" s="665">
        <v>57.6</v>
      </c>
      <c r="C30" s="606">
        <f t="shared" si="1"/>
        <v>113709.67368560914</v>
      </c>
      <c r="D30" s="606">
        <f t="shared" si="0"/>
        <v>68225.804211365481</v>
      </c>
      <c r="E30" s="606">
        <f t="shared" si="2"/>
        <v>99900</v>
      </c>
      <c r="F30" s="606">
        <f t="shared" si="3"/>
        <v>72</v>
      </c>
      <c r="G30" s="606">
        <f t="shared" si="4"/>
        <v>1058.2559511662425</v>
      </c>
      <c r="H30" s="606" t="s">
        <v>444</v>
      </c>
      <c r="I30" s="609">
        <f t="shared" si="5"/>
        <v>15.117942159517751</v>
      </c>
      <c r="J30" s="666" t="s">
        <v>445</v>
      </c>
      <c r="K30" s="835"/>
    </row>
    <row r="31" spans="1:12" s="577" customFormat="1" ht="18.75" customHeight="1" x14ac:dyDescent="0.25">
      <c r="A31" s="664" t="s">
        <v>201</v>
      </c>
      <c r="B31" s="665">
        <v>57.1</v>
      </c>
      <c r="C31" s="606">
        <f t="shared" si="1"/>
        <v>114444.23230114926</v>
      </c>
      <c r="D31" s="606">
        <f t="shared" si="0"/>
        <v>68666.539380689544</v>
      </c>
      <c r="E31" s="606">
        <f t="shared" si="2"/>
        <v>99900</v>
      </c>
      <c r="F31" s="606">
        <f t="shared" si="3"/>
        <v>72</v>
      </c>
      <c r="G31" s="606">
        <f t="shared" si="4"/>
        <v>1058.2559511662425</v>
      </c>
      <c r="H31" s="606" t="s">
        <v>444</v>
      </c>
      <c r="I31" s="609">
        <f t="shared" si="5"/>
        <v>15.117942159517751</v>
      </c>
      <c r="J31" s="666" t="s">
        <v>445</v>
      </c>
      <c r="K31" s="835"/>
    </row>
    <row r="32" spans="1:12" s="577" customFormat="1" ht="18.75" customHeight="1" x14ac:dyDescent="0.25">
      <c r="A32" s="664" t="s">
        <v>202</v>
      </c>
      <c r="B32" s="665">
        <v>50.5</v>
      </c>
      <c r="C32" s="606">
        <f t="shared" si="1"/>
        <v>124140.40602627871</v>
      </c>
      <c r="D32" s="606">
        <f t="shared" si="0"/>
        <v>74484.24361576722</v>
      </c>
      <c r="E32" s="606">
        <f t="shared" si="2"/>
        <v>99900</v>
      </c>
      <c r="F32" s="606">
        <f t="shared" si="3"/>
        <v>72</v>
      </c>
      <c r="G32" s="606">
        <f t="shared" si="4"/>
        <v>1058.2559511662425</v>
      </c>
      <c r="H32" s="606" t="s">
        <v>444</v>
      </c>
      <c r="I32" s="609">
        <f t="shared" si="5"/>
        <v>15.117942159517751</v>
      </c>
      <c r="J32" s="666" t="s">
        <v>445</v>
      </c>
      <c r="K32" s="835"/>
    </row>
    <row r="33" spans="1:11" s="577" customFormat="1" ht="18.75" customHeight="1" x14ac:dyDescent="0.25">
      <c r="A33" s="664" t="s">
        <v>203</v>
      </c>
      <c r="B33" s="665">
        <v>51.4</v>
      </c>
      <c r="C33" s="606">
        <f t="shared" si="1"/>
        <v>122818.20051830649</v>
      </c>
      <c r="D33" s="606">
        <f t="shared" si="0"/>
        <v>73690.920310983885</v>
      </c>
      <c r="E33" s="606">
        <f t="shared" si="2"/>
        <v>99900</v>
      </c>
      <c r="F33" s="606">
        <f t="shared" si="3"/>
        <v>72</v>
      </c>
      <c r="G33" s="606">
        <f t="shared" si="4"/>
        <v>1058.2559511662425</v>
      </c>
      <c r="H33" s="606" t="s">
        <v>444</v>
      </c>
      <c r="I33" s="609">
        <f t="shared" si="5"/>
        <v>15.117942159517751</v>
      </c>
      <c r="J33" s="666" t="s">
        <v>445</v>
      </c>
      <c r="K33" s="835"/>
    </row>
    <row r="34" spans="1:11" s="577" customFormat="1" ht="18.75" customHeight="1" x14ac:dyDescent="0.25">
      <c r="A34" s="664" t="s">
        <v>204</v>
      </c>
      <c r="B34" s="665">
        <v>51.7</v>
      </c>
      <c r="C34" s="606">
        <f t="shared" si="1"/>
        <v>122377.46534898244</v>
      </c>
      <c r="D34" s="606">
        <f t="shared" si="0"/>
        <v>73426.479209389465</v>
      </c>
      <c r="E34" s="606">
        <f t="shared" si="2"/>
        <v>99900</v>
      </c>
      <c r="F34" s="606">
        <f t="shared" si="3"/>
        <v>72</v>
      </c>
      <c r="G34" s="606">
        <f t="shared" si="4"/>
        <v>1058.2559511662425</v>
      </c>
      <c r="H34" s="606" t="s">
        <v>444</v>
      </c>
      <c r="I34" s="609">
        <f t="shared" si="5"/>
        <v>15.117942159517751</v>
      </c>
      <c r="J34" s="666" t="s">
        <v>445</v>
      </c>
      <c r="K34" s="835"/>
    </row>
    <row r="35" spans="1:11" s="577" customFormat="1" ht="18.75" customHeight="1" x14ac:dyDescent="0.25">
      <c r="A35" s="664" t="s">
        <v>205</v>
      </c>
      <c r="B35" s="665">
        <v>50.1</v>
      </c>
      <c r="C35" s="606">
        <f t="shared" si="1"/>
        <v>124728.0529187108</v>
      </c>
      <c r="D35" s="606">
        <f t="shared" si="0"/>
        <v>74836.831751226477</v>
      </c>
      <c r="E35" s="606">
        <f t="shared" si="2"/>
        <v>99900</v>
      </c>
      <c r="F35" s="606">
        <f t="shared" si="3"/>
        <v>72</v>
      </c>
      <c r="G35" s="606">
        <f t="shared" si="4"/>
        <v>1058.2559511662425</v>
      </c>
      <c r="H35" s="606" t="s">
        <v>444</v>
      </c>
      <c r="I35" s="609">
        <f t="shared" si="5"/>
        <v>15.117942159517751</v>
      </c>
      <c r="J35" s="666" t="s">
        <v>445</v>
      </c>
      <c r="K35" s="835"/>
    </row>
    <row r="36" spans="1:11" s="577" customFormat="1" ht="18.75" customHeight="1" x14ac:dyDescent="0.25">
      <c r="A36" s="664" t="s">
        <v>206</v>
      </c>
      <c r="B36" s="665">
        <v>63.2</v>
      </c>
      <c r="C36" s="606">
        <f t="shared" si="1"/>
        <v>105482.6171915599</v>
      </c>
      <c r="D36" s="606">
        <f t="shared" si="0"/>
        <v>63289.570314935932</v>
      </c>
      <c r="E36" s="606">
        <f t="shared" si="2"/>
        <v>80000</v>
      </c>
      <c r="F36" s="606">
        <f t="shared" si="3"/>
        <v>72</v>
      </c>
      <c r="G36" s="606">
        <f t="shared" si="4"/>
        <v>1033.3809511662425</v>
      </c>
      <c r="H36" s="606" t="s">
        <v>444</v>
      </c>
      <c r="I36" s="609">
        <f t="shared" si="5"/>
        <v>14.762585016660609</v>
      </c>
      <c r="J36" s="666" t="s">
        <v>445</v>
      </c>
      <c r="K36" s="835"/>
    </row>
    <row r="37" spans="1:11" s="577" customFormat="1" ht="18.75" customHeight="1" x14ac:dyDescent="0.25">
      <c r="A37" s="664" t="s">
        <v>207</v>
      </c>
      <c r="B37" s="665">
        <v>41.4</v>
      </c>
      <c r="C37" s="606">
        <f t="shared" si="1"/>
        <v>137509.3728291087</v>
      </c>
      <c r="D37" s="606">
        <f t="shared" si="0"/>
        <v>82505.623697465213</v>
      </c>
      <c r="E37" s="606">
        <f t="shared" si="2"/>
        <v>120000</v>
      </c>
      <c r="F37" s="606">
        <f t="shared" si="3"/>
        <v>72</v>
      </c>
      <c r="G37" s="606">
        <f t="shared" si="4"/>
        <v>1083.3809511662425</v>
      </c>
      <c r="H37" s="606" t="s">
        <v>444</v>
      </c>
      <c r="I37" s="609">
        <f t="shared" si="5"/>
        <v>15.476870730946322</v>
      </c>
      <c r="J37" s="666" t="s">
        <v>445</v>
      </c>
      <c r="K37" s="836"/>
    </row>
    <row r="38" spans="1:11" s="577" customFormat="1" ht="14.4" x14ac:dyDescent="0.3">
      <c r="C38" s="587"/>
      <c r="D38" s="587"/>
      <c r="F38" s="587"/>
      <c r="G38" s="587"/>
    </row>
    <row r="39" spans="1:11" s="577" customFormat="1" ht="14.4" x14ac:dyDescent="0.3">
      <c r="C39" s="587"/>
      <c r="D39" s="587"/>
      <c r="F39" s="587"/>
      <c r="G39" s="587"/>
    </row>
    <row r="40" spans="1:11" s="577" customFormat="1" ht="14.4" x14ac:dyDescent="0.3">
      <c r="C40" s="587"/>
      <c r="D40" s="587"/>
      <c r="F40" s="587"/>
      <c r="G40" s="587"/>
    </row>
    <row r="41" spans="1:11" s="577" customFormat="1" ht="24" customHeight="1" x14ac:dyDescent="0.25">
      <c r="A41" s="830" t="s">
        <v>455</v>
      </c>
      <c r="B41" s="772"/>
      <c r="C41" s="772"/>
      <c r="D41" s="772"/>
      <c r="E41" s="772"/>
      <c r="F41" s="772"/>
      <c r="G41" s="772"/>
      <c r="H41" s="772"/>
    </row>
    <row r="42" spans="1:11" s="589" customFormat="1" ht="27.6" x14ac:dyDescent="0.25">
      <c r="A42" s="601" t="s">
        <v>456</v>
      </c>
      <c r="B42" s="680" t="s">
        <v>457</v>
      </c>
      <c r="C42" s="681" t="s">
        <v>458</v>
      </c>
      <c r="D42" s="682" t="s">
        <v>459</v>
      </c>
      <c r="E42" s="683" t="s">
        <v>460</v>
      </c>
      <c r="F42" s="682" t="s">
        <v>461</v>
      </c>
      <c r="G42" s="684" t="s">
        <v>462</v>
      </c>
      <c r="H42" s="685" t="s">
        <v>463</v>
      </c>
      <c r="I42" s="588" t="str">
        <f>HYPERLINK("#'Note'!A1","Sources and links → Note tab")</f>
        <v>Sources and links → Note tab</v>
      </c>
    </row>
    <row r="43" spans="1:11" s="577" customFormat="1" ht="13.8" x14ac:dyDescent="0.25">
      <c r="A43" s="677">
        <v>60000</v>
      </c>
      <c r="B43" s="602" t="s">
        <v>464</v>
      </c>
      <c r="C43" s="668">
        <v>1.5</v>
      </c>
      <c r="D43" s="669">
        <v>5118</v>
      </c>
      <c r="E43" s="669">
        <v>34</v>
      </c>
      <c r="F43" s="669" t="s">
        <v>465</v>
      </c>
      <c r="G43" s="669">
        <v>6</v>
      </c>
      <c r="H43" s="670" t="s">
        <v>464</v>
      </c>
    </row>
    <row r="44" spans="1:11" s="577" customFormat="1" ht="13.8" x14ac:dyDescent="0.25">
      <c r="A44" s="678">
        <v>75100</v>
      </c>
      <c r="B44" s="603" t="s">
        <v>464</v>
      </c>
      <c r="C44" s="671">
        <v>2</v>
      </c>
      <c r="D44" s="667">
        <v>6824</v>
      </c>
      <c r="E44" s="667">
        <v>35</v>
      </c>
      <c r="F44" s="667" t="s">
        <v>464</v>
      </c>
      <c r="G44" s="667">
        <v>10</v>
      </c>
      <c r="H44" s="672" t="s">
        <v>464</v>
      </c>
    </row>
    <row r="45" spans="1:11" s="577" customFormat="1" ht="13.8" x14ac:dyDescent="0.25">
      <c r="A45" s="678">
        <v>76000</v>
      </c>
      <c r="B45" s="603" t="s">
        <v>466</v>
      </c>
      <c r="C45" s="671">
        <v>3</v>
      </c>
      <c r="D45" s="667">
        <v>10236</v>
      </c>
      <c r="E45" s="667">
        <v>48</v>
      </c>
      <c r="F45" s="667" t="s">
        <v>464</v>
      </c>
      <c r="G45" s="667">
        <v>15</v>
      </c>
      <c r="H45" s="672" t="s">
        <v>464</v>
      </c>
    </row>
    <row r="46" spans="1:11" s="577" customFormat="1" ht="13.8" x14ac:dyDescent="0.25">
      <c r="A46" s="678">
        <v>80000</v>
      </c>
      <c r="B46" s="676" t="s">
        <v>464</v>
      </c>
      <c r="C46" s="671">
        <v>4.5</v>
      </c>
      <c r="D46" s="667">
        <v>15355</v>
      </c>
      <c r="E46" s="667">
        <v>50</v>
      </c>
      <c r="F46" s="667" t="s">
        <v>466</v>
      </c>
      <c r="G46" s="667">
        <v>20</v>
      </c>
      <c r="H46" s="672" t="s">
        <v>464</v>
      </c>
    </row>
    <row r="47" spans="1:11" s="577" customFormat="1" ht="13.8" x14ac:dyDescent="0.25">
      <c r="A47" s="678">
        <v>99900</v>
      </c>
      <c r="B47" s="603" t="s">
        <v>465</v>
      </c>
      <c r="C47" s="671">
        <v>6</v>
      </c>
      <c r="D47" s="667">
        <v>20473</v>
      </c>
      <c r="E47" s="667">
        <v>55</v>
      </c>
      <c r="F47" s="667" t="s">
        <v>465</v>
      </c>
      <c r="G47" s="667">
        <v>28</v>
      </c>
      <c r="H47" s="672" t="s">
        <v>464</v>
      </c>
    </row>
    <row r="48" spans="1:11" s="577" customFormat="1" ht="13.8" x14ac:dyDescent="0.25">
      <c r="A48" s="678">
        <v>100000</v>
      </c>
      <c r="B48" s="603" t="s">
        <v>466</v>
      </c>
      <c r="C48" s="671">
        <v>8</v>
      </c>
      <c r="D48" s="667">
        <v>27297</v>
      </c>
      <c r="E48" s="667">
        <v>60</v>
      </c>
      <c r="F48" s="667" t="s">
        <v>465</v>
      </c>
      <c r="G48" s="667">
        <v>30</v>
      </c>
      <c r="H48" s="672" t="s">
        <v>464</v>
      </c>
    </row>
    <row r="49" spans="1:8" s="577" customFormat="1" ht="13.8" x14ac:dyDescent="0.25">
      <c r="A49" s="678">
        <v>120000</v>
      </c>
      <c r="B49" s="603" t="s">
        <v>465</v>
      </c>
      <c r="C49" s="671">
        <v>9</v>
      </c>
      <c r="D49" s="667">
        <v>30709</v>
      </c>
      <c r="E49" s="667">
        <v>65</v>
      </c>
      <c r="F49" s="667" t="s">
        <v>466</v>
      </c>
      <c r="G49" s="667">
        <v>36</v>
      </c>
      <c r="H49" s="672" t="s">
        <v>464</v>
      </c>
    </row>
    <row r="50" spans="1:8" s="577" customFormat="1" ht="13.8" x14ac:dyDescent="0.25">
      <c r="A50" s="678">
        <v>125000</v>
      </c>
      <c r="B50" s="603" t="s">
        <v>466</v>
      </c>
      <c r="C50" s="671">
        <v>10</v>
      </c>
      <c r="D50" s="667">
        <v>34121</v>
      </c>
      <c r="E50" s="667">
        <v>72</v>
      </c>
      <c r="F50" s="667" t="s">
        <v>464</v>
      </c>
      <c r="G50" s="667">
        <v>40</v>
      </c>
      <c r="H50" s="672" t="s">
        <v>464</v>
      </c>
    </row>
    <row r="51" spans="1:8" s="577" customFormat="1" ht="13.8" x14ac:dyDescent="0.25">
      <c r="A51" s="678">
        <v>130000</v>
      </c>
      <c r="B51" s="603" t="s">
        <v>466</v>
      </c>
      <c r="C51" s="671">
        <v>12</v>
      </c>
      <c r="D51" s="667">
        <v>40946</v>
      </c>
      <c r="E51" s="667">
        <v>75</v>
      </c>
      <c r="F51" s="667" t="s">
        <v>466</v>
      </c>
      <c r="G51" s="667">
        <v>47</v>
      </c>
      <c r="H51" s="672"/>
    </row>
    <row r="52" spans="1:8" s="577" customFormat="1" ht="13.8" x14ac:dyDescent="0.25">
      <c r="A52" s="678">
        <v>145000</v>
      </c>
      <c r="B52" s="603" t="s">
        <v>465</v>
      </c>
      <c r="C52" s="671">
        <v>12.1</v>
      </c>
      <c r="D52" s="667">
        <v>41287</v>
      </c>
      <c r="E52" s="667">
        <v>76</v>
      </c>
      <c r="F52" s="667" t="s">
        <v>464</v>
      </c>
      <c r="G52" s="667">
        <v>50</v>
      </c>
      <c r="H52" s="672"/>
    </row>
    <row r="53" spans="1:8" s="577" customFormat="1" ht="13.8" x14ac:dyDescent="0.25">
      <c r="A53" s="678">
        <v>150000</v>
      </c>
      <c r="B53" s="603" t="s">
        <v>465</v>
      </c>
      <c r="C53" s="671">
        <v>18</v>
      </c>
      <c r="D53" s="667">
        <v>61419</v>
      </c>
      <c r="E53" s="667">
        <v>80</v>
      </c>
      <c r="F53" s="667" t="s">
        <v>466</v>
      </c>
      <c r="G53" s="667">
        <v>65</v>
      </c>
      <c r="H53" s="672"/>
    </row>
    <row r="54" spans="1:8" s="577" customFormat="1" x14ac:dyDescent="0.25">
      <c r="A54" s="678">
        <v>156000</v>
      </c>
      <c r="B54" s="604" t="s">
        <v>464</v>
      </c>
      <c r="C54" s="671">
        <v>24</v>
      </c>
      <c r="D54" s="667">
        <v>81891</v>
      </c>
      <c r="E54" s="667">
        <v>82</v>
      </c>
      <c r="F54" s="667" t="s">
        <v>464</v>
      </c>
      <c r="G54" s="667">
        <v>80</v>
      </c>
      <c r="H54" s="672"/>
    </row>
    <row r="55" spans="1:8" s="577" customFormat="1" x14ac:dyDescent="0.25">
      <c r="A55" s="678">
        <v>160000</v>
      </c>
      <c r="B55" s="604" t="s">
        <v>466</v>
      </c>
      <c r="C55" s="671">
        <v>27</v>
      </c>
      <c r="D55" s="667">
        <v>92128</v>
      </c>
      <c r="E55" s="667">
        <v>85</v>
      </c>
      <c r="F55" s="667" t="s">
        <v>464</v>
      </c>
      <c r="G55" s="667">
        <v>85</v>
      </c>
      <c r="H55" s="672"/>
    </row>
    <row r="56" spans="1:8" s="577" customFormat="1" x14ac:dyDescent="0.25">
      <c r="A56" s="678">
        <v>175000</v>
      </c>
      <c r="B56" s="604" t="s">
        <v>465</v>
      </c>
      <c r="C56" s="671">
        <v>36</v>
      </c>
      <c r="D56" s="667">
        <v>122837</v>
      </c>
      <c r="E56" s="667">
        <v>90</v>
      </c>
      <c r="F56" s="667" t="s">
        <v>466</v>
      </c>
      <c r="G56" s="667">
        <v>105</v>
      </c>
      <c r="H56" s="672"/>
    </row>
    <row r="57" spans="1:8" s="577" customFormat="1" x14ac:dyDescent="0.25">
      <c r="A57" s="678">
        <v>180000</v>
      </c>
      <c r="B57" s="604" t="s">
        <v>464</v>
      </c>
      <c r="C57" s="671">
        <v>54</v>
      </c>
      <c r="D57" s="667">
        <v>184256</v>
      </c>
      <c r="E57" s="667">
        <v>91</v>
      </c>
      <c r="F57" s="667" t="s">
        <v>464</v>
      </c>
      <c r="G57" s="667">
        <v>120</v>
      </c>
      <c r="H57" s="672"/>
    </row>
    <row r="58" spans="1:8" s="577" customFormat="1" x14ac:dyDescent="0.25">
      <c r="A58" s="678">
        <v>199000</v>
      </c>
      <c r="B58" s="604" t="s">
        <v>465</v>
      </c>
      <c r="C58" s="671"/>
      <c r="D58" s="667"/>
      <c r="E58" s="667">
        <v>100</v>
      </c>
      <c r="F58" s="667" t="s">
        <v>466</v>
      </c>
      <c r="G58" s="667"/>
      <c r="H58" s="672"/>
    </row>
    <row r="59" spans="1:8" s="577" customFormat="1" x14ac:dyDescent="0.25">
      <c r="A59" s="678">
        <v>199900</v>
      </c>
      <c r="B59" s="604" t="s">
        <v>466</v>
      </c>
      <c r="C59" s="671"/>
      <c r="D59" s="667"/>
      <c r="E59" s="667">
        <v>110</v>
      </c>
      <c r="F59" s="667" t="s">
        <v>465</v>
      </c>
      <c r="G59" s="667"/>
      <c r="H59" s="672"/>
    </row>
    <row r="60" spans="1:8" s="577" customFormat="1" x14ac:dyDescent="0.25">
      <c r="A60" s="678">
        <v>200000</v>
      </c>
      <c r="B60" s="604" t="s">
        <v>465</v>
      </c>
      <c r="C60" s="671"/>
      <c r="D60" s="667"/>
      <c r="E60" s="667">
        <v>119</v>
      </c>
      <c r="F60" s="667" t="s">
        <v>466</v>
      </c>
      <c r="G60" s="667"/>
      <c r="H60" s="672"/>
    </row>
    <row r="61" spans="1:8" s="577" customFormat="1" x14ac:dyDescent="0.25">
      <c r="A61" s="678">
        <v>250000</v>
      </c>
      <c r="B61" s="604" t="s">
        <v>466</v>
      </c>
      <c r="C61" s="673"/>
      <c r="D61" s="674"/>
      <c r="E61" s="674">
        <v>125</v>
      </c>
      <c r="F61" s="674" t="s">
        <v>465</v>
      </c>
      <c r="G61" s="674"/>
      <c r="H61" s="675"/>
    </row>
    <row r="62" spans="1:8" s="577" customFormat="1" ht="14.4" x14ac:dyDescent="0.3">
      <c r="A62" s="678">
        <v>251000</v>
      </c>
      <c r="B62" s="605" t="s">
        <v>465</v>
      </c>
      <c r="C62"/>
      <c r="D62"/>
      <c r="E62" s="591"/>
      <c r="F62" s="590"/>
      <c r="G62" s="590"/>
    </row>
    <row r="63" spans="1:8" s="577" customFormat="1" ht="14.4" x14ac:dyDescent="0.3">
      <c r="A63" s="678">
        <v>270000</v>
      </c>
      <c r="B63" s="605" t="s">
        <v>464</v>
      </c>
      <c r="C63"/>
      <c r="D63"/>
      <c r="E63" s="591"/>
      <c r="F63" s="590"/>
      <c r="G63" s="590"/>
    </row>
    <row r="64" spans="1:8" s="577" customFormat="1" ht="14.4" x14ac:dyDescent="0.3">
      <c r="A64" s="678">
        <v>285000</v>
      </c>
      <c r="B64" s="605" t="s">
        <v>465</v>
      </c>
      <c r="C64"/>
      <c r="D64"/>
      <c r="E64" s="591"/>
      <c r="F64" s="590"/>
      <c r="G64" s="590"/>
    </row>
    <row r="65" spans="1:7" s="577" customFormat="1" ht="14.4" x14ac:dyDescent="0.3">
      <c r="A65" s="678">
        <v>300000</v>
      </c>
      <c r="B65" s="605" t="s">
        <v>466</v>
      </c>
      <c r="C65"/>
      <c r="D65"/>
      <c r="E65" s="591"/>
      <c r="F65" s="590"/>
      <c r="G65" s="590"/>
    </row>
    <row r="66" spans="1:7" s="577" customFormat="1" ht="14.4" x14ac:dyDescent="0.3">
      <c r="A66" s="678">
        <v>320000</v>
      </c>
      <c r="B66" s="605" t="s">
        <v>465</v>
      </c>
      <c r="C66"/>
      <c r="D66"/>
      <c r="E66" s="591"/>
      <c r="F66" s="590"/>
      <c r="G66" s="590"/>
    </row>
    <row r="67" spans="1:7" s="577" customFormat="1" ht="14.4" x14ac:dyDescent="0.3">
      <c r="A67" s="678">
        <v>360000</v>
      </c>
      <c r="B67" s="605" t="s">
        <v>464</v>
      </c>
      <c r="C67"/>
      <c r="D67"/>
      <c r="E67" s="591"/>
      <c r="F67" s="590"/>
      <c r="G67" s="590"/>
    </row>
    <row r="68" spans="1:7" s="577" customFormat="1" ht="14.4" x14ac:dyDescent="0.3">
      <c r="A68" s="678">
        <v>398000</v>
      </c>
      <c r="B68" s="605" t="s">
        <v>465</v>
      </c>
      <c r="C68"/>
      <c r="D68"/>
      <c r="E68" s="591"/>
      <c r="F68" s="590"/>
      <c r="G68" s="590"/>
    </row>
    <row r="69" spans="1:7" s="577" customFormat="1" ht="14.4" x14ac:dyDescent="0.3">
      <c r="A69" s="678">
        <v>399000</v>
      </c>
      <c r="B69" s="605" t="s">
        <v>465</v>
      </c>
      <c r="C69"/>
      <c r="D69"/>
      <c r="E69" s="591"/>
      <c r="F69" s="590"/>
      <c r="G69" s="590"/>
    </row>
    <row r="70" spans="1:7" s="577" customFormat="1" ht="14.4" x14ac:dyDescent="0.3">
      <c r="A70" s="678">
        <v>399900</v>
      </c>
      <c r="B70" s="605" t="s">
        <v>466</v>
      </c>
      <c r="C70"/>
      <c r="D70"/>
      <c r="E70" s="591"/>
      <c r="F70" s="590"/>
      <c r="G70" s="590"/>
    </row>
    <row r="71" spans="1:7" s="577" customFormat="1" ht="14.4" x14ac:dyDescent="0.3">
      <c r="A71" s="678">
        <v>499900</v>
      </c>
      <c r="B71" s="605" t="s">
        <v>464</v>
      </c>
      <c r="C71"/>
      <c r="D71"/>
      <c r="E71" s="591"/>
      <c r="F71" s="590"/>
      <c r="G71" s="590"/>
    </row>
    <row r="72" spans="1:7" s="577" customFormat="1" ht="14.4" x14ac:dyDescent="0.3">
      <c r="A72" s="678">
        <v>550000</v>
      </c>
      <c r="B72" s="605" t="s">
        <v>464</v>
      </c>
      <c r="C72"/>
      <c r="D72"/>
      <c r="E72" s="591"/>
      <c r="F72" s="590"/>
      <c r="G72" s="590"/>
    </row>
    <row r="73" spans="1:7" s="577" customFormat="1" ht="14.4" x14ac:dyDescent="0.25">
      <c r="A73" s="679">
        <v>715000</v>
      </c>
      <c r="B73" s="607" t="s">
        <v>464</v>
      </c>
      <c r="C73" s="590"/>
      <c r="D73" s="590"/>
      <c r="E73" s="591"/>
      <c r="F73" s="590"/>
      <c r="G73" s="590"/>
    </row>
    <row r="74" spans="1:7" customFormat="1" ht="14.4" x14ac:dyDescent="0.3"/>
    <row r="75" spans="1:7" customFormat="1" ht="14.4" x14ac:dyDescent="0.3"/>
    <row r="76" spans="1:7" customFormat="1" ht="14.4" x14ac:dyDescent="0.3"/>
    <row r="77" spans="1:7" customFormat="1" ht="14.4" x14ac:dyDescent="0.3"/>
    <row r="78" spans="1:7" customFormat="1" ht="14.4" x14ac:dyDescent="0.3"/>
    <row r="79" spans="1:7" customFormat="1" ht="14.4" x14ac:dyDescent="0.3"/>
    <row r="80" spans="1:7" customFormat="1" ht="14.4" x14ac:dyDescent="0.3"/>
    <row r="81" customFormat="1" ht="14.4" x14ac:dyDescent="0.3"/>
    <row r="82" customFormat="1" ht="14.4" x14ac:dyDescent="0.3"/>
    <row r="83" customFormat="1" ht="14.4" x14ac:dyDescent="0.3"/>
    <row r="84" customFormat="1" ht="14.4" x14ac:dyDescent="0.3"/>
    <row r="85" customFormat="1" ht="14.4" x14ac:dyDescent="0.3"/>
    <row r="86" customFormat="1" ht="14.4" x14ac:dyDescent="0.3"/>
    <row r="87" customFormat="1" ht="14.4" x14ac:dyDescent="0.3"/>
  </sheetData>
  <mergeCells count="11">
    <mergeCell ref="A41:H41"/>
    <mergeCell ref="A1:G1"/>
    <mergeCell ref="A20:K20"/>
    <mergeCell ref="G21:H21"/>
    <mergeCell ref="I21:J21"/>
    <mergeCell ref="K22:K37"/>
    <mergeCell ref="A7:H7"/>
    <mergeCell ref="H9:H10"/>
    <mergeCell ref="B11:E11"/>
    <mergeCell ref="H11:H12"/>
    <mergeCell ref="B12:E12"/>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H12"/>
  <sheetViews>
    <sheetView zoomScaleNormal="100" workbookViewId="0">
      <selection sqref="A1:F1"/>
    </sheetView>
  </sheetViews>
  <sheetFormatPr defaultColWidth="8.6640625" defaultRowHeight="13.2" x14ac:dyDescent="0.25"/>
  <cols>
    <col min="1" max="1" width="35.33203125" style="5" customWidth="1"/>
    <col min="2" max="2" width="35.6640625" style="5" customWidth="1"/>
    <col min="3" max="3" width="39.5546875" style="5" customWidth="1"/>
    <col min="4" max="4" width="37.44140625" style="5" customWidth="1"/>
    <col min="5" max="5" width="30.6640625" style="5" customWidth="1"/>
    <col min="6" max="6" width="53.6640625" style="5" customWidth="1"/>
    <col min="7" max="7" width="35.33203125" style="5" customWidth="1"/>
    <col min="8" max="8" width="18.6640625" style="5" customWidth="1"/>
    <col min="9" max="9" width="14.33203125" style="5" customWidth="1"/>
    <col min="10" max="10" width="8.6640625" style="5"/>
    <col min="11" max="11" width="10.5546875" style="5" bestFit="1" customWidth="1"/>
    <col min="12" max="12" width="16.33203125" style="5" customWidth="1"/>
    <col min="13" max="13" width="10.6640625" style="5" bestFit="1" customWidth="1"/>
    <col min="14" max="14" width="10.5546875" style="5" bestFit="1" customWidth="1"/>
    <col min="15" max="16384" width="8.6640625" style="5"/>
  </cols>
  <sheetData>
    <row r="1" spans="1:8" ht="23.4" customHeight="1" x14ac:dyDescent="0.25">
      <c r="A1" s="844" t="str">
        <f>"Equipment - "&amp;Prototype!A2</f>
        <v>Equipment - RestaurantSitDown</v>
      </c>
      <c r="B1" s="845"/>
      <c r="C1" s="845"/>
      <c r="D1" s="845"/>
      <c r="E1" s="845"/>
      <c r="F1" s="845"/>
    </row>
    <row r="2" spans="1:8" ht="29.4" customHeight="1" x14ac:dyDescent="0.25">
      <c r="A2" s="135" t="s">
        <v>384</v>
      </c>
      <c r="B2" s="135" t="s">
        <v>467</v>
      </c>
      <c r="C2" s="239" t="s">
        <v>468</v>
      </c>
      <c r="D2" s="135" t="s">
        <v>469</v>
      </c>
      <c r="E2" s="135" t="s">
        <v>470</v>
      </c>
      <c r="F2" s="135" t="s">
        <v>244</v>
      </c>
      <c r="G2" s="7"/>
    </row>
    <row r="3" spans="1:8" ht="26.4" x14ac:dyDescent="0.25">
      <c r="A3" s="699" t="str">
        <f>Zones!C3</f>
        <v>Dining Area (Bar/Lounge and Fine Dining)</v>
      </c>
      <c r="B3" s="238">
        <v>0.5</v>
      </c>
      <c r="C3" s="236"/>
      <c r="D3" s="7">
        <v>0.25</v>
      </c>
      <c r="E3" s="701"/>
      <c r="F3" s="237" t="s">
        <v>471</v>
      </c>
      <c r="G3" s="8"/>
    </row>
    <row r="4" spans="1:8" ht="81" customHeight="1" x14ac:dyDescent="0.25">
      <c r="A4" s="699" t="str">
        <f>Zones!C4</f>
        <v>Kitchen/Food Preparation Area</v>
      </c>
      <c r="B4" s="701">
        <v>1.5</v>
      </c>
      <c r="C4" s="399">
        <v>590</v>
      </c>
      <c r="D4" s="699">
        <v>1.1200000000000001</v>
      </c>
      <c r="E4" s="555">
        <f>17.54*5500/1200</f>
        <v>80.391666666666666</v>
      </c>
      <c r="F4" s="192" t="s">
        <v>472</v>
      </c>
      <c r="G4" s="8"/>
      <c r="H4" s="51"/>
    </row>
    <row r="5" spans="1:8" ht="22.2" customHeight="1" x14ac:dyDescent="0.25">
      <c r="A5" s="699" t="str">
        <f>Zones!C5</f>
        <v>Attic</v>
      </c>
      <c r="B5" s="699"/>
      <c r="C5" s="699"/>
      <c r="D5" s="699"/>
      <c r="E5" s="699"/>
      <c r="F5" s="699"/>
      <c r="G5" s="8"/>
      <c r="H5" s="51"/>
    </row>
    <row r="6" spans="1:8" ht="18" customHeight="1" x14ac:dyDescent="0.25">
      <c r="A6" s="222" t="s">
        <v>473</v>
      </c>
      <c r="B6" s="395"/>
      <c r="C6" s="82"/>
      <c r="D6" s="7"/>
      <c r="F6" s="7"/>
      <c r="G6" s="8"/>
      <c r="H6" s="20"/>
    </row>
    <row r="7" spans="1:8" x14ac:dyDescent="0.25">
      <c r="A7" s="240" t="s">
        <v>474</v>
      </c>
      <c r="B7" s="82"/>
      <c r="C7" s="82"/>
    </row>
    <row r="8" spans="1:8" x14ac:dyDescent="0.25">
      <c r="A8" s="82" t="s">
        <v>475</v>
      </c>
      <c r="B8" s="82"/>
      <c r="C8" s="82"/>
    </row>
    <row r="9" spans="1:8" x14ac:dyDescent="0.25">
      <c r="A9" s="400"/>
      <c r="B9" s="82"/>
      <c r="C9" s="82"/>
      <c r="F9" s="67"/>
      <c r="G9" s="67">
        <f>F9/Schedules!AG59/1200</f>
        <v>0</v>
      </c>
      <c r="H9" s="232"/>
    </row>
    <row r="10" spans="1:8" x14ac:dyDescent="0.25">
      <c r="A10" s="6"/>
      <c r="G10" s="552"/>
    </row>
    <row r="11" spans="1:8" x14ac:dyDescent="0.25">
      <c r="A11" s="6"/>
      <c r="F11" s="232"/>
    </row>
    <row r="12" spans="1:8" x14ac:dyDescent="0.25">
      <c r="A12" s="6"/>
    </row>
  </sheetData>
  <mergeCells count="1">
    <mergeCell ref="A1:F1"/>
  </mergeCells>
  <phoneticPr fontId="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H40"/>
  <sheetViews>
    <sheetView zoomScale="85" zoomScaleNormal="85" workbookViewId="0">
      <selection sqref="A1:D1"/>
    </sheetView>
  </sheetViews>
  <sheetFormatPr defaultColWidth="8.6640625" defaultRowHeight="13.2" x14ac:dyDescent="0.25"/>
  <cols>
    <col min="1" max="1" width="34" style="5" customWidth="1"/>
    <col min="2" max="2" width="37.88671875" style="5" customWidth="1"/>
    <col min="3" max="3" width="12.44140625" style="5" customWidth="1"/>
    <col min="4" max="4" width="20.33203125" style="5" customWidth="1"/>
    <col min="5" max="5" width="33.109375" style="5" customWidth="1"/>
    <col min="6" max="6" width="12.5546875" style="5" customWidth="1"/>
    <col min="7" max="7" width="17.5546875" style="5" customWidth="1"/>
    <col min="8" max="8" width="15.5546875" style="5" customWidth="1"/>
    <col min="9" max="9" width="13.33203125" style="5" customWidth="1"/>
    <col min="10" max="16384" width="8.6640625" style="5"/>
  </cols>
  <sheetData>
    <row r="1" spans="1:7" ht="25.2" customHeight="1" x14ac:dyDescent="0.25">
      <c r="A1" s="847" t="str">
        <f>"Exterior Lighting - "&amp;Prototype!A2</f>
        <v>Exterior Lighting - RestaurantSitDown</v>
      </c>
      <c r="B1" s="847"/>
      <c r="C1" s="847"/>
      <c r="D1" s="847"/>
    </row>
    <row r="2" spans="1:7" ht="37.200000000000003" customHeight="1" x14ac:dyDescent="0.25">
      <c r="A2" s="138" t="s">
        <v>476</v>
      </c>
      <c r="B2" s="138" t="s">
        <v>477</v>
      </c>
      <c r="C2" s="138" t="s">
        <v>478</v>
      </c>
      <c r="D2" s="138" t="s">
        <v>244</v>
      </c>
    </row>
    <row r="3" spans="1:7" ht="22.2" customHeight="1" x14ac:dyDescent="0.25">
      <c r="A3" s="141">
        <f>G18</f>
        <v>760.85557399999993</v>
      </c>
      <c r="B3" s="141">
        <f>G19</f>
        <v>136.86346699999999</v>
      </c>
      <c r="C3" s="141">
        <f>B3+A3</f>
        <v>897.71904099999995</v>
      </c>
      <c r="D3" s="699" t="s">
        <v>479</v>
      </c>
    </row>
    <row r="8" spans="1:7" ht="22.2" customHeight="1" x14ac:dyDescent="0.25">
      <c r="A8" s="738" t="s">
        <v>480</v>
      </c>
      <c r="B8" s="738"/>
      <c r="C8" s="738"/>
      <c r="D8" s="738"/>
      <c r="E8" s="738"/>
      <c r="F8" s="738"/>
      <c r="G8" s="115"/>
    </row>
    <row r="9" spans="1:7" ht="57.6" customHeight="1" x14ac:dyDescent="0.25">
      <c r="A9" s="137" t="s">
        <v>481</v>
      </c>
      <c r="B9" s="848" t="s">
        <v>482</v>
      </c>
      <c r="C9" s="849"/>
      <c r="D9" s="138" t="s">
        <v>483</v>
      </c>
      <c r="E9" s="138" t="s">
        <v>484</v>
      </c>
      <c r="F9" s="138" t="s">
        <v>483</v>
      </c>
      <c r="G9" s="138" t="s">
        <v>485</v>
      </c>
    </row>
    <row r="10" spans="1:7" ht="19.2" customHeight="1" x14ac:dyDescent="0.25">
      <c r="A10" s="139" t="s">
        <v>486</v>
      </c>
      <c r="B10" s="169"/>
      <c r="C10" s="204"/>
      <c r="D10" s="701"/>
      <c r="E10" s="701">
        <v>200</v>
      </c>
      <c r="F10" s="701" t="s">
        <v>487</v>
      </c>
      <c r="G10" s="205">
        <f>$E10</f>
        <v>200</v>
      </c>
    </row>
    <row r="11" spans="1:7" ht="39.6" x14ac:dyDescent="0.25">
      <c r="A11" s="136" t="s">
        <v>488</v>
      </c>
      <c r="B11" s="192" t="s">
        <v>489</v>
      </c>
      <c r="C11" s="206">
        <f>B25/250*400</f>
        <v>8803.2160000000003</v>
      </c>
      <c r="D11" s="701" t="s">
        <v>490</v>
      </c>
      <c r="E11" s="701">
        <v>1.9E-2</v>
      </c>
      <c r="F11" s="701" t="s">
        <v>491</v>
      </c>
      <c r="G11" s="205">
        <f>$E11*C11</f>
        <v>167.26110399999999</v>
      </c>
    </row>
    <row r="12" spans="1:7" ht="24" customHeight="1" x14ac:dyDescent="0.25">
      <c r="A12" s="139" t="s">
        <v>492</v>
      </c>
      <c r="B12" s="192" t="s">
        <v>493</v>
      </c>
      <c r="C12" s="204">
        <v>1</v>
      </c>
      <c r="D12" s="701" t="s">
        <v>494</v>
      </c>
      <c r="E12" s="701">
        <v>15</v>
      </c>
      <c r="F12" s="701" t="s">
        <v>495</v>
      </c>
      <c r="G12" s="205">
        <f>E12*C12</f>
        <v>15</v>
      </c>
    </row>
    <row r="13" spans="1:7" ht="26.4" x14ac:dyDescent="0.25">
      <c r="A13" s="139" t="s">
        <v>496</v>
      </c>
      <c r="B13" s="192" t="s">
        <v>497</v>
      </c>
      <c r="C13" s="203">
        <f>B25*0.1</f>
        <v>550.20100000000002</v>
      </c>
      <c r="D13" s="701" t="s">
        <v>490</v>
      </c>
      <c r="E13" s="701">
        <v>7.0000000000000001E-3</v>
      </c>
      <c r="F13" s="701" t="s">
        <v>491</v>
      </c>
      <c r="G13" s="205">
        <f>E13*C13</f>
        <v>3.851407</v>
      </c>
    </row>
    <row r="14" spans="1:7" ht="96" customHeight="1" x14ac:dyDescent="0.25">
      <c r="A14" s="139" t="s">
        <v>498</v>
      </c>
      <c r="B14" s="192" t="s">
        <v>499</v>
      </c>
      <c r="C14" s="203">
        <f>B24*0.5*B27</f>
        <v>1000</v>
      </c>
      <c r="D14" s="701" t="s">
        <v>490</v>
      </c>
      <c r="E14" s="701">
        <v>0.1</v>
      </c>
      <c r="F14" s="701" t="s">
        <v>491</v>
      </c>
      <c r="G14" s="205">
        <f>E14*C14</f>
        <v>100</v>
      </c>
    </row>
    <row r="15" spans="1:7" ht="17.399999999999999" customHeight="1" x14ac:dyDescent="0.3">
      <c r="A15" s="351" t="s">
        <v>500</v>
      </c>
      <c r="B15" s="192" t="s">
        <v>501</v>
      </c>
      <c r="C15" s="203">
        <f>ROUND(B25/1500,0)</f>
        <v>4</v>
      </c>
      <c r="D15" s="701" t="s">
        <v>494</v>
      </c>
      <c r="E15" s="701">
        <v>30</v>
      </c>
      <c r="F15" s="701" t="s">
        <v>495</v>
      </c>
      <c r="G15" s="205">
        <f t="shared" ref="G15:G17" si="0">E15*C15</f>
        <v>120</v>
      </c>
    </row>
    <row r="16" spans="1:7" ht="17.399999999999999" customHeight="1" x14ac:dyDescent="0.3">
      <c r="A16" s="351" t="s">
        <v>502</v>
      </c>
      <c r="B16" s="192" t="s">
        <v>503</v>
      </c>
      <c r="C16" s="203">
        <f>1/5*B25</f>
        <v>1100.402</v>
      </c>
      <c r="D16" s="701" t="s">
        <v>490</v>
      </c>
      <c r="E16" s="701">
        <v>0.03</v>
      </c>
      <c r="F16" s="701" t="s">
        <v>491</v>
      </c>
      <c r="G16" s="205">
        <f t="shared" si="0"/>
        <v>33.012059999999998</v>
      </c>
    </row>
    <row r="17" spans="1:8" s="73" customFormat="1" ht="17.399999999999999" customHeight="1" x14ac:dyDescent="0.25">
      <c r="A17" s="398" t="s">
        <v>504</v>
      </c>
      <c r="B17" s="192" t="s">
        <v>505</v>
      </c>
      <c r="C17" s="203">
        <f>0.1*B25</f>
        <v>550.20100000000002</v>
      </c>
      <c r="D17" s="701" t="s">
        <v>490</v>
      </c>
      <c r="E17" s="701">
        <v>0.47</v>
      </c>
      <c r="F17" s="701" t="s">
        <v>491</v>
      </c>
      <c r="G17" s="205">
        <f t="shared" si="0"/>
        <v>258.59447</v>
      </c>
      <c r="H17" s="82" t="s">
        <v>506</v>
      </c>
    </row>
    <row r="18" spans="1:8" ht="13.8" x14ac:dyDescent="0.25">
      <c r="A18" s="846" t="s">
        <v>507</v>
      </c>
      <c r="B18" s="846"/>
      <c r="C18" s="846"/>
      <c r="D18" s="846"/>
      <c r="E18" s="846"/>
      <c r="F18" s="846"/>
      <c r="G18" s="140">
        <f>G11+G10+G12+G15+G17</f>
        <v>760.85557399999993</v>
      </c>
    </row>
    <row r="19" spans="1:8" ht="13.8" x14ac:dyDescent="0.25">
      <c r="A19" s="846" t="s">
        <v>508</v>
      </c>
      <c r="B19" s="846"/>
      <c r="C19" s="846"/>
      <c r="D19" s="846"/>
      <c r="E19" s="846"/>
      <c r="F19" s="846"/>
      <c r="G19" s="140">
        <f>G13+G14+G16</f>
        <v>136.86346699999999</v>
      </c>
    </row>
    <row r="20" spans="1:8" ht="13.8" x14ac:dyDescent="0.25">
      <c r="A20" s="846" t="s">
        <v>509</v>
      </c>
      <c r="B20" s="846"/>
      <c r="C20" s="846"/>
      <c r="D20" s="846"/>
      <c r="E20" s="846"/>
      <c r="F20" s="846"/>
      <c r="G20" s="140">
        <f t="shared" ref="G20" si="1">G18+G19</f>
        <v>897.71904099999995</v>
      </c>
    </row>
    <row r="21" spans="1:8" ht="13.8" x14ac:dyDescent="0.25">
      <c r="A21" s="702"/>
      <c r="B21" s="702"/>
      <c r="C21" s="702"/>
      <c r="D21" s="702"/>
      <c r="E21" s="702"/>
      <c r="F21" s="702"/>
      <c r="G21" s="128"/>
    </row>
    <row r="22" spans="1:8" x14ac:dyDescent="0.25">
      <c r="C22" s="698"/>
      <c r="F22" s="129"/>
    </row>
    <row r="23" spans="1:8" x14ac:dyDescent="0.25">
      <c r="B23" s="73"/>
      <c r="C23" s="698"/>
      <c r="F23" s="129"/>
    </row>
    <row r="24" spans="1:8" x14ac:dyDescent="0.25">
      <c r="A24" s="5" t="s">
        <v>510</v>
      </c>
      <c r="B24" s="202">
        <f>(50+50)*2</f>
        <v>200</v>
      </c>
      <c r="C24" s="698"/>
      <c r="F24" s="129"/>
    </row>
    <row r="25" spans="1:8" x14ac:dyDescent="0.25">
      <c r="A25" s="5" t="s">
        <v>511</v>
      </c>
      <c r="B25" s="207">
        <f>Zones!H6</f>
        <v>5502.01</v>
      </c>
      <c r="F25" s="129"/>
    </row>
    <row r="26" spans="1:8" x14ac:dyDescent="0.25">
      <c r="A26" s="5" t="s">
        <v>512</v>
      </c>
      <c r="B26" s="202">
        <v>1</v>
      </c>
      <c r="F26" s="129"/>
    </row>
    <row r="27" spans="1:8" x14ac:dyDescent="0.25">
      <c r="A27" s="5" t="s">
        <v>91</v>
      </c>
      <c r="B27" s="123">
        <v>10</v>
      </c>
    </row>
    <row r="28" spans="1:8" x14ac:dyDescent="0.25">
      <c r="B28" s="123"/>
    </row>
    <row r="29" spans="1:8" x14ac:dyDescent="0.25">
      <c r="B29" s="123"/>
    </row>
    <row r="30" spans="1:8" x14ac:dyDescent="0.25">
      <c r="B30" s="123"/>
    </row>
    <row r="34" spans="1:1" hidden="1" x14ac:dyDescent="0.25">
      <c r="A34" s="6" t="s">
        <v>513</v>
      </c>
    </row>
    <row r="35" spans="1:1" hidden="1" x14ac:dyDescent="0.25"/>
    <row r="36" spans="1:1" hidden="1" x14ac:dyDescent="0.25"/>
    <row r="37" spans="1:1" hidden="1" x14ac:dyDescent="0.25"/>
    <row r="38" spans="1:1" hidden="1" x14ac:dyDescent="0.25"/>
    <row r="39" spans="1:1" hidden="1" x14ac:dyDescent="0.25"/>
    <row r="40" spans="1:1" hidden="1" x14ac:dyDescent="0.25"/>
  </sheetData>
  <mergeCells count="6">
    <mergeCell ref="A18:F18"/>
    <mergeCell ref="A19:F19"/>
    <mergeCell ref="A20:F20"/>
    <mergeCell ref="A1:D1"/>
    <mergeCell ref="B9:C9"/>
    <mergeCell ref="A8:F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1"/>
  <dimension ref="A1:AO10204"/>
  <sheetViews>
    <sheetView zoomScale="70" zoomScaleNormal="70" workbookViewId="0">
      <pane xSplit="5" ySplit="3" topLeftCell="F64" activePane="bottomRight" state="frozen"/>
      <selection pane="topRight" activeCell="E1" sqref="E1"/>
      <selection pane="bottomLeft" activeCell="A4" sqref="A4"/>
      <selection pane="bottomRight" activeCell="C72" sqref="C72:C74"/>
    </sheetView>
  </sheetViews>
  <sheetFormatPr defaultColWidth="9.33203125" defaultRowHeight="11.4" x14ac:dyDescent="0.3"/>
  <cols>
    <col min="1" max="1" width="9.33203125" style="37"/>
    <col min="2" max="2" width="19.33203125" style="37" customWidth="1"/>
    <col min="3" max="3" width="28.6640625" style="37" customWidth="1"/>
    <col min="4" max="4" width="27.6640625" style="37" customWidth="1"/>
    <col min="5" max="5" width="9.33203125" style="37"/>
    <col min="6" max="29" width="5.6640625" style="37" customWidth="1"/>
    <col min="30" max="16384" width="9.33203125" style="37"/>
  </cols>
  <sheetData>
    <row r="1" spans="1:39" ht="24" customHeight="1" x14ac:dyDescent="0.3">
      <c r="A1" s="801" t="str">
        <f>"Schedules - "&amp;Prototype!A2</f>
        <v>Schedules - RestaurantSitDown</v>
      </c>
      <c r="B1" s="801"/>
      <c r="C1" s="801"/>
      <c r="D1" s="801"/>
      <c r="E1" s="801"/>
      <c r="F1" s="801"/>
      <c r="G1" s="801"/>
      <c r="H1" s="801"/>
      <c r="I1" s="801"/>
      <c r="J1" s="801"/>
      <c r="K1" s="801"/>
      <c r="L1" s="801"/>
      <c r="M1" s="801"/>
      <c r="N1" s="801"/>
      <c r="O1" s="801"/>
      <c r="P1" s="801"/>
      <c r="Q1" s="801"/>
      <c r="R1" s="801"/>
      <c r="S1" s="801"/>
      <c r="T1" s="801"/>
      <c r="U1" s="801"/>
      <c r="V1" s="801"/>
      <c r="W1" s="801"/>
      <c r="X1" s="801"/>
      <c r="Y1" s="801"/>
      <c r="Z1" s="801"/>
      <c r="AA1" s="801"/>
      <c r="AB1" s="801"/>
      <c r="AC1" s="907"/>
      <c r="AD1" s="38"/>
      <c r="AE1" s="38"/>
      <c r="AF1" s="38"/>
      <c r="AG1" s="38"/>
      <c r="AH1" s="38"/>
      <c r="AI1" s="39"/>
      <c r="AJ1" s="39"/>
      <c r="AK1" s="39"/>
    </row>
    <row r="2" spans="1:39" ht="24" customHeight="1" x14ac:dyDescent="0.3">
      <c r="A2" s="905" t="s">
        <v>542</v>
      </c>
      <c r="B2" s="905" t="s">
        <v>166</v>
      </c>
      <c r="C2" s="905" t="s">
        <v>543</v>
      </c>
      <c r="D2" s="905" t="s">
        <v>244</v>
      </c>
      <c r="E2" s="905" t="s">
        <v>544</v>
      </c>
      <c r="F2" s="916" t="s">
        <v>545</v>
      </c>
      <c r="G2" s="916"/>
      <c r="H2" s="916"/>
      <c r="I2" s="916"/>
      <c r="J2" s="916"/>
      <c r="K2" s="916"/>
      <c r="L2" s="916"/>
      <c r="M2" s="916"/>
      <c r="N2" s="916"/>
      <c r="O2" s="916"/>
      <c r="P2" s="916"/>
      <c r="Q2" s="916"/>
      <c r="R2" s="916"/>
      <c r="S2" s="916"/>
      <c r="T2" s="916"/>
      <c r="U2" s="916"/>
      <c r="V2" s="916"/>
      <c r="W2" s="916"/>
      <c r="X2" s="916"/>
      <c r="Y2" s="916"/>
      <c r="Z2" s="916"/>
      <c r="AA2" s="916"/>
      <c r="AB2" s="916"/>
      <c r="AC2" s="916"/>
      <c r="AD2" s="38"/>
      <c r="AE2" s="38"/>
      <c r="AF2" s="38"/>
      <c r="AG2" s="38"/>
      <c r="AH2" s="38"/>
      <c r="AI2" s="39"/>
      <c r="AJ2" s="39"/>
      <c r="AK2" s="39"/>
    </row>
    <row r="3" spans="1:39" ht="25.2" customHeight="1" thickBot="1" x14ac:dyDescent="0.35">
      <c r="A3" s="906"/>
      <c r="B3" s="906"/>
      <c r="C3" s="906"/>
      <c r="D3" s="906"/>
      <c r="E3" s="906"/>
      <c r="F3" s="713">
        <v>1</v>
      </c>
      <c r="G3" s="713">
        <v>2</v>
      </c>
      <c r="H3" s="713">
        <v>3</v>
      </c>
      <c r="I3" s="713">
        <v>4</v>
      </c>
      <c r="J3" s="713">
        <v>5</v>
      </c>
      <c r="K3" s="713">
        <v>6</v>
      </c>
      <c r="L3" s="713">
        <v>7</v>
      </c>
      <c r="M3" s="713">
        <v>8</v>
      </c>
      <c r="N3" s="713">
        <v>9</v>
      </c>
      <c r="O3" s="713">
        <v>10</v>
      </c>
      <c r="P3" s="713">
        <v>11</v>
      </c>
      <c r="Q3" s="713">
        <v>12</v>
      </c>
      <c r="R3" s="713">
        <v>13</v>
      </c>
      <c r="S3" s="713">
        <v>14</v>
      </c>
      <c r="T3" s="713">
        <v>15</v>
      </c>
      <c r="U3" s="713">
        <v>16</v>
      </c>
      <c r="V3" s="713">
        <v>17</v>
      </c>
      <c r="W3" s="713">
        <v>18</v>
      </c>
      <c r="X3" s="713">
        <v>19</v>
      </c>
      <c r="Y3" s="713">
        <v>20</v>
      </c>
      <c r="Z3" s="713">
        <v>21</v>
      </c>
      <c r="AA3" s="713">
        <v>22</v>
      </c>
      <c r="AB3" s="713">
        <v>23</v>
      </c>
      <c r="AC3" s="713">
        <v>24</v>
      </c>
      <c r="AD3" s="39"/>
      <c r="AE3" s="39"/>
      <c r="AF3" s="39"/>
      <c r="AG3" s="39"/>
      <c r="AH3" s="39"/>
      <c r="AI3" s="39"/>
      <c r="AJ3" s="39"/>
      <c r="AK3" s="39"/>
    </row>
    <row r="4" spans="1:39" ht="34.950000000000003" customHeight="1" x14ac:dyDescent="0.3">
      <c r="A4" s="853" t="s">
        <v>100</v>
      </c>
      <c r="B4" s="917" t="s">
        <v>77</v>
      </c>
      <c r="C4" s="917" t="s">
        <v>546</v>
      </c>
      <c r="D4" s="897" t="s">
        <v>547</v>
      </c>
      <c r="E4" s="467" t="s">
        <v>548</v>
      </c>
      <c r="F4" s="242">
        <v>0.05</v>
      </c>
      <c r="G4" s="242">
        <v>0</v>
      </c>
      <c r="H4" s="242">
        <v>0</v>
      </c>
      <c r="I4" s="242">
        <v>0</v>
      </c>
      <c r="J4" s="242">
        <v>0</v>
      </c>
      <c r="K4" s="242">
        <v>0.05</v>
      </c>
      <c r="L4" s="242">
        <v>0.1</v>
      </c>
      <c r="M4" s="242">
        <v>0.4</v>
      </c>
      <c r="N4" s="242">
        <v>0.4</v>
      </c>
      <c r="O4" s="242">
        <v>0.4</v>
      </c>
      <c r="P4" s="242">
        <v>0.2</v>
      </c>
      <c r="Q4" s="242">
        <v>0.5</v>
      </c>
      <c r="R4" s="242">
        <v>0.8</v>
      </c>
      <c r="S4" s="242">
        <v>0.7</v>
      </c>
      <c r="T4" s="242">
        <v>0.4</v>
      </c>
      <c r="U4" s="242">
        <v>0.2</v>
      </c>
      <c r="V4" s="242">
        <v>0.25</v>
      </c>
      <c r="W4" s="242">
        <v>0.5</v>
      </c>
      <c r="X4" s="242">
        <v>0.8</v>
      </c>
      <c r="Y4" s="242">
        <v>0.8</v>
      </c>
      <c r="Z4" s="242">
        <v>0.8</v>
      </c>
      <c r="AA4" s="242">
        <v>0.5</v>
      </c>
      <c r="AB4" s="242">
        <v>0.35</v>
      </c>
      <c r="AC4" s="243">
        <v>0.2</v>
      </c>
      <c r="AD4" s="39"/>
      <c r="AE4" s="39"/>
      <c r="AF4" s="39"/>
      <c r="AG4" s="39"/>
      <c r="AH4" s="39"/>
      <c r="AI4" s="39"/>
      <c r="AJ4" s="39"/>
      <c r="AK4" s="39"/>
    </row>
    <row r="5" spans="1:39" ht="34.950000000000003" customHeight="1" x14ac:dyDescent="0.3">
      <c r="A5" s="854"/>
      <c r="B5" s="918"/>
      <c r="C5" s="918"/>
      <c r="D5" s="898"/>
      <c r="E5" s="468" t="s">
        <v>549</v>
      </c>
      <c r="F5" s="87">
        <v>0.05</v>
      </c>
      <c r="G5" s="87">
        <v>0</v>
      </c>
      <c r="H5" s="87">
        <v>0</v>
      </c>
      <c r="I5" s="87">
        <v>0</v>
      </c>
      <c r="J5" s="87">
        <v>0</v>
      </c>
      <c r="K5" s="87">
        <v>0</v>
      </c>
      <c r="L5" s="87">
        <v>0.05</v>
      </c>
      <c r="M5" s="87">
        <v>0.5</v>
      </c>
      <c r="N5" s="87">
        <v>0.5</v>
      </c>
      <c r="O5" s="87">
        <v>0.4</v>
      </c>
      <c r="P5" s="87">
        <v>0.2</v>
      </c>
      <c r="Q5" s="87">
        <v>0.45</v>
      </c>
      <c r="R5" s="87">
        <v>0.5</v>
      </c>
      <c r="S5" s="87">
        <v>0.5</v>
      </c>
      <c r="T5" s="87">
        <v>0.35</v>
      </c>
      <c r="U5" s="87">
        <v>0.3</v>
      </c>
      <c r="V5" s="87">
        <v>0.3</v>
      </c>
      <c r="W5" s="87">
        <v>0.3</v>
      </c>
      <c r="X5" s="87">
        <v>0.7</v>
      </c>
      <c r="Y5" s="87">
        <v>0.9</v>
      </c>
      <c r="Z5" s="87">
        <v>0.7</v>
      </c>
      <c r="AA5" s="87">
        <v>0.65</v>
      </c>
      <c r="AB5" s="87">
        <v>0.55000000000000004</v>
      </c>
      <c r="AC5" s="245">
        <v>0.35</v>
      </c>
      <c r="AD5" s="39"/>
      <c r="AE5" s="39"/>
      <c r="AF5" s="39"/>
      <c r="AG5" s="39"/>
      <c r="AH5" s="39"/>
      <c r="AI5" s="39"/>
      <c r="AJ5" s="39"/>
      <c r="AK5" s="39"/>
    </row>
    <row r="6" spans="1:39" ht="34.950000000000003" customHeight="1" thickBot="1" x14ac:dyDescent="0.35">
      <c r="A6" s="855"/>
      <c r="B6" s="919"/>
      <c r="C6" s="919"/>
      <c r="D6" s="899"/>
      <c r="E6" s="469" t="s">
        <v>550</v>
      </c>
      <c r="F6" s="247">
        <v>0.05</v>
      </c>
      <c r="G6" s="247">
        <v>0</v>
      </c>
      <c r="H6" s="247">
        <v>0</v>
      </c>
      <c r="I6" s="247">
        <v>0</v>
      </c>
      <c r="J6" s="247">
        <v>0</v>
      </c>
      <c r="K6" s="247">
        <v>0</v>
      </c>
      <c r="L6" s="247">
        <v>0.05</v>
      </c>
      <c r="M6" s="247">
        <v>0.5</v>
      </c>
      <c r="N6" s="247">
        <v>0.5</v>
      </c>
      <c r="O6" s="247">
        <v>0.2</v>
      </c>
      <c r="P6" s="247">
        <v>0.2</v>
      </c>
      <c r="Q6" s="247">
        <v>0.3</v>
      </c>
      <c r="R6" s="247">
        <v>0.5</v>
      </c>
      <c r="S6" s="247">
        <v>0.5</v>
      </c>
      <c r="T6" s="247">
        <v>0.3</v>
      </c>
      <c r="U6" s="247">
        <v>0.2</v>
      </c>
      <c r="V6" s="247">
        <v>0.25</v>
      </c>
      <c r="W6" s="247">
        <v>0.35</v>
      </c>
      <c r="X6" s="247">
        <v>0.55000000000000004</v>
      </c>
      <c r="Y6" s="247">
        <v>0.65</v>
      </c>
      <c r="Z6" s="247">
        <v>0.7</v>
      </c>
      <c r="AA6" s="247">
        <v>0.35</v>
      </c>
      <c r="AB6" s="247">
        <v>0.2</v>
      </c>
      <c r="AC6" s="248">
        <v>0.2</v>
      </c>
      <c r="AD6" s="39"/>
      <c r="AE6" s="39"/>
      <c r="AF6" s="39"/>
      <c r="AG6" s="39"/>
      <c r="AH6" s="39"/>
      <c r="AI6" s="39"/>
      <c r="AJ6" s="39"/>
      <c r="AK6" s="39"/>
    </row>
    <row r="7" spans="1:39" ht="37.950000000000003" customHeight="1" x14ac:dyDescent="0.3">
      <c r="A7" s="853" t="str">
        <f>A4</f>
        <v>Dining</v>
      </c>
      <c r="B7" s="917" t="s">
        <v>77</v>
      </c>
      <c r="C7" s="917" t="s">
        <v>551</v>
      </c>
      <c r="D7" s="897" t="s">
        <v>552</v>
      </c>
      <c r="E7" s="95" t="s">
        <v>548</v>
      </c>
      <c r="F7" s="96">
        <v>0.15</v>
      </c>
      <c r="G7" s="96">
        <v>0.15</v>
      </c>
      <c r="H7" s="96">
        <v>0.15</v>
      </c>
      <c r="I7" s="96">
        <v>0.15</v>
      </c>
      <c r="J7" s="96">
        <v>0.15</v>
      </c>
      <c r="K7" s="96">
        <v>0.2</v>
      </c>
      <c r="L7" s="320">
        <v>0.3</v>
      </c>
      <c r="M7" s="320">
        <f t="shared" ref="M7:AA9" si="0">M10-5%</f>
        <v>0.66999999999999993</v>
      </c>
      <c r="N7" s="320">
        <f t="shared" si="0"/>
        <v>0.73</v>
      </c>
      <c r="O7" s="320">
        <f t="shared" si="0"/>
        <v>0.75</v>
      </c>
      <c r="P7" s="320">
        <f t="shared" si="0"/>
        <v>0.85</v>
      </c>
      <c r="Q7" s="320">
        <f t="shared" si="0"/>
        <v>0.85</v>
      </c>
      <c r="R7" s="320">
        <f t="shared" si="0"/>
        <v>0.85</v>
      </c>
      <c r="S7" s="320">
        <f t="shared" si="0"/>
        <v>0.83</v>
      </c>
      <c r="T7" s="320">
        <f t="shared" si="0"/>
        <v>0.72</v>
      </c>
      <c r="U7" s="320">
        <f t="shared" si="0"/>
        <v>0.64999999999999991</v>
      </c>
      <c r="V7" s="320">
        <f t="shared" si="0"/>
        <v>0.66999999999999993</v>
      </c>
      <c r="W7" s="320">
        <f t="shared" si="0"/>
        <v>0.75</v>
      </c>
      <c r="X7" s="320">
        <f t="shared" si="0"/>
        <v>0.85</v>
      </c>
      <c r="Y7" s="320">
        <f t="shared" si="0"/>
        <v>0.85</v>
      </c>
      <c r="Z7" s="320">
        <f t="shared" si="0"/>
        <v>0.85</v>
      </c>
      <c r="AA7" s="320">
        <f t="shared" si="0"/>
        <v>0.75</v>
      </c>
      <c r="AB7" s="320">
        <f>AB10-5%</f>
        <v>0.56999999999999995</v>
      </c>
      <c r="AC7" s="97">
        <v>0.3</v>
      </c>
      <c r="AD7" s="39"/>
      <c r="AE7" s="39"/>
      <c r="AF7" s="39"/>
      <c r="AG7" s="39"/>
      <c r="AH7" s="39"/>
      <c r="AI7" s="39"/>
      <c r="AJ7" s="39"/>
      <c r="AK7" s="39"/>
    </row>
    <row r="8" spans="1:39" ht="37.950000000000003" customHeight="1" x14ac:dyDescent="0.3">
      <c r="A8" s="854"/>
      <c r="B8" s="918"/>
      <c r="C8" s="918"/>
      <c r="D8" s="898"/>
      <c r="E8" s="86" t="s">
        <v>549</v>
      </c>
      <c r="F8" s="321">
        <f>F11</f>
        <v>0.15</v>
      </c>
      <c r="G8" s="87">
        <v>0.15</v>
      </c>
      <c r="H8" s="87">
        <v>0.15</v>
      </c>
      <c r="I8" s="87">
        <v>0.15</v>
      </c>
      <c r="J8" s="87">
        <v>0.15</v>
      </c>
      <c r="K8" s="321">
        <f>K11</f>
        <v>0.2</v>
      </c>
      <c r="L8" s="87">
        <v>0.3</v>
      </c>
      <c r="M8" s="321">
        <f t="shared" si="0"/>
        <v>0.66999999999999993</v>
      </c>
      <c r="N8" s="321">
        <f t="shared" si="0"/>
        <v>0.73</v>
      </c>
      <c r="O8" s="321">
        <f t="shared" si="0"/>
        <v>0.75</v>
      </c>
      <c r="P8" s="321">
        <f t="shared" si="0"/>
        <v>0.85</v>
      </c>
      <c r="Q8" s="321">
        <f t="shared" si="0"/>
        <v>0.85</v>
      </c>
      <c r="R8" s="321">
        <f t="shared" si="0"/>
        <v>0.85</v>
      </c>
      <c r="S8" s="321">
        <f t="shared" si="0"/>
        <v>0.83</v>
      </c>
      <c r="T8" s="321">
        <f t="shared" si="0"/>
        <v>0.72</v>
      </c>
      <c r="U8" s="321">
        <f t="shared" si="0"/>
        <v>0.64999999999999991</v>
      </c>
      <c r="V8" s="321">
        <f t="shared" si="0"/>
        <v>0.66999999999999993</v>
      </c>
      <c r="W8" s="321">
        <f t="shared" si="0"/>
        <v>0.75</v>
      </c>
      <c r="X8" s="321">
        <f t="shared" si="0"/>
        <v>0.85</v>
      </c>
      <c r="Y8" s="321">
        <f t="shared" si="0"/>
        <v>0.85</v>
      </c>
      <c r="Z8" s="321">
        <f t="shared" si="0"/>
        <v>0.85</v>
      </c>
      <c r="AA8" s="321">
        <f t="shared" si="0"/>
        <v>0.75</v>
      </c>
      <c r="AB8" s="321">
        <f>AB11-5%</f>
        <v>0.56999999999999995</v>
      </c>
      <c r="AC8" s="88">
        <v>0.3</v>
      </c>
      <c r="AD8" s="39"/>
      <c r="AE8" s="39"/>
      <c r="AF8" s="39"/>
      <c r="AG8" s="39"/>
      <c r="AH8" s="39"/>
      <c r="AI8" s="39"/>
      <c r="AJ8" s="39"/>
      <c r="AK8" s="39"/>
    </row>
    <row r="9" spans="1:39" ht="37.950000000000003" customHeight="1" thickBot="1" x14ac:dyDescent="0.35">
      <c r="A9" s="855"/>
      <c r="B9" s="919"/>
      <c r="C9" s="919"/>
      <c r="D9" s="899"/>
      <c r="E9" s="89" t="s">
        <v>550</v>
      </c>
      <c r="F9" s="90">
        <v>0.2</v>
      </c>
      <c r="G9" s="90">
        <v>0.15</v>
      </c>
      <c r="H9" s="90">
        <v>0.15</v>
      </c>
      <c r="I9" s="90">
        <v>0.15</v>
      </c>
      <c r="J9" s="90">
        <v>0.15</v>
      </c>
      <c r="K9" s="90">
        <v>0.15</v>
      </c>
      <c r="L9" s="90">
        <v>0.3</v>
      </c>
      <c r="M9" s="322">
        <f t="shared" si="0"/>
        <v>0.66999999999999993</v>
      </c>
      <c r="N9" s="322">
        <f t="shared" si="0"/>
        <v>0.73</v>
      </c>
      <c r="O9" s="322">
        <f t="shared" si="0"/>
        <v>0.75</v>
      </c>
      <c r="P9" s="322">
        <f t="shared" si="0"/>
        <v>0.85</v>
      </c>
      <c r="Q9" s="322">
        <f t="shared" si="0"/>
        <v>0.85</v>
      </c>
      <c r="R9" s="322">
        <f t="shared" si="0"/>
        <v>0.85</v>
      </c>
      <c r="S9" s="322">
        <f t="shared" si="0"/>
        <v>0.83</v>
      </c>
      <c r="T9" s="322">
        <f t="shared" si="0"/>
        <v>0.72</v>
      </c>
      <c r="U9" s="322">
        <f t="shared" si="0"/>
        <v>0.64999999999999991</v>
      </c>
      <c r="V9" s="322">
        <f t="shared" si="0"/>
        <v>0.66999999999999993</v>
      </c>
      <c r="W9" s="322">
        <f t="shared" si="0"/>
        <v>0.75</v>
      </c>
      <c r="X9" s="322">
        <f t="shared" si="0"/>
        <v>0.85</v>
      </c>
      <c r="Y9" s="322">
        <f t="shared" si="0"/>
        <v>0.85</v>
      </c>
      <c r="Z9" s="322">
        <f t="shared" si="0"/>
        <v>0.85</v>
      </c>
      <c r="AA9" s="322">
        <f t="shared" si="0"/>
        <v>0.75</v>
      </c>
      <c r="AB9" s="322">
        <f>AB12-5%</f>
        <v>0.56999999999999995</v>
      </c>
      <c r="AC9" s="91">
        <v>0.3</v>
      </c>
      <c r="AD9" s="39"/>
      <c r="AE9" s="39"/>
      <c r="AF9" s="39"/>
      <c r="AG9" s="39"/>
      <c r="AH9" s="39"/>
      <c r="AI9" s="39"/>
      <c r="AJ9" s="39"/>
      <c r="AK9" s="39"/>
    </row>
    <row r="10" spans="1:39" ht="38.700000000000003" customHeight="1" x14ac:dyDescent="0.3">
      <c r="A10" s="853" t="str">
        <f>A4</f>
        <v>Dining</v>
      </c>
      <c r="B10" s="917" t="s">
        <v>77</v>
      </c>
      <c r="C10" s="917" t="s">
        <v>553</v>
      </c>
      <c r="D10" s="943" t="s">
        <v>554</v>
      </c>
      <c r="E10" s="241" t="s">
        <v>548</v>
      </c>
      <c r="F10" s="242">
        <v>0.15</v>
      </c>
      <c r="G10" s="242">
        <v>0.15</v>
      </c>
      <c r="H10" s="242">
        <v>0.15</v>
      </c>
      <c r="I10" s="242">
        <v>0.15</v>
      </c>
      <c r="J10" s="242">
        <v>0.15</v>
      </c>
      <c r="K10" s="242">
        <v>0.2</v>
      </c>
      <c r="L10" s="254">
        <v>0.3</v>
      </c>
      <c r="M10" s="254">
        <v>0.72</v>
      </c>
      <c r="N10" s="254">
        <v>0.78</v>
      </c>
      <c r="O10" s="254">
        <v>0.8</v>
      </c>
      <c r="P10" s="242">
        <v>0.9</v>
      </c>
      <c r="Q10" s="242">
        <v>0.9</v>
      </c>
      <c r="R10" s="242">
        <v>0.9</v>
      </c>
      <c r="S10" s="254">
        <v>0.88</v>
      </c>
      <c r="T10" s="254">
        <v>0.77</v>
      </c>
      <c r="U10" s="254">
        <v>0.7</v>
      </c>
      <c r="V10" s="254">
        <v>0.72</v>
      </c>
      <c r="W10" s="254">
        <v>0.8</v>
      </c>
      <c r="X10" s="242">
        <v>0.9</v>
      </c>
      <c r="Y10" s="242">
        <v>0.9</v>
      </c>
      <c r="Z10" s="242">
        <v>0.9</v>
      </c>
      <c r="AA10" s="254">
        <v>0.8</v>
      </c>
      <c r="AB10" s="254">
        <v>0.62</v>
      </c>
      <c r="AC10" s="243">
        <v>0.3</v>
      </c>
      <c r="AD10" s="39"/>
      <c r="AE10" s="39"/>
      <c r="AF10" s="39"/>
      <c r="AG10" s="39"/>
      <c r="AH10" s="39"/>
      <c r="AI10" s="39"/>
      <c r="AJ10" s="39"/>
      <c r="AK10" s="39"/>
      <c r="AM10" s="49"/>
    </row>
    <row r="11" spans="1:39" ht="38.700000000000003" customHeight="1" x14ac:dyDescent="0.3">
      <c r="A11" s="854"/>
      <c r="B11" s="918"/>
      <c r="C11" s="918"/>
      <c r="D11" s="938"/>
      <c r="E11" s="244" t="s">
        <v>549</v>
      </c>
      <c r="F11" s="252">
        <v>0.15</v>
      </c>
      <c r="G11" s="87">
        <v>0.15</v>
      </c>
      <c r="H11" s="87">
        <v>0.15</v>
      </c>
      <c r="I11" s="87">
        <v>0.15</v>
      </c>
      <c r="J11" s="87">
        <v>0.15</v>
      </c>
      <c r="K11" s="252">
        <v>0.2</v>
      </c>
      <c r="L11" s="87">
        <v>0.3</v>
      </c>
      <c r="M11" s="252">
        <v>0.72</v>
      </c>
      <c r="N11" s="252">
        <v>0.78</v>
      </c>
      <c r="O11" s="252">
        <v>0.8</v>
      </c>
      <c r="P11" s="252">
        <v>0.9</v>
      </c>
      <c r="Q11" s="252">
        <v>0.9</v>
      </c>
      <c r="R11" s="252">
        <v>0.9</v>
      </c>
      <c r="S11" s="252">
        <v>0.88</v>
      </c>
      <c r="T11" s="252">
        <v>0.77</v>
      </c>
      <c r="U11" s="252">
        <v>0.7</v>
      </c>
      <c r="V11" s="252">
        <v>0.72</v>
      </c>
      <c r="W11" s="252">
        <v>0.8</v>
      </c>
      <c r="X11" s="87">
        <v>0.9</v>
      </c>
      <c r="Y11" s="87">
        <v>0.9</v>
      </c>
      <c r="Z11" s="87">
        <v>0.9</v>
      </c>
      <c r="AA11" s="252">
        <v>0.8</v>
      </c>
      <c r="AB11" s="252">
        <v>0.62</v>
      </c>
      <c r="AC11" s="245">
        <v>0.3</v>
      </c>
      <c r="AD11" s="39"/>
      <c r="AE11" s="39"/>
      <c r="AF11" s="39"/>
      <c r="AG11" s="39"/>
      <c r="AH11" s="39"/>
      <c r="AI11" s="39"/>
      <c r="AJ11" s="39"/>
      <c r="AK11" s="39"/>
      <c r="AM11" s="49"/>
    </row>
    <row r="12" spans="1:39" ht="38.700000000000003" customHeight="1" thickBot="1" x14ac:dyDescent="0.35">
      <c r="A12" s="855"/>
      <c r="B12" s="919"/>
      <c r="C12" s="919"/>
      <c r="D12" s="939"/>
      <c r="E12" s="246" t="s">
        <v>550</v>
      </c>
      <c r="F12" s="253">
        <v>0.2</v>
      </c>
      <c r="G12" s="247">
        <v>0.15</v>
      </c>
      <c r="H12" s="247">
        <v>0.15</v>
      </c>
      <c r="I12" s="247">
        <v>0.15</v>
      </c>
      <c r="J12" s="247">
        <v>0.15</v>
      </c>
      <c r="K12" s="253">
        <v>0.15</v>
      </c>
      <c r="L12" s="247">
        <v>0.3</v>
      </c>
      <c r="M12" s="253">
        <v>0.72</v>
      </c>
      <c r="N12" s="253">
        <v>0.78</v>
      </c>
      <c r="O12" s="253">
        <v>0.8</v>
      </c>
      <c r="P12" s="253">
        <v>0.9</v>
      </c>
      <c r="Q12" s="253">
        <v>0.9</v>
      </c>
      <c r="R12" s="253">
        <v>0.9</v>
      </c>
      <c r="S12" s="253">
        <v>0.88</v>
      </c>
      <c r="T12" s="253">
        <v>0.77</v>
      </c>
      <c r="U12" s="253">
        <v>0.7</v>
      </c>
      <c r="V12" s="253">
        <v>0.72</v>
      </c>
      <c r="W12" s="253">
        <v>0.8</v>
      </c>
      <c r="X12" s="253">
        <v>0.9</v>
      </c>
      <c r="Y12" s="253">
        <v>0.9</v>
      </c>
      <c r="Z12" s="253">
        <v>0.9</v>
      </c>
      <c r="AA12" s="253">
        <v>0.8</v>
      </c>
      <c r="AB12" s="253">
        <v>0.62</v>
      </c>
      <c r="AC12" s="248">
        <v>0.3</v>
      </c>
      <c r="AD12" s="39"/>
      <c r="AE12" s="39"/>
      <c r="AF12" s="39"/>
      <c r="AG12" s="39"/>
      <c r="AH12" s="39"/>
      <c r="AI12" s="39"/>
      <c r="AJ12" s="39"/>
      <c r="AK12" s="39"/>
      <c r="AM12" s="49"/>
    </row>
    <row r="13" spans="1:39" ht="38.4" customHeight="1" x14ac:dyDescent="0.3">
      <c r="A13" s="853" t="str">
        <f>A4</f>
        <v>Dining</v>
      </c>
      <c r="B13" s="917" t="s">
        <v>77</v>
      </c>
      <c r="C13" s="859" t="s">
        <v>555</v>
      </c>
      <c r="D13" s="940" t="s">
        <v>556</v>
      </c>
      <c r="E13" s="241" t="s">
        <v>548</v>
      </c>
      <c r="F13" s="242">
        <v>1</v>
      </c>
      <c r="G13" s="316">
        <v>0</v>
      </c>
      <c r="H13" s="316">
        <v>0</v>
      </c>
      <c r="I13" s="242">
        <v>0</v>
      </c>
      <c r="J13" s="316">
        <v>1</v>
      </c>
      <c r="K13" s="316">
        <v>1</v>
      </c>
      <c r="L13" s="242">
        <v>1</v>
      </c>
      <c r="M13" s="242">
        <v>1</v>
      </c>
      <c r="N13" s="242">
        <v>1</v>
      </c>
      <c r="O13" s="242">
        <v>1</v>
      </c>
      <c r="P13" s="242">
        <v>1</v>
      </c>
      <c r="Q13" s="242">
        <v>1</v>
      </c>
      <c r="R13" s="242">
        <v>1</v>
      </c>
      <c r="S13" s="242">
        <v>1</v>
      </c>
      <c r="T13" s="242">
        <v>1</v>
      </c>
      <c r="U13" s="242">
        <v>1</v>
      </c>
      <c r="V13" s="242">
        <v>1</v>
      </c>
      <c r="W13" s="242">
        <v>1</v>
      </c>
      <c r="X13" s="242">
        <v>1</v>
      </c>
      <c r="Y13" s="242">
        <v>1</v>
      </c>
      <c r="Z13" s="242">
        <v>1</v>
      </c>
      <c r="AA13" s="242">
        <v>1</v>
      </c>
      <c r="AB13" s="242">
        <v>1</v>
      </c>
      <c r="AC13" s="243">
        <v>1</v>
      </c>
      <c r="AD13" s="39"/>
      <c r="AE13" s="39"/>
      <c r="AF13" s="39"/>
      <c r="AG13" s="39"/>
      <c r="AH13" s="39"/>
      <c r="AI13" s="39"/>
      <c r="AJ13" s="39"/>
      <c r="AK13" s="39"/>
      <c r="AM13" s="49"/>
    </row>
    <row r="14" spans="1:39" ht="38.700000000000003" customHeight="1" x14ac:dyDescent="0.3">
      <c r="A14" s="854"/>
      <c r="B14" s="918"/>
      <c r="C14" s="860"/>
      <c r="D14" s="941"/>
      <c r="E14" s="244" t="s">
        <v>549</v>
      </c>
      <c r="F14" s="87">
        <v>1</v>
      </c>
      <c r="G14" s="320">
        <v>0</v>
      </c>
      <c r="H14" s="320">
        <v>0</v>
      </c>
      <c r="I14" s="87">
        <v>0</v>
      </c>
      <c r="J14" s="87">
        <v>0</v>
      </c>
      <c r="K14" s="321">
        <v>1</v>
      </c>
      <c r="L14" s="321">
        <v>1</v>
      </c>
      <c r="M14" s="321">
        <v>1</v>
      </c>
      <c r="N14" s="87">
        <v>1</v>
      </c>
      <c r="O14" s="87">
        <v>1</v>
      </c>
      <c r="P14" s="87">
        <v>1</v>
      </c>
      <c r="Q14" s="87">
        <v>1</v>
      </c>
      <c r="R14" s="87">
        <v>1</v>
      </c>
      <c r="S14" s="87">
        <v>1</v>
      </c>
      <c r="T14" s="87">
        <v>1</v>
      </c>
      <c r="U14" s="87">
        <v>1</v>
      </c>
      <c r="V14" s="87">
        <v>1</v>
      </c>
      <c r="W14" s="87">
        <v>1</v>
      </c>
      <c r="X14" s="87">
        <v>1</v>
      </c>
      <c r="Y14" s="87">
        <v>1</v>
      </c>
      <c r="Z14" s="87">
        <v>1</v>
      </c>
      <c r="AA14" s="87">
        <v>1</v>
      </c>
      <c r="AB14" s="87">
        <v>1</v>
      </c>
      <c r="AC14" s="245">
        <v>1</v>
      </c>
      <c r="AD14" s="39"/>
      <c r="AE14" s="39"/>
      <c r="AF14" s="39"/>
      <c r="AG14" s="39"/>
      <c r="AH14" s="39"/>
      <c r="AI14" s="39"/>
      <c r="AJ14" s="39"/>
      <c r="AK14" s="39"/>
      <c r="AM14" s="49"/>
    </row>
    <row r="15" spans="1:39" ht="38.4" customHeight="1" thickBot="1" x14ac:dyDescent="0.35">
      <c r="A15" s="855"/>
      <c r="B15" s="919"/>
      <c r="C15" s="861"/>
      <c r="D15" s="942"/>
      <c r="E15" s="246" t="s">
        <v>550</v>
      </c>
      <c r="F15" s="247">
        <v>1</v>
      </c>
      <c r="G15" s="323">
        <v>0</v>
      </c>
      <c r="H15" s="323">
        <v>0</v>
      </c>
      <c r="I15" s="247">
        <v>0</v>
      </c>
      <c r="J15" s="247">
        <v>0</v>
      </c>
      <c r="K15" s="324">
        <v>1</v>
      </c>
      <c r="L15" s="324">
        <v>1</v>
      </c>
      <c r="M15" s="324">
        <v>1</v>
      </c>
      <c r="N15" s="324">
        <v>1</v>
      </c>
      <c r="O15" s="247">
        <v>1</v>
      </c>
      <c r="P15" s="247">
        <v>1</v>
      </c>
      <c r="Q15" s="247">
        <v>1</v>
      </c>
      <c r="R15" s="247">
        <v>1</v>
      </c>
      <c r="S15" s="247">
        <v>1</v>
      </c>
      <c r="T15" s="247">
        <v>1</v>
      </c>
      <c r="U15" s="247">
        <v>1</v>
      </c>
      <c r="V15" s="247">
        <v>1</v>
      </c>
      <c r="W15" s="247">
        <v>1</v>
      </c>
      <c r="X15" s="247">
        <v>1</v>
      </c>
      <c r="Y15" s="247">
        <v>1</v>
      </c>
      <c r="Z15" s="247">
        <v>1</v>
      </c>
      <c r="AA15" s="247">
        <v>1</v>
      </c>
      <c r="AB15" s="247">
        <v>1</v>
      </c>
      <c r="AC15" s="248">
        <v>1</v>
      </c>
      <c r="AD15" s="39"/>
      <c r="AE15" s="39"/>
      <c r="AF15" s="39"/>
      <c r="AG15" s="39"/>
      <c r="AH15" s="39"/>
      <c r="AI15" s="39"/>
      <c r="AJ15" s="39"/>
      <c r="AK15" s="39"/>
      <c r="AM15" s="49"/>
    </row>
    <row r="16" spans="1:39" ht="38.700000000000003" customHeight="1" x14ac:dyDescent="0.3">
      <c r="A16" s="853" t="str">
        <f>A7</f>
        <v>Dining</v>
      </c>
      <c r="B16" s="917" t="s">
        <v>77</v>
      </c>
      <c r="C16" s="859" t="s">
        <v>557</v>
      </c>
      <c r="D16" s="897" t="s">
        <v>558</v>
      </c>
      <c r="E16" s="95" t="s">
        <v>548</v>
      </c>
      <c r="F16" s="96">
        <v>0.2</v>
      </c>
      <c r="G16" s="320">
        <v>0</v>
      </c>
      <c r="H16" s="320">
        <v>0</v>
      </c>
      <c r="I16" s="96">
        <v>0</v>
      </c>
      <c r="J16" s="96">
        <v>0</v>
      </c>
      <c r="K16" s="320">
        <v>0.3</v>
      </c>
      <c r="L16" s="320">
        <v>0.3</v>
      </c>
      <c r="M16" s="96">
        <v>0.6</v>
      </c>
      <c r="N16" s="96">
        <v>0.55000000000000004</v>
      </c>
      <c r="O16" s="96">
        <v>0.45</v>
      </c>
      <c r="P16" s="96">
        <v>0.4</v>
      </c>
      <c r="Q16" s="96">
        <v>0.45</v>
      </c>
      <c r="R16" s="96">
        <v>0.4</v>
      </c>
      <c r="S16" s="96">
        <v>0.35</v>
      </c>
      <c r="T16" s="96">
        <v>0.3</v>
      </c>
      <c r="U16" s="96">
        <v>0.3</v>
      </c>
      <c r="V16" s="96">
        <v>0.3</v>
      </c>
      <c r="W16" s="96">
        <v>0.4</v>
      </c>
      <c r="X16" s="96">
        <v>0.55000000000000004</v>
      </c>
      <c r="Y16" s="96">
        <v>0.6</v>
      </c>
      <c r="Z16" s="96">
        <v>0.5</v>
      </c>
      <c r="AA16" s="96">
        <v>0.55000000000000004</v>
      </c>
      <c r="AB16" s="96">
        <v>0.45</v>
      </c>
      <c r="AC16" s="97">
        <v>0.25</v>
      </c>
      <c r="AD16" s="39"/>
      <c r="AE16" s="39"/>
      <c r="AF16" s="39"/>
      <c r="AG16" s="39"/>
      <c r="AH16" s="39"/>
      <c r="AI16" s="39"/>
      <c r="AJ16" s="39"/>
      <c r="AK16" s="39"/>
      <c r="AM16" s="49"/>
    </row>
    <row r="17" spans="1:39" ht="38.700000000000003" customHeight="1" x14ac:dyDescent="0.3">
      <c r="A17" s="854"/>
      <c r="B17" s="918"/>
      <c r="C17" s="860"/>
      <c r="D17" s="898"/>
      <c r="E17" s="86" t="s">
        <v>549</v>
      </c>
      <c r="F17" s="87">
        <v>0.2</v>
      </c>
      <c r="G17" s="321">
        <v>0</v>
      </c>
      <c r="H17" s="321">
        <v>0</v>
      </c>
      <c r="I17" s="87">
        <v>0</v>
      </c>
      <c r="J17" s="87">
        <v>0</v>
      </c>
      <c r="K17" s="87">
        <v>0</v>
      </c>
      <c r="L17" s="321">
        <v>0.3</v>
      </c>
      <c r="M17" s="321">
        <v>0.3</v>
      </c>
      <c r="N17" s="321">
        <v>0.3</v>
      </c>
      <c r="O17" s="87">
        <v>0.5</v>
      </c>
      <c r="P17" s="87">
        <v>0.45</v>
      </c>
      <c r="Q17" s="87">
        <v>0.5</v>
      </c>
      <c r="R17" s="87">
        <v>0.5</v>
      </c>
      <c r="S17" s="87">
        <v>0.45</v>
      </c>
      <c r="T17" s="87">
        <v>0.4</v>
      </c>
      <c r="U17" s="87">
        <v>0.4</v>
      </c>
      <c r="V17" s="87">
        <v>0.35</v>
      </c>
      <c r="W17" s="87">
        <v>0.4</v>
      </c>
      <c r="X17" s="87">
        <v>0.55000000000000004</v>
      </c>
      <c r="Y17" s="87">
        <v>0.55000000000000004</v>
      </c>
      <c r="Z17" s="87">
        <v>0.5</v>
      </c>
      <c r="AA17" s="87">
        <v>0.55000000000000004</v>
      </c>
      <c r="AB17" s="87">
        <v>0.4</v>
      </c>
      <c r="AC17" s="88">
        <v>0.3</v>
      </c>
      <c r="AD17" s="39"/>
      <c r="AE17" s="39"/>
      <c r="AF17" s="39"/>
      <c r="AG17" s="39"/>
      <c r="AH17" s="39"/>
      <c r="AI17" s="39"/>
      <c r="AJ17" s="39"/>
      <c r="AK17" s="39"/>
      <c r="AM17" s="49"/>
    </row>
    <row r="18" spans="1:39" ht="38.700000000000003" customHeight="1" thickBot="1" x14ac:dyDescent="0.35">
      <c r="A18" s="855"/>
      <c r="B18" s="919"/>
      <c r="C18" s="861"/>
      <c r="D18" s="899"/>
      <c r="E18" s="89" t="s">
        <v>550</v>
      </c>
      <c r="F18" s="90">
        <v>0.25</v>
      </c>
      <c r="G18" s="322">
        <v>0</v>
      </c>
      <c r="H18" s="322">
        <v>0</v>
      </c>
      <c r="I18" s="90">
        <v>0</v>
      </c>
      <c r="J18" s="90">
        <v>0</v>
      </c>
      <c r="K18" s="90">
        <v>0</v>
      </c>
      <c r="L18" s="321">
        <v>0.3</v>
      </c>
      <c r="M18" s="321">
        <v>0.3</v>
      </c>
      <c r="N18" s="321">
        <v>0.3</v>
      </c>
      <c r="O18" s="322">
        <v>0.5</v>
      </c>
      <c r="P18" s="90">
        <v>0.5</v>
      </c>
      <c r="Q18" s="90">
        <v>0.5</v>
      </c>
      <c r="R18" s="90">
        <v>0.4</v>
      </c>
      <c r="S18" s="90">
        <v>0.4</v>
      </c>
      <c r="T18" s="90">
        <v>0.3</v>
      </c>
      <c r="U18" s="90">
        <v>0.3</v>
      </c>
      <c r="V18" s="90">
        <v>0.3</v>
      </c>
      <c r="W18" s="90">
        <v>0.4</v>
      </c>
      <c r="X18" s="90">
        <v>0.5</v>
      </c>
      <c r="Y18" s="90">
        <v>0.5</v>
      </c>
      <c r="Z18" s="90">
        <v>0.4</v>
      </c>
      <c r="AA18" s="90">
        <v>0.5</v>
      </c>
      <c r="AB18" s="90">
        <v>0.4</v>
      </c>
      <c r="AC18" s="91">
        <v>0.2</v>
      </c>
      <c r="AD18" s="39"/>
      <c r="AE18" s="39"/>
      <c r="AF18" s="39"/>
      <c r="AG18" s="39"/>
      <c r="AH18" s="39"/>
      <c r="AI18" s="39"/>
      <c r="AJ18" s="39"/>
      <c r="AK18" s="39"/>
      <c r="AM18" s="49"/>
    </row>
    <row r="19" spans="1:39" ht="38.700000000000003" customHeight="1" x14ac:dyDescent="0.3">
      <c r="A19" s="853" t="str">
        <f>A4</f>
        <v>Dining</v>
      </c>
      <c r="B19" s="917" t="s">
        <v>77</v>
      </c>
      <c r="C19" s="859" t="s">
        <v>242</v>
      </c>
      <c r="D19" s="940" t="s">
        <v>559</v>
      </c>
      <c r="E19" s="241" t="s">
        <v>548</v>
      </c>
      <c r="F19" s="316">
        <v>0.25</v>
      </c>
      <c r="G19" s="316">
        <v>0</v>
      </c>
      <c r="H19" s="316">
        <v>0</v>
      </c>
      <c r="I19" s="242">
        <v>1</v>
      </c>
      <c r="J19" s="316">
        <v>0.25</v>
      </c>
      <c r="K19" s="325">
        <v>0.25</v>
      </c>
      <c r="L19" s="315">
        <v>0.25</v>
      </c>
      <c r="M19" s="315">
        <v>0.25</v>
      </c>
      <c r="N19" s="315">
        <v>0.25</v>
      </c>
      <c r="O19" s="242">
        <v>0.25</v>
      </c>
      <c r="P19" s="242">
        <v>0.25</v>
      </c>
      <c r="Q19" s="242">
        <v>0.25</v>
      </c>
      <c r="R19" s="242">
        <v>0.25</v>
      </c>
      <c r="S19" s="242">
        <v>0.25</v>
      </c>
      <c r="T19" s="242">
        <v>0.25</v>
      </c>
      <c r="U19" s="242">
        <v>0.25</v>
      </c>
      <c r="V19" s="316">
        <v>0.25</v>
      </c>
      <c r="W19" s="242">
        <v>0.25</v>
      </c>
      <c r="X19" s="242">
        <v>0.25</v>
      </c>
      <c r="Y19" s="242">
        <v>0.25</v>
      </c>
      <c r="Z19" s="242">
        <v>0.25</v>
      </c>
      <c r="AA19" s="242">
        <v>0.25</v>
      </c>
      <c r="AB19" s="242">
        <v>0.25</v>
      </c>
      <c r="AC19" s="243">
        <v>0.25</v>
      </c>
      <c r="AD19" s="39"/>
      <c r="AE19" s="39"/>
      <c r="AF19" s="39"/>
      <c r="AG19" s="39"/>
      <c r="AH19" s="39"/>
      <c r="AI19" s="39"/>
      <c r="AJ19" s="39"/>
      <c r="AK19" s="39"/>
      <c r="AM19" s="49"/>
    </row>
    <row r="20" spans="1:39" ht="38.700000000000003" customHeight="1" x14ac:dyDescent="0.3">
      <c r="A20" s="854"/>
      <c r="B20" s="918"/>
      <c r="C20" s="860"/>
      <c r="D20" s="941"/>
      <c r="E20" s="244" t="s">
        <v>549</v>
      </c>
      <c r="F20" s="321">
        <v>0.25</v>
      </c>
      <c r="G20" s="321">
        <v>0</v>
      </c>
      <c r="H20" s="87">
        <v>0</v>
      </c>
      <c r="I20" s="87">
        <v>1</v>
      </c>
      <c r="J20" s="87">
        <v>1</v>
      </c>
      <c r="K20" s="321">
        <v>0.25</v>
      </c>
      <c r="L20" s="321">
        <v>0.25</v>
      </c>
      <c r="M20" s="321">
        <v>0.25</v>
      </c>
      <c r="N20" s="87">
        <v>0.25</v>
      </c>
      <c r="O20" s="87">
        <v>0.25</v>
      </c>
      <c r="P20" s="87">
        <v>0.25</v>
      </c>
      <c r="Q20" s="87">
        <v>0.25</v>
      </c>
      <c r="R20" s="87">
        <v>0.25</v>
      </c>
      <c r="S20" s="87">
        <v>0.25</v>
      </c>
      <c r="T20" s="87">
        <v>0.25</v>
      </c>
      <c r="U20" s="87">
        <v>0.25</v>
      </c>
      <c r="V20" s="87">
        <v>0.25</v>
      </c>
      <c r="W20" s="87">
        <v>0.25</v>
      </c>
      <c r="X20" s="87">
        <v>0.25</v>
      </c>
      <c r="Y20" s="87">
        <v>0.25</v>
      </c>
      <c r="Z20" s="87">
        <v>0.25</v>
      </c>
      <c r="AA20" s="87">
        <v>0.25</v>
      </c>
      <c r="AB20" s="87">
        <v>0.25</v>
      </c>
      <c r="AC20" s="245">
        <v>0.25</v>
      </c>
      <c r="AD20" s="39"/>
      <c r="AE20" s="39"/>
      <c r="AF20" s="39"/>
      <c r="AG20" s="39"/>
      <c r="AH20" s="39"/>
      <c r="AI20" s="39"/>
      <c r="AJ20" s="39"/>
      <c r="AK20" s="39"/>
      <c r="AM20" s="49"/>
    </row>
    <row r="21" spans="1:39" ht="38.700000000000003" customHeight="1" thickBot="1" x14ac:dyDescent="0.35">
      <c r="A21" s="855"/>
      <c r="B21" s="919"/>
      <c r="C21" s="861"/>
      <c r="D21" s="942"/>
      <c r="E21" s="246" t="s">
        <v>550</v>
      </c>
      <c r="F21" s="324">
        <v>0.25</v>
      </c>
      <c r="G21" s="324">
        <v>0</v>
      </c>
      <c r="H21" s="324">
        <v>0</v>
      </c>
      <c r="I21" s="247">
        <v>1</v>
      </c>
      <c r="J21" s="247">
        <v>1</v>
      </c>
      <c r="K21" s="323">
        <v>0.25</v>
      </c>
      <c r="L21" s="323">
        <v>0.25</v>
      </c>
      <c r="M21" s="323">
        <v>0.25</v>
      </c>
      <c r="N21" s="323">
        <v>0.25</v>
      </c>
      <c r="O21" s="247">
        <v>0.25</v>
      </c>
      <c r="P21" s="247">
        <v>0.25</v>
      </c>
      <c r="Q21" s="247">
        <v>0.25</v>
      </c>
      <c r="R21" s="247">
        <v>0.25</v>
      </c>
      <c r="S21" s="247">
        <v>0.25</v>
      </c>
      <c r="T21" s="247">
        <v>0.25</v>
      </c>
      <c r="U21" s="247">
        <v>0.25</v>
      </c>
      <c r="V21" s="247">
        <v>0.25</v>
      </c>
      <c r="W21" s="247">
        <v>0.25</v>
      </c>
      <c r="X21" s="247">
        <v>0.25</v>
      </c>
      <c r="Y21" s="247">
        <v>0.25</v>
      </c>
      <c r="Z21" s="247">
        <v>0.25</v>
      </c>
      <c r="AA21" s="247">
        <v>0.25</v>
      </c>
      <c r="AB21" s="247">
        <v>0.25</v>
      </c>
      <c r="AC21" s="248">
        <v>0.25</v>
      </c>
      <c r="AD21" s="39"/>
      <c r="AE21" s="39"/>
      <c r="AF21" s="39"/>
      <c r="AG21" s="39"/>
      <c r="AH21" s="39"/>
      <c r="AI21" s="39"/>
      <c r="AJ21" s="39"/>
      <c r="AK21" s="39"/>
      <c r="AM21" s="49"/>
    </row>
    <row r="22" spans="1:39" ht="38.700000000000003" customHeight="1" x14ac:dyDescent="0.3">
      <c r="A22" s="891" t="s">
        <v>80</v>
      </c>
      <c r="B22" s="917" t="s">
        <v>77</v>
      </c>
      <c r="C22" s="900" t="s">
        <v>560</v>
      </c>
      <c r="D22" s="897" t="s">
        <v>561</v>
      </c>
      <c r="E22" s="98" t="s">
        <v>548</v>
      </c>
      <c r="F22" s="99">
        <v>0.9</v>
      </c>
      <c r="G22" s="99">
        <v>0.9</v>
      </c>
      <c r="H22" s="99">
        <v>0.9</v>
      </c>
      <c r="I22" s="99">
        <v>0.9</v>
      </c>
      <c r="J22" s="99">
        <v>0.9</v>
      </c>
      <c r="K22" s="99">
        <v>0.9</v>
      </c>
      <c r="L22" s="99">
        <v>0.9</v>
      </c>
      <c r="M22" s="99">
        <v>0.9</v>
      </c>
      <c r="N22" s="99">
        <v>0.9</v>
      </c>
      <c r="O22" s="99">
        <v>0.9</v>
      </c>
      <c r="P22" s="99">
        <v>0.9</v>
      </c>
      <c r="Q22" s="99">
        <v>0.9</v>
      </c>
      <c r="R22" s="99">
        <v>0.9</v>
      </c>
      <c r="S22" s="99">
        <v>0.9</v>
      </c>
      <c r="T22" s="99">
        <v>0.9</v>
      </c>
      <c r="U22" s="99">
        <v>0.9</v>
      </c>
      <c r="V22" s="99">
        <v>0.9</v>
      </c>
      <c r="W22" s="99">
        <v>0.9</v>
      </c>
      <c r="X22" s="99">
        <v>0.9</v>
      </c>
      <c r="Y22" s="99">
        <v>0.9</v>
      </c>
      <c r="Z22" s="99">
        <v>0.9</v>
      </c>
      <c r="AA22" s="99">
        <v>0.9</v>
      </c>
      <c r="AB22" s="99">
        <v>0.9</v>
      </c>
      <c r="AC22" s="100">
        <v>0.9</v>
      </c>
      <c r="AD22" s="39"/>
      <c r="AE22" s="39"/>
      <c r="AF22" s="39"/>
      <c r="AG22" s="39"/>
      <c r="AH22" s="39"/>
      <c r="AI22" s="39"/>
      <c r="AJ22" s="39"/>
      <c r="AK22" s="39"/>
      <c r="AM22" s="49"/>
    </row>
    <row r="23" spans="1:39" ht="38.700000000000003" customHeight="1" x14ac:dyDescent="0.3">
      <c r="A23" s="892"/>
      <c r="B23" s="918"/>
      <c r="C23" s="901"/>
      <c r="D23" s="898"/>
      <c r="E23" s="101" t="s">
        <v>549</v>
      </c>
      <c r="F23" s="102">
        <v>0.9</v>
      </c>
      <c r="G23" s="102">
        <v>0.9</v>
      </c>
      <c r="H23" s="102">
        <v>0.9</v>
      </c>
      <c r="I23" s="102">
        <v>0.9</v>
      </c>
      <c r="J23" s="102">
        <v>0.9</v>
      </c>
      <c r="K23" s="102">
        <v>0.9</v>
      </c>
      <c r="L23" s="102">
        <v>0.9</v>
      </c>
      <c r="M23" s="102">
        <v>0.9</v>
      </c>
      <c r="N23" s="102">
        <v>0.9</v>
      </c>
      <c r="O23" s="102">
        <v>0.9</v>
      </c>
      <c r="P23" s="102">
        <v>0.9</v>
      </c>
      <c r="Q23" s="102">
        <v>0.9</v>
      </c>
      <c r="R23" s="102">
        <v>0.9</v>
      </c>
      <c r="S23" s="102">
        <v>0.9</v>
      </c>
      <c r="T23" s="102">
        <v>0.9</v>
      </c>
      <c r="U23" s="102">
        <v>0.9</v>
      </c>
      <c r="V23" s="102">
        <v>0.9</v>
      </c>
      <c r="W23" s="102">
        <v>0.9</v>
      </c>
      <c r="X23" s="102">
        <v>0.9</v>
      </c>
      <c r="Y23" s="102">
        <v>0.9</v>
      </c>
      <c r="Z23" s="102">
        <v>0.9</v>
      </c>
      <c r="AA23" s="102">
        <v>0.9</v>
      </c>
      <c r="AB23" s="102">
        <v>0.9</v>
      </c>
      <c r="AC23" s="103">
        <v>0.9</v>
      </c>
      <c r="AD23" s="39"/>
      <c r="AE23" s="39"/>
      <c r="AF23" s="39"/>
      <c r="AG23" s="39"/>
      <c r="AH23" s="39"/>
      <c r="AI23" s="39"/>
      <c r="AJ23" s="39"/>
      <c r="AK23" s="39"/>
      <c r="AM23" s="49"/>
    </row>
    <row r="24" spans="1:39" ht="38.700000000000003" customHeight="1" thickBot="1" x14ac:dyDescent="0.35">
      <c r="A24" s="893"/>
      <c r="B24" s="919"/>
      <c r="C24" s="902"/>
      <c r="D24" s="899"/>
      <c r="E24" s="107" t="s">
        <v>550</v>
      </c>
      <c r="F24" s="108">
        <v>0.9</v>
      </c>
      <c r="G24" s="108">
        <v>0.9</v>
      </c>
      <c r="H24" s="108">
        <v>0.9</v>
      </c>
      <c r="I24" s="108">
        <v>0.9</v>
      </c>
      <c r="J24" s="108">
        <v>0.9</v>
      </c>
      <c r="K24" s="108">
        <v>0.9</v>
      </c>
      <c r="L24" s="108">
        <v>0.9</v>
      </c>
      <c r="M24" s="108">
        <v>0.9</v>
      </c>
      <c r="N24" s="108">
        <v>0.9</v>
      </c>
      <c r="O24" s="108">
        <v>0.9</v>
      </c>
      <c r="P24" s="108">
        <v>0.9</v>
      </c>
      <c r="Q24" s="108">
        <v>0.9</v>
      </c>
      <c r="R24" s="108">
        <v>0.9</v>
      </c>
      <c r="S24" s="108">
        <v>0.9</v>
      </c>
      <c r="T24" s="108">
        <v>0.9</v>
      </c>
      <c r="U24" s="108">
        <v>0.9</v>
      </c>
      <c r="V24" s="108">
        <v>0.9</v>
      </c>
      <c r="W24" s="108">
        <v>0.9</v>
      </c>
      <c r="X24" s="108">
        <v>0.9</v>
      </c>
      <c r="Y24" s="108">
        <v>0.9</v>
      </c>
      <c r="Z24" s="108">
        <v>0.9</v>
      </c>
      <c r="AA24" s="108">
        <v>0.9</v>
      </c>
      <c r="AB24" s="108">
        <v>0.9</v>
      </c>
      <c r="AC24" s="109">
        <v>0.9</v>
      </c>
      <c r="AD24" s="39"/>
      <c r="AE24" s="39"/>
      <c r="AF24" s="39"/>
      <c r="AG24" s="39"/>
      <c r="AH24" s="39"/>
      <c r="AI24" s="39"/>
      <c r="AJ24" s="39"/>
      <c r="AK24" s="39"/>
      <c r="AM24" s="49"/>
    </row>
    <row r="25" spans="1:39" ht="38.700000000000003" customHeight="1" x14ac:dyDescent="0.3">
      <c r="A25" s="908" t="str">
        <f>A4</f>
        <v>Dining</v>
      </c>
      <c r="B25" s="910" t="str">
        <f>B16</f>
        <v>Restaurant</v>
      </c>
      <c r="C25" s="879" t="s">
        <v>562</v>
      </c>
      <c r="D25" s="913" t="s">
        <v>561</v>
      </c>
      <c r="E25" s="471" t="s">
        <v>548</v>
      </c>
      <c r="F25" s="472">
        <f>IF(F13=1,Thermostat!$C$3,Thermostat!$C$4)</f>
        <v>70</v>
      </c>
      <c r="G25" s="472">
        <f>IF(G13=1,Thermostat!$C$3,Thermostat!$C$4)</f>
        <v>60</v>
      </c>
      <c r="H25" s="472">
        <f>IF(H13=1,Thermostat!$C$3,Thermostat!$C$4)</f>
        <v>60</v>
      </c>
      <c r="I25" s="472">
        <f>IF(I13=1,Thermostat!$C$3,Thermostat!$C$4)</f>
        <v>60</v>
      </c>
      <c r="J25" s="472">
        <f>IF(J13=1,Thermostat!$C$3,Thermostat!$C$4)</f>
        <v>70</v>
      </c>
      <c r="K25" s="472">
        <f>IF(K13=1,Thermostat!$C$3,Thermostat!$C$4)</f>
        <v>70</v>
      </c>
      <c r="L25" s="472">
        <f>IF(L13=1,Thermostat!$C$3,Thermostat!$C$4)</f>
        <v>70</v>
      </c>
      <c r="M25" s="472">
        <f>IF(M13=1,Thermostat!$C$3,Thermostat!$C$4)</f>
        <v>70</v>
      </c>
      <c r="N25" s="472">
        <f>IF(N13=1,Thermostat!$C$3,Thermostat!$C$4)</f>
        <v>70</v>
      </c>
      <c r="O25" s="472">
        <f>IF(O13=1,Thermostat!$C$3,Thermostat!$C$4)</f>
        <v>70</v>
      </c>
      <c r="P25" s="472">
        <f>IF(P13=1,Thermostat!$C$3,Thermostat!$C$4)</f>
        <v>70</v>
      </c>
      <c r="Q25" s="472">
        <f>IF(Q13=1,Thermostat!$C$3,Thermostat!$C$4)</f>
        <v>70</v>
      </c>
      <c r="R25" s="472">
        <f>IF(R13=1,Thermostat!$C$3,Thermostat!$C$4)</f>
        <v>70</v>
      </c>
      <c r="S25" s="472">
        <f>IF(S13=1,Thermostat!$C$3,Thermostat!$C$4)</f>
        <v>70</v>
      </c>
      <c r="T25" s="472">
        <f>IF(T13=1,Thermostat!$C$3,Thermostat!$C$4)</f>
        <v>70</v>
      </c>
      <c r="U25" s="472">
        <f>IF(U13=1,Thermostat!$C$3,Thermostat!$C$4)</f>
        <v>70</v>
      </c>
      <c r="V25" s="472">
        <f>IF(V13=1,Thermostat!$C$3,Thermostat!$C$4)</f>
        <v>70</v>
      </c>
      <c r="W25" s="472">
        <f>IF(W13=1,Thermostat!$C$3,Thermostat!$C$4)</f>
        <v>70</v>
      </c>
      <c r="X25" s="472">
        <f>IF(X13=1,Thermostat!$C$3,Thermostat!$C$4)</f>
        <v>70</v>
      </c>
      <c r="Y25" s="472">
        <f>IF(Y13=1,Thermostat!$C$3,Thermostat!$C$4)</f>
        <v>70</v>
      </c>
      <c r="Z25" s="472">
        <f>IF(Z13=1,Thermostat!$C$3,Thermostat!$C$4)</f>
        <v>70</v>
      </c>
      <c r="AA25" s="472">
        <f>IF(AA13=1,Thermostat!$C$3,Thermostat!$C$4)</f>
        <v>70</v>
      </c>
      <c r="AB25" s="472">
        <f>IF(AB13=1,Thermostat!$C$3,Thermostat!$C$4)</f>
        <v>70</v>
      </c>
      <c r="AC25" s="473">
        <f>IF(AC13=1,Thermostat!$C$3,Thermostat!$C$4)</f>
        <v>70</v>
      </c>
      <c r="AD25" s="39"/>
      <c r="AE25" s="39"/>
      <c r="AF25" s="39"/>
      <c r="AG25" s="39"/>
      <c r="AH25" s="39"/>
      <c r="AI25" s="39"/>
      <c r="AJ25" s="39"/>
      <c r="AK25" s="39"/>
      <c r="AM25" s="49"/>
    </row>
    <row r="26" spans="1:39" ht="38.700000000000003" customHeight="1" x14ac:dyDescent="0.3">
      <c r="A26" s="875"/>
      <c r="B26" s="885"/>
      <c r="C26" s="887"/>
      <c r="D26" s="914"/>
      <c r="E26" s="474" t="s">
        <v>549</v>
      </c>
      <c r="F26" s="475">
        <f>IF(F14=1,Thermostat!$C$3,Thermostat!$C$4)</f>
        <v>70</v>
      </c>
      <c r="G26" s="475">
        <f>IF(G14=1,Thermostat!$C$3,Thermostat!$C$4)</f>
        <v>60</v>
      </c>
      <c r="H26" s="475">
        <f>IF(H14=1,Thermostat!$C$3,Thermostat!$C$4)</f>
        <v>60</v>
      </c>
      <c r="I26" s="475">
        <f>IF(I14=1,Thermostat!$C$3,Thermostat!$C$4)</f>
        <v>60</v>
      </c>
      <c r="J26" s="475">
        <f>IF(J14=1,Thermostat!$C$3,Thermostat!$C$4)</f>
        <v>60</v>
      </c>
      <c r="K26" s="475">
        <f>IF(K14=1,Thermostat!$C$3,Thermostat!$C$4)</f>
        <v>70</v>
      </c>
      <c r="L26" s="475">
        <f>IF(L14=1,Thermostat!$C$3,Thermostat!$C$4)</f>
        <v>70</v>
      </c>
      <c r="M26" s="475">
        <f>IF(M14=1,Thermostat!$C$3,Thermostat!$C$4)</f>
        <v>70</v>
      </c>
      <c r="N26" s="475">
        <f>IF(N14=1,Thermostat!$C$3,Thermostat!$C$4)</f>
        <v>70</v>
      </c>
      <c r="O26" s="475">
        <f>IF(O14=1,Thermostat!$C$3,Thermostat!$C$4)</f>
        <v>70</v>
      </c>
      <c r="P26" s="475">
        <f>IF(P14=1,Thermostat!$C$3,Thermostat!$C$4)</f>
        <v>70</v>
      </c>
      <c r="Q26" s="475">
        <f>IF(Q14=1,Thermostat!$C$3,Thermostat!$C$4)</f>
        <v>70</v>
      </c>
      <c r="R26" s="475">
        <f>IF(R14=1,Thermostat!$C$3,Thermostat!$C$4)</f>
        <v>70</v>
      </c>
      <c r="S26" s="475">
        <f>IF(S14=1,Thermostat!$C$3,Thermostat!$C$4)</f>
        <v>70</v>
      </c>
      <c r="T26" s="475">
        <f>IF(T14=1,Thermostat!$C$3,Thermostat!$C$4)</f>
        <v>70</v>
      </c>
      <c r="U26" s="475">
        <f>IF(U14=1,Thermostat!$C$3,Thermostat!$C$4)</f>
        <v>70</v>
      </c>
      <c r="V26" s="475">
        <f>IF(V14=1,Thermostat!$C$3,Thermostat!$C$4)</f>
        <v>70</v>
      </c>
      <c r="W26" s="475">
        <f>IF(W14=1,Thermostat!$C$3,Thermostat!$C$4)</f>
        <v>70</v>
      </c>
      <c r="X26" s="475">
        <f>IF(X14=1,Thermostat!$C$3,Thermostat!$C$4)</f>
        <v>70</v>
      </c>
      <c r="Y26" s="475">
        <f>IF(Y14=1,Thermostat!$C$3,Thermostat!$C$4)</f>
        <v>70</v>
      </c>
      <c r="Z26" s="475">
        <f>IF(Z14=1,Thermostat!$C$3,Thermostat!$C$4)</f>
        <v>70</v>
      </c>
      <c r="AA26" s="475">
        <f>IF(AA14=1,Thermostat!$C$3,Thermostat!$C$4)</f>
        <v>70</v>
      </c>
      <c r="AB26" s="475">
        <f>IF(AB14=1,Thermostat!$C$3,Thermostat!$C$4)</f>
        <v>70</v>
      </c>
      <c r="AC26" s="476">
        <f>IF(AC14=1,Thermostat!$C$3,Thermostat!$C$4)</f>
        <v>70</v>
      </c>
      <c r="AD26" s="39"/>
      <c r="AE26" s="39"/>
      <c r="AF26" s="39"/>
      <c r="AG26" s="39"/>
      <c r="AH26" s="39"/>
      <c r="AI26" s="39"/>
      <c r="AJ26" s="39"/>
      <c r="AK26" s="39"/>
      <c r="AM26" s="49"/>
    </row>
    <row r="27" spans="1:39" ht="38.700000000000003" customHeight="1" thickBot="1" x14ac:dyDescent="0.35">
      <c r="A27" s="909"/>
      <c r="B27" s="911"/>
      <c r="C27" s="912"/>
      <c r="D27" s="915"/>
      <c r="E27" s="477" t="s">
        <v>550</v>
      </c>
      <c r="F27" s="475">
        <f>IF(F15=1,Thermostat!$C$3,Thermostat!$C$4)</f>
        <v>70</v>
      </c>
      <c r="G27" s="475">
        <f>IF(G15=1,Thermostat!$C$3,Thermostat!$C$4)</f>
        <v>60</v>
      </c>
      <c r="H27" s="475">
        <f>IF(H15=1,Thermostat!$C$3,Thermostat!$C$4)</f>
        <v>60</v>
      </c>
      <c r="I27" s="475">
        <f>IF(I15=1,Thermostat!$C$3,Thermostat!$C$4)</f>
        <v>60</v>
      </c>
      <c r="J27" s="475">
        <f>IF(J15=1,Thermostat!$C$3,Thermostat!$C$4)</f>
        <v>60</v>
      </c>
      <c r="K27" s="475">
        <f>IF(K15=1,Thermostat!$C$3,Thermostat!$C$4)</f>
        <v>70</v>
      </c>
      <c r="L27" s="475">
        <f>IF(L15=1,Thermostat!$C$3,Thermostat!$C$4)</f>
        <v>70</v>
      </c>
      <c r="M27" s="475">
        <f>IF(M15=1,Thermostat!$C$3,Thermostat!$C$4)</f>
        <v>70</v>
      </c>
      <c r="N27" s="475">
        <f>IF(N15=1,Thermostat!$C$3,Thermostat!$C$4)</f>
        <v>70</v>
      </c>
      <c r="O27" s="475">
        <f>IF(O15=1,Thermostat!$C$3,Thermostat!$C$4)</f>
        <v>70</v>
      </c>
      <c r="P27" s="475">
        <f>IF(P15=1,Thermostat!$C$3,Thermostat!$C$4)</f>
        <v>70</v>
      </c>
      <c r="Q27" s="475">
        <f>IF(Q15=1,Thermostat!$C$3,Thermostat!$C$4)</f>
        <v>70</v>
      </c>
      <c r="R27" s="475">
        <f>IF(R15=1,Thermostat!$C$3,Thermostat!$C$4)</f>
        <v>70</v>
      </c>
      <c r="S27" s="475">
        <f>IF(S15=1,Thermostat!$C$3,Thermostat!$C$4)</f>
        <v>70</v>
      </c>
      <c r="T27" s="475">
        <f>IF(T15=1,Thermostat!$C$3,Thermostat!$C$4)</f>
        <v>70</v>
      </c>
      <c r="U27" s="475">
        <f>IF(U15=1,Thermostat!$C$3,Thermostat!$C$4)</f>
        <v>70</v>
      </c>
      <c r="V27" s="475">
        <f>IF(V15=1,Thermostat!$C$3,Thermostat!$C$4)</f>
        <v>70</v>
      </c>
      <c r="W27" s="475">
        <f>IF(W15=1,Thermostat!$C$3,Thermostat!$C$4)</f>
        <v>70</v>
      </c>
      <c r="X27" s="475">
        <f>IF(X15=1,Thermostat!$C$3,Thermostat!$C$4)</f>
        <v>70</v>
      </c>
      <c r="Y27" s="475">
        <f>IF(Y15=1,Thermostat!$C$3,Thermostat!$C$4)</f>
        <v>70</v>
      </c>
      <c r="Z27" s="475">
        <f>IF(Z15=1,Thermostat!$C$3,Thermostat!$C$4)</f>
        <v>70</v>
      </c>
      <c r="AA27" s="475">
        <f>IF(AA15=1,Thermostat!$C$3,Thermostat!$C$4)</f>
        <v>70</v>
      </c>
      <c r="AB27" s="475">
        <f>IF(AB15=1,Thermostat!$C$3,Thermostat!$C$4)</f>
        <v>70</v>
      </c>
      <c r="AC27" s="476">
        <f>IF(AC15=1,Thermostat!$C$3,Thermostat!$C$4)</f>
        <v>70</v>
      </c>
      <c r="AD27" s="39"/>
      <c r="AE27" s="39"/>
      <c r="AF27" s="39"/>
      <c r="AG27" s="39"/>
      <c r="AH27" s="39"/>
      <c r="AI27" s="39"/>
      <c r="AJ27" s="39"/>
      <c r="AK27" s="39"/>
      <c r="AM27" s="49"/>
    </row>
    <row r="28" spans="1:39" ht="38.700000000000003" customHeight="1" x14ac:dyDescent="0.3">
      <c r="A28" s="862" t="str">
        <f>A4</f>
        <v>Dining</v>
      </c>
      <c r="B28" s="884" t="str">
        <f>B19</f>
        <v>Restaurant</v>
      </c>
      <c r="C28" s="868" t="s">
        <v>563</v>
      </c>
      <c r="D28" s="871" t="s">
        <v>561</v>
      </c>
      <c r="E28" s="478" t="s">
        <v>548</v>
      </c>
      <c r="F28" s="479">
        <f>IF(F13=1,Thermostat!$C$5,Thermostat!$C$6)</f>
        <v>75</v>
      </c>
      <c r="G28" s="479">
        <f>IF(G13=1,Thermostat!$C$5,Thermostat!$C$6)</f>
        <v>85</v>
      </c>
      <c r="H28" s="479">
        <f>IF(H13=1,Thermostat!$C$5,Thermostat!$C$6)</f>
        <v>85</v>
      </c>
      <c r="I28" s="479">
        <f>IF(I13=1,Thermostat!$C$5,Thermostat!$C$6)</f>
        <v>85</v>
      </c>
      <c r="J28" s="479">
        <f>IF(J13=1,Thermostat!$C$5,Thermostat!$C$6)</f>
        <v>75</v>
      </c>
      <c r="K28" s="479">
        <f>IF(K13=1,Thermostat!$C$5,Thermostat!$C$6)</f>
        <v>75</v>
      </c>
      <c r="L28" s="479">
        <f>IF(L13=1,Thermostat!$C$5,Thermostat!$C$6)</f>
        <v>75</v>
      </c>
      <c r="M28" s="479">
        <f>IF(M13=1,Thermostat!$C$5,Thermostat!$C$6)</f>
        <v>75</v>
      </c>
      <c r="N28" s="479">
        <f>IF(N13=1,Thermostat!$C$5,Thermostat!$C$6)</f>
        <v>75</v>
      </c>
      <c r="O28" s="479">
        <f>IF(O13=1,Thermostat!$C$5,Thermostat!$C$6)</f>
        <v>75</v>
      </c>
      <c r="P28" s="479">
        <f>IF(P13=1,Thermostat!$C$5,Thermostat!$C$6)</f>
        <v>75</v>
      </c>
      <c r="Q28" s="479">
        <f>IF(Q13=1,Thermostat!$C$5,Thermostat!$C$6)</f>
        <v>75</v>
      </c>
      <c r="R28" s="479">
        <f>IF(R13=1,Thermostat!$C$5,Thermostat!$C$6)</f>
        <v>75</v>
      </c>
      <c r="S28" s="479">
        <f>IF(S13=1,Thermostat!$C$5,Thermostat!$C$6)</f>
        <v>75</v>
      </c>
      <c r="T28" s="479">
        <f>IF(T13=1,Thermostat!$C$5,Thermostat!$C$6)</f>
        <v>75</v>
      </c>
      <c r="U28" s="479">
        <f>IF(U13=1,Thermostat!$C$5,Thermostat!$C$6)</f>
        <v>75</v>
      </c>
      <c r="V28" s="479">
        <f>IF(V13=1,Thermostat!$C$5,Thermostat!$C$6)</f>
        <v>75</v>
      </c>
      <c r="W28" s="479">
        <f>IF(W13=1,Thermostat!$C$5,Thermostat!$C$6)</f>
        <v>75</v>
      </c>
      <c r="X28" s="479">
        <f>IF(X13=1,Thermostat!$C$5,Thermostat!$C$6)</f>
        <v>75</v>
      </c>
      <c r="Y28" s="479">
        <f>IF(Y13=1,Thermostat!$C$5,Thermostat!$C$6)</f>
        <v>75</v>
      </c>
      <c r="Z28" s="479">
        <f>IF(Z13=1,Thermostat!$C$5,Thermostat!$C$6)</f>
        <v>75</v>
      </c>
      <c r="AA28" s="479">
        <f>IF(AA13=1,Thermostat!$C$5,Thermostat!$C$6)</f>
        <v>75</v>
      </c>
      <c r="AB28" s="479">
        <f>IF(AB13=1,Thermostat!$C$5,Thermostat!$C$6)</f>
        <v>75</v>
      </c>
      <c r="AC28" s="480">
        <f>IF(AC13=1,Thermostat!$C$5,Thermostat!$C$6)</f>
        <v>75</v>
      </c>
      <c r="AD28" s="39"/>
      <c r="AE28" s="39"/>
      <c r="AF28" s="39"/>
      <c r="AG28" s="39"/>
      <c r="AH28" s="39"/>
      <c r="AI28" s="39"/>
      <c r="AJ28" s="39"/>
      <c r="AK28" s="39"/>
      <c r="AM28" s="49"/>
    </row>
    <row r="29" spans="1:39" ht="38.700000000000003" customHeight="1" x14ac:dyDescent="0.3">
      <c r="A29" s="863"/>
      <c r="B29" s="885"/>
      <c r="C29" s="887"/>
      <c r="D29" s="872"/>
      <c r="E29" s="481" t="s">
        <v>549</v>
      </c>
      <c r="F29" s="482">
        <f>IF(F14=1,Thermostat!$C$5,Thermostat!$C$6)</f>
        <v>75</v>
      </c>
      <c r="G29" s="482">
        <f>IF(G14=1,Thermostat!$C$5,Thermostat!$C$6)</f>
        <v>85</v>
      </c>
      <c r="H29" s="482">
        <f>IF(H14=1,Thermostat!$C$5,Thermostat!$C$6)</f>
        <v>85</v>
      </c>
      <c r="I29" s="482">
        <f>IF(I14=1,Thermostat!$C$5,Thermostat!$C$6)</f>
        <v>85</v>
      </c>
      <c r="J29" s="482">
        <f>IF(J14=1,Thermostat!$C$5,Thermostat!$C$6)</f>
        <v>85</v>
      </c>
      <c r="K29" s="482">
        <f>IF(K14=1,Thermostat!$C$5,Thermostat!$C$6)</f>
        <v>75</v>
      </c>
      <c r="L29" s="482">
        <f>IF(L14=1,Thermostat!$C$5,Thermostat!$C$6)</f>
        <v>75</v>
      </c>
      <c r="M29" s="482">
        <f>IF(M14=1,Thermostat!$C$5,Thermostat!$C$6)</f>
        <v>75</v>
      </c>
      <c r="N29" s="482">
        <f>IF(N14=1,Thermostat!$C$5,Thermostat!$C$6)</f>
        <v>75</v>
      </c>
      <c r="O29" s="482">
        <f>IF(O14=1,Thermostat!$C$5,Thermostat!$C$6)</f>
        <v>75</v>
      </c>
      <c r="P29" s="482">
        <f>IF(P14=1,Thermostat!$C$5,Thermostat!$C$6)</f>
        <v>75</v>
      </c>
      <c r="Q29" s="482">
        <f>IF(Q14=1,Thermostat!$C$5,Thermostat!$C$6)</f>
        <v>75</v>
      </c>
      <c r="R29" s="482">
        <f>IF(R14=1,Thermostat!$C$5,Thermostat!$C$6)</f>
        <v>75</v>
      </c>
      <c r="S29" s="482">
        <f>IF(S14=1,Thermostat!$C$5,Thermostat!$C$6)</f>
        <v>75</v>
      </c>
      <c r="T29" s="482">
        <f>IF(T14=1,Thermostat!$C$5,Thermostat!$C$6)</f>
        <v>75</v>
      </c>
      <c r="U29" s="482">
        <f>IF(U14=1,Thermostat!$C$5,Thermostat!$C$6)</f>
        <v>75</v>
      </c>
      <c r="V29" s="482">
        <f>IF(V14=1,Thermostat!$C$5,Thermostat!$C$6)</f>
        <v>75</v>
      </c>
      <c r="W29" s="482">
        <f>IF(W14=1,Thermostat!$C$5,Thermostat!$C$6)</f>
        <v>75</v>
      </c>
      <c r="X29" s="482">
        <f>IF(X14=1,Thermostat!$C$5,Thermostat!$C$6)</f>
        <v>75</v>
      </c>
      <c r="Y29" s="482">
        <f>IF(Y14=1,Thermostat!$C$5,Thermostat!$C$6)</f>
        <v>75</v>
      </c>
      <c r="Z29" s="482">
        <f>IF(Z14=1,Thermostat!$C$5,Thermostat!$C$6)</f>
        <v>75</v>
      </c>
      <c r="AA29" s="482">
        <f>IF(AA14=1,Thermostat!$C$5,Thermostat!$C$6)</f>
        <v>75</v>
      </c>
      <c r="AB29" s="482">
        <f>IF(AB14=1,Thermostat!$C$5,Thermostat!$C$6)</f>
        <v>75</v>
      </c>
      <c r="AC29" s="483">
        <f>IF(AC14=1,Thermostat!$C$5,Thermostat!$C$6)</f>
        <v>75</v>
      </c>
      <c r="AD29" s="39"/>
      <c r="AE29" s="39"/>
      <c r="AF29" s="39"/>
      <c r="AG29" s="39"/>
      <c r="AH29" s="39"/>
      <c r="AI29" s="39"/>
      <c r="AJ29" s="39"/>
      <c r="AK29" s="39"/>
      <c r="AM29" s="49"/>
    </row>
    <row r="30" spans="1:39" ht="38.700000000000003" customHeight="1" thickBot="1" x14ac:dyDescent="0.35">
      <c r="A30" s="864"/>
      <c r="B30" s="886"/>
      <c r="C30" s="888"/>
      <c r="D30" s="873"/>
      <c r="E30" s="484" t="s">
        <v>550</v>
      </c>
      <c r="F30" s="485">
        <f>IF(F15=1,Thermostat!$C$5,Thermostat!$C$6)</f>
        <v>75</v>
      </c>
      <c r="G30" s="485">
        <f>IF(G15=1,Thermostat!$C$5,Thermostat!$C$6)</f>
        <v>85</v>
      </c>
      <c r="H30" s="485">
        <f>IF(H15=1,Thermostat!$C$5,Thermostat!$C$6)</f>
        <v>85</v>
      </c>
      <c r="I30" s="485">
        <f>IF(I15=1,Thermostat!$C$5,Thermostat!$C$6)</f>
        <v>85</v>
      </c>
      <c r="J30" s="485">
        <f>IF(J15=1,Thermostat!$C$5,Thermostat!$C$6)</f>
        <v>85</v>
      </c>
      <c r="K30" s="485">
        <f>IF(K15=1,Thermostat!$C$5,Thermostat!$C$6)</f>
        <v>75</v>
      </c>
      <c r="L30" s="485">
        <f>IF(L15=1,Thermostat!$C$5,Thermostat!$C$6)</f>
        <v>75</v>
      </c>
      <c r="M30" s="485">
        <f>IF(M15=1,Thermostat!$C$5,Thermostat!$C$6)</f>
        <v>75</v>
      </c>
      <c r="N30" s="485">
        <f>IF(N15=1,Thermostat!$C$5,Thermostat!$C$6)</f>
        <v>75</v>
      </c>
      <c r="O30" s="485">
        <f>IF(O15=1,Thermostat!$C$5,Thermostat!$C$6)</f>
        <v>75</v>
      </c>
      <c r="P30" s="485">
        <f>IF(P15=1,Thermostat!$C$5,Thermostat!$C$6)</f>
        <v>75</v>
      </c>
      <c r="Q30" s="485">
        <f>IF(Q15=1,Thermostat!$C$5,Thermostat!$C$6)</f>
        <v>75</v>
      </c>
      <c r="R30" s="485">
        <f>IF(R15=1,Thermostat!$C$5,Thermostat!$C$6)</f>
        <v>75</v>
      </c>
      <c r="S30" s="485">
        <f>IF(S15=1,Thermostat!$C$5,Thermostat!$C$6)</f>
        <v>75</v>
      </c>
      <c r="T30" s="485">
        <f>IF(T15=1,Thermostat!$C$5,Thermostat!$C$6)</f>
        <v>75</v>
      </c>
      <c r="U30" s="485">
        <f>IF(U15=1,Thermostat!$C$5,Thermostat!$C$6)</f>
        <v>75</v>
      </c>
      <c r="V30" s="485">
        <f>IF(V15=1,Thermostat!$C$5,Thermostat!$C$6)</f>
        <v>75</v>
      </c>
      <c r="W30" s="485">
        <f>IF(W15=1,Thermostat!$C$5,Thermostat!$C$6)</f>
        <v>75</v>
      </c>
      <c r="X30" s="485">
        <f>IF(X15=1,Thermostat!$C$5,Thermostat!$C$6)</f>
        <v>75</v>
      </c>
      <c r="Y30" s="485">
        <f>IF(Y15=1,Thermostat!$C$5,Thermostat!$C$6)</f>
        <v>75</v>
      </c>
      <c r="Z30" s="485">
        <f>IF(Z15=1,Thermostat!$C$5,Thermostat!$C$6)</f>
        <v>75</v>
      </c>
      <c r="AA30" s="485">
        <f>IF(AA15=1,Thermostat!$C$5,Thermostat!$C$6)</f>
        <v>75</v>
      </c>
      <c r="AB30" s="485">
        <f>IF(AB15=1,Thermostat!$C$5,Thermostat!$C$6)</f>
        <v>75</v>
      </c>
      <c r="AC30" s="486">
        <f>IF(AC15=1,Thermostat!$C$5,Thermostat!$C$6)</f>
        <v>75</v>
      </c>
      <c r="AD30" s="39"/>
      <c r="AE30" s="39"/>
      <c r="AF30" s="39"/>
      <c r="AG30" s="39"/>
      <c r="AH30" s="39"/>
      <c r="AI30" s="39"/>
      <c r="AJ30" s="39"/>
      <c r="AK30" s="39"/>
      <c r="AM30" s="49"/>
    </row>
    <row r="31" spans="1:39" ht="29.4" customHeight="1" thickBot="1" x14ac:dyDescent="0.35">
      <c r="A31" s="890" t="s">
        <v>80</v>
      </c>
      <c r="B31" s="890"/>
      <c r="C31" s="890"/>
      <c r="D31" s="890"/>
      <c r="E31" s="890"/>
      <c r="F31" s="890"/>
      <c r="G31" s="890"/>
      <c r="H31" s="890"/>
      <c r="I31" s="890"/>
      <c r="J31" s="890"/>
      <c r="K31" s="890"/>
      <c r="L31" s="890"/>
      <c r="M31" s="890"/>
      <c r="N31" s="890"/>
      <c r="O31" s="890"/>
      <c r="P31" s="890"/>
      <c r="Q31" s="890"/>
      <c r="R31" s="890"/>
      <c r="S31" s="890"/>
      <c r="T31" s="890"/>
      <c r="U31" s="890"/>
      <c r="V31" s="890"/>
      <c r="W31" s="890"/>
      <c r="X31" s="890"/>
      <c r="Y31" s="890"/>
      <c r="Z31" s="890"/>
      <c r="AA31" s="890"/>
      <c r="AB31" s="890"/>
      <c r="AC31" s="890"/>
      <c r="AD31" s="40"/>
      <c r="AE31" s="39"/>
      <c r="AF31" s="39"/>
      <c r="AG31" s="39"/>
      <c r="AH31" s="39"/>
      <c r="AI31" s="39"/>
      <c r="AJ31" s="39"/>
      <c r="AK31" s="39"/>
    </row>
    <row r="32" spans="1:39" ht="33.6" customHeight="1" x14ac:dyDescent="0.3">
      <c r="A32" s="853" t="s">
        <v>80</v>
      </c>
      <c r="B32" s="917" t="s">
        <v>80</v>
      </c>
      <c r="C32" s="917" t="s">
        <v>564</v>
      </c>
      <c r="D32" s="859" t="s">
        <v>547</v>
      </c>
      <c r="E32" s="467" t="s">
        <v>548</v>
      </c>
      <c r="F32" s="242">
        <v>0.05</v>
      </c>
      <c r="G32" s="242">
        <v>0</v>
      </c>
      <c r="H32" s="242">
        <v>0</v>
      </c>
      <c r="I32" s="242">
        <v>0</v>
      </c>
      <c r="J32" s="242">
        <v>0</v>
      </c>
      <c r="K32" s="242">
        <v>0.05</v>
      </c>
      <c r="L32" s="242">
        <v>0.1</v>
      </c>
      <c r="M32" s="242">
        <v>0.4</v>
      </c>
      <c r="N32" s="242">
        <v>0.4</v>
      </c>
      <c r="O32" s="242">
        <v>0.4</v>
      </c>
      <c r="P32" s="242">
        <v>0.2</v>
      </c>
      <c r="Q32" s="242">
        <v>0.5</v>
      </c>
      <c r="R32" s="242">
        <v>0.8</v>
      </c>
      <c r="S32" s="242">
        <v>0.7</v>
      </c>
      <c r="T32" s="242">
        <v>0.4</v>
      </c>
      <c r="U32" s="242">
        <v>0.2</v>
      </c>
      <c r="V32" s="242">
        <v>0.25</v>
      </c>
      <c r="W32" s="242">
        <v>0.5</v>
      </c>
      <c r="X32" s="242">
        <v>0.8</v>
      </c>
      <c r="Y32" s="242">
        <v>0.8</v>
      </c>
      <c r="Z32" s="242">
        <v>0.8</v>
      </c>
      <c r="AA32" s="242">
        <v>0.5</v>
      </c>
      <c r="AB32" s="242">
        <v>0.35</v>
      </c>
      <c r="AC32" s="243">
        <v>0.2</v>
      </c>
      <c r="AD32" s="39"/>
      <c r="AE32" s="39"/>
      <c r="AF32" s="39"/>
      <c r="AG32" s="39"/>
      <c r="AH32" s="39"/>
      <c r="AI32" s="39"/>
      <c r="AJ32" s="39"/>
      <c r="AK32" s="39"/>
    </row>
    <row r="33" spans="1:39" ht="33.6" customHeight="1" x14ac:dyDescent="0.3">
      <c r="A33" s="854"/>
      <c r="B33" s="918"/>
      <c r="C33" s="918"/>
      <c r="D33" s="860"/>
      <c r="E33" s="468" t="s">
        <v>549</v>
      </c>
      <c r="F33" s="87">
        <v>0.05</v>
      </c>
      <c r="G33" s="87">
        <v>0</v>
      </c>
      <c r="H33" s="87">
        <v>0</v>
      </c>
      <c r="I33" s="87">
        <v>0</v>
      </c>
      <c r="J33" s="87">
        <v>0</v>
      </c>
      <c r="K33" s="87">
        <v>0</v>
      </c>
      <c r="L33" s="87">
        <v>0.05</v>
      </c>
      <c r="M33" s="87">
        <v>0.5</v>
      </c>
      <c r="N33" s="87">
        <v>0.5</v>
      </c>
      <c r="O33" s="87">
        <v>0.4</v>
      </c>
      <c r="P33" s="87">
        <v>0.2</v>
      </c>
      <c r="Q33" s="87">
        <v>0.45</v>
      </c>
      <c r="R33" s="87">
        <v>0.5</v>
      </c>
      <c r="S33" s="87">
        <v>0.5</v>
      </c>
      <c r="T33" s="87">
        <v>0.35</v>
      </c>
      <c r="U33" s="87">
        <v>0.3</v>
      </c>
      <c r="V33" s="87">
        <v>0.3</v>
      </c>
      <c r="W33" s="87">
        <v>0.3</v>
      </c>
      <c r="X33" s="87">
        <v>0.7</v>
      </c>
      <c r="Y33" s="87">
        <v>0.9</v>
      </c>
      <c r="Z33" s="87">
        <v>0.7</v>
      </c>
      <c r="AA33" s="87">
        <v>0.65</v>
      </c>
      <c r="AB33" s="87">
        <v>0.55000000000000004</v>
      </c>
      <c r="AC33" s="245">
        <v>0.35</v>
      </c>
      <c r="AD33" s="39"/>
      <c r="AE33" s="39"/>
      <c r="AF33" s="39"/>
      <c r="AG33" s="39"/>
      <c r="AH33" s="39"/>
      <c r="AI33" s="39"/>
      <c r="AJ33" s="39"/>
      <c r="AK33" s="39"/>
    </row>
    <row r="34" spans="1:39" ht="33.6" customHeight="1" thickBot="1" x14ac:dyDescent="0.35">
      <c r="A34" s="855"/>
      <c r="B34" s="919"/>
      <c r="C34" s="919"/>
      <c r="D34" s="861"/>
      <c r="E34" s="469" t="s">
        <v>550</v>
      </c>
      <c r="F34" s="247">
        <v>0.05</v>
      </c>
      <c r="G34" s="247">
        <v>0</v>
      </c>
      <c r="H34" s="247">
        <v>0</v>
      </c>
      <c r="I34" s="247">
        <v>0</v>
      </c>
      <c r="J34" s="247">
        <v>0</v>
      </c>
      <c r="K34" s="247">
        <v>0</v>
      </c>
      <c r="L34" s="247">
        <v>0.05</v>
      </c>
      <c r="M34" s="247">
        <v>0.5</v>
      </c>
      <c r="N34" s="247">
        <v>0.5</v>
      </c>
      <c r="O34" s="247">
        <v>0.2</v>
      </c>
      <c r="P34" s="247">
        <v>0.2</v>
      </c>
      <c r="Q34" s="247">
        <v>0.3</v>
      </c>
      <c r="R34" s="247">
        <v>0.5</v>
      </c>
      <c r="S34" s="247">
        <v>0.5</v>
      </c>
      <c r="T34" s="247">
        <v>0.3</v>
      </c>
      <c r="U34" s="247">
        <v>0.2</v>
      </c>
      <c r="V34" s="247">
        <v>0.25</v>
      </c>
      <c r="W34" s="247">
        <v>0.35</v>
      </c>
      <c r="X34" s="247">
        <v>0.55000000000000004</v>
      </c>
      <c r="Y34" s="247">
        <v>0.65</v>
      </c>
      <c r="Z34" s="247">
        <v>0.7</v>
      </c>
      <c r="AA34" s="247">
        <v>0.35</v>
      </c>
      <c r="AB34" s="247">
        <v>0.2</v>
      </c>
      <c r="AC34" s="248">
        <v>0.2</v>
      </c>
      <c r="AD34" s="39"/>
      <c r="AE34" s="39"/>
      <c r="AF34" s="39"/>
      <c r="AG34" s="39"/>
      <c r="AH34" s="39"/>
      <c r="AI34" s="39"/>
      <c r="AJ34" s="39"/>
      <c r="AK34" s="39"/>
    </row>
    <row r="35" spans="1:39" ht="33" customHeight="1" x14ac:dyDescent="0.3">
      <c r="A35" s="853" t="s">
        <v>80</v>
      </c>
      <c r="B35" s="917" t="s">
        <v>80</v>
      </c>
      <c r="C35" s="917" t="s">
        <v>551</v>
      </c>
      <c r="D35" s="897" t="s">
        <v>552</v>
      </c>
      <c r="E35" s="95" t="s">
        <v>548</v>
      </c>
      <c r="F35" s="96">
        <v>0.15</v>
      </c>
      <c r="G35" s="96">
        <v>0.15</v>
      </c>
      <c r="H35" s="96">
        <v>0.15</v>
      </c>
      <c r="I35" s="96">
        <v>0.15</v>
      </c>
      <c r="J35" s="96">
        <v>0.15</v>
      </c>
      <c r="K35" s="96">
        <v>0.2</v>
      </c>
      <c r="L35" s="320">
        <v>0.3</v>
      </c>
      <c r="M35" s="320">
        <f t="shared" ref="M35:AA37" si="1">M38-5%</f>
        <v>0.66999999999999993</v>
      </c>
      <c r="N35" s="320">
        <f t="shared" si="1"/>
        <v>0.73</v>
      </c>
      <c r="O35" s="320">
        <f t="shared" si="1"/>
        <v>0.75</v>
      </c>
      <c r="P35" s="320">
        <f t="shared" si="1"/>
        <v>0.85</v>
      </c>
      <c r="Q35" s="320">
        <f t="shared" si="1"/>
        <v>0.85</v>
      </c>
      <c r="R35" s="320">
        <f t="shared" si="1"/>
        <v>0.85</v>
      </c>
      <c r="S35" s="320">
        <f t="shared" si="1"/>
        <v>0.83</v>
      </c>
      <c r="T35" s="320">
        <f t="shared" si="1"/>
        <v>0.72</v>
      </c>
      <c r="U35" s="320">
        <f t="shared" si="1"/>
        <v>0.64999999999999991</v>
      </c>
      <c r="V35" s="320">
        <f t="shared" si="1"/>
        <v>0.66999999999999993</v>
      </c>
      <c r="W35" s="320">
        <f t="shared" si="1"/>
        <v>0.75</v>
      </c>
      <c r="X35" s="320">
        <f t="shared" si="1"/>
        <v>0.85</v>
      </c>
      <c r="Y35" s="320">
        <f t="shared" si="1"/>
        <v>0.85</v>
      </c>
      <c r="Z35" s="320">
        <f t="shared" si="1"/>
        <v>0.85</v>
      </c>
      <c r="AA35" s="320">
        <f t="shared" si="1"/>
        <v>0.75</v>
      </c>
      <c r="AB35" s="320">
        <f>AB38-5%</f>
        <v>0.56999999999999995</v>
      </c>
      <c r="AC35" s="97">
        <v>0.3</v>
      </c>
      <c r="AD35" s="39"/>
      <c r="AE35" s="39"/>
      <c r="AF35" s="39"/>
      <c r="AG35" s="39"/>
      <c r="AH35" s="39"/>
      <c r="AI35" s="39"/>
      <c r="AJ35" s="39"/>
      <c r="AK35" s="39"/>
    </row>
    <row r="36" spans="1:39" ht="33" customHeight="1" x14ac:dyDescent="0.3">
      <c r="A36" s="854"/>
      <c r="B36" s="918"/>
      <c r="C36" s="918"/>
      <c r="D36" s="898"/>
      <c r="E36" s="86" t="s">
        <v>549</v>
      </c>
      <c r="F36" s="321">
        <f>F39</f>
        <v>0.15</v>
      </c>
      <c r="G36" s="87">
        <v>0.15</v>
      </c>
      <c r="H36" s="87">
        <v>0.15</v>
      </c>
      <c r="I36" s="87">
        <v>0.15</v>
      </c>
      <c r="J36" s="87">
        <v>0.15</v>
      </c>
      <c r="K36" s="321">
        <f>K39</f>
        <v>0.2</v>
      </c>
      <c r="L36" s="87">
        <v>0.3</v>
      </c>
      <c r="M36" s="321">
        <f t="shared" si="1"/>
        <v>0.66999999999999993</v>
      </c>
      <c r="N36" s="321">
        <f t="shared" si="1"/>
        <v>0.73</v>
      </c>
      <c r="O36" s="321">
        <f t="shared" si="1"/>
        <v>0.75</v>
      </c>
      <c r="P36" s="321">
        <f t="shared" si="1"/>
        <v>0.85</v>
      </c>
      <c r="Q36" s="321">
        <f t="shared" si="1"/>
        <v>0.85</v>
      </c>
      <c r="R36" s="321">
        <f t="shared" si="1"/>
        <v>0.85</v>
      </c>
      <c r="S36" s="321">
        <f t="shared" si="1"/>
        <v>0.83</v>
      </c>
      <c r="T36" s="321">
        <f t="shared" si="1"/>
        <v>0.72</v>
      </c>
      <c r="U36" s="321">
        <f t="shared" si="1"/>
        <v>0.64999999999999991</v>
      </c>
      <c r="V36" s="321">
        <f t="shared" si="1"/>
        <v>0.66999999999999993</v>
      </c>
      <c r="W36" s="321">
        <f t="shared" si="1"/>
        <v>0.75</v>
      </c>
      <c r="X36" s="321">
        <f t="shared" si="1"/>
        <v>0.85</v>
      </c>
      <c r="Y36" s="321">
        <f t="shared" si="1"/>
        <v>0.85</v>
      </c>
      <c r="Z36" s="321">
        <f t="shared" si="1"/>
        <v>0.85</v>
      </c>
      <c r="AA36" s="321">
        <f t="shared" si="1"/>
        <v>0.75</v>
      </c>
      <c r="AB36" s="321">
        <f>AB39-5%</f>
        <v>0.56999999999999995</v>
      </c>
      <c r="AC36" s="88">
        <v>0.3</v>
      </c>
      <c r="AD36" s="39"/>
      <c r="AE36" s="39"/>
      <c r="AF36" s="39"/>
      <c r="AG36" s="39"/>
      <c r="AH36" s="39"/>
      <c r="AI36" s="39"/>
      <c r="AJ36" s="39"/>
      <c r="AK36" s="39"/>
    </row>
    <row r="37" spans="1:39" ht="33" customHeight="1" thickBot="1" x14ac:dyDescent="0.35">
      <c r="A37" s="855"/>
      <c r="B37" s="919"/>
      <c r="C37" s="919"/>
      <c r="D37" s="899"/>
      <c r="E37" s="89" t="s">
        <v>550</v>
      </c>
      <c r="F37" s="90">
        <v>0.2</v>
      </c>
      <c r="G37" s="90">
        <v>0.15</v>
      </c>
      <c r="H37" s="90">
        <v>0.15</v>
      </c>
      <c r="I37" s="90">
        <v>0.15</v>
      </c>
      <c r="J37" s="90">
        <v>0.15</v>
      </c>
      <c r="K37" s="90">
        <v>0.15</v>
      </c>
      <c r="L37" s="90">
        <v>0.3</v>
      </c>
      <c r="M37" s="322">
        <f t="shared" si="1"/>
        <v>0.66999999999999993</v>
      </c>
      <c r="N37" s="322">
        <f t="shared" si="1"/>
        <v>0.73</v>
      </c>
      <c r="O37" s="322">
        <f t="shared" si="1"/>
        <v>0.75</v>
      </c>
      <c r="P37" s="322">
        <f t="shared" si="1"/>
        <v>0.85</v>
      </c>
      <c r="Q37" s="322">
        <f t="shared" si="1"/>
        <v>0.85</v>
      </c>
      <c r="R37" s="322">
        <f t="shared" si="1"/>
        <v>0.85</v>
      </c>
      <c r="S37" s="322">
        <f t="shared" si="1"/>
        <v>0.83</v>
      </c>
      <c r="T37" s="322">
        <f t="shared" si="1"/>
        <v>0.72</v>
      </c>
      <c r="U37" s="322">
        <f t="shared" si="1"/>
        <v>0.64999999999999991</v>
      </c>
      <c r="V37" s="322">
        <f t="shared" si="1"/>
        <v>0.66999999999999993</v>
      </c>
      <c r="W37" s="322">
        <f t="shared" si="1"/>
        <v>0.75</v>
      </c>
      <c r="X37" s="322">
        <f t="shared" si="1"/>
        <v>0.85</v>
      </c>
      <c r="Y37" s="322">
        <f t="shared" si="1"/>
        <v>0.85</v>
      </c>
      <c r="Z37" s="322">
        <f t="shared" si="1"/>
        <v>0.85</v>
      </c>
      <c r="AA37" s="322">
        <f t="shared" si="1"/>
        <v>0.75</v>
      </c>
      <c r="AB37" s="322">
        <f>AB40-5%</f>
        <v>0.56999999999999995</v>
      </c>
      <c r="AC37" s="91">
        <v>0.3</v>
      </c>
      <c r="AD37" s="39"/>
      <c r="AE37" s="39"/>
      <c r="AF37" s="39"/>
      <c r="AG37" s="39"/>
      <c r="AH37" s="39"/>
      <c r="AI37" s="39"/>
      <c r="AJ37" s="39"/>
      <c r="AK37" s="39"/>
    </row>
    <row r="38" spans="1:39" ht="34.950000000000003" customHeight="1" x14ac:dyDescent="0.3">
      <c r="A38" s="920" t="s">
        <v>80</v>
      </c>
      <c r="B38" s="934" t="s">
        <v>80</v>
      </c>
      <c r="C38" s="935" t="s">
        <v>553</v>
      </c>
      <c r="D38" s="938" t="s">
        <v>554</v>
      </c>
      <c r="E38" s="241" t="s">
        <v>548</v>
      </c>
      <c r="F38" s="242">
        <v>0.15</v>
      </c>
      <c r="G38" s="242">
        <v>0.15</v>
      </c>
      <c r="H38" s="242">
        <v>0.15</v>
      </c>
      <c r="I38" s="242">
        <v>0.15</v>
      </c>
      <c r="J38" s="242">
        <v>0.15</v>
      </c>
      <c r="K38" s="242">
        <v>0.2</v>
      </c>
      <c r="L38" s="254">
        <v>0.3</v>
      </c>
      <c r="M38" s="254">
        <v>0.72</v>
      </c>
      <c r="N38" s="254">
        <v>0.78</v>
      </c>
      <c r="O38" s="254">
        <v>0.8</v>
      </c>
      <c r="P38" s="242">
        <v>0.9</v>
      </c>
      <c r="Q38" s="242">
        <v>0.9</v>
      </c>
      <c r="R38" s="242">
        <v>0.9</v>
      </c>
      <c r="S38" s="254">
        <v>0.88</v>
      </c>
      <c r="T38" s="254">
        <v>0.77</v>
      </c>
      <c r="U38" s="254">
        <v>0.7</v>
      </c>
      <c r="V38" s="254">
        <v>0.72</v>
      </c>
      <c r="W38" s="254">
        <v>0.8</v>
      </c>
      <c r="X38" s="242">
        <v>0.9</v>
      </c>
      <c r="Y38" s="242">
        <v>0.9</v>
      </c>
      <c r="Z38" s="242">
        <v>0.9</v>
      </c>
      <c r="AA38" s="254">
        <v>0.8</v>
      </c>
      <c r="AB38" s="254">
        <v>0.62</v>
      </c>
      <c r="AC38" s="243">
        <v>0.3</v>
      </c>
      <c r="AD38" s="175"/>
      <c r="AE38" s="39"/>
      <c r="AF38" s="39"/>
      <c r="AG38" s="39"/>
      <c r="AH38" s="39"/>
      <c r="AI38" s="39"/>
      <c r="AJ38" s="39"/>
      <c r="AK38" s="39"/>
      <c r="AM38" s="49">
        <f>(SUM(F38:AC38)*5+SUM(F39:AC40))*52</f>
        <v>5292.56</v>
      </c>
    </row>
    <row r="39" spans="1:39" ht="36" customHeight="1" x14ac:dyDescent="0.3">
      <c r="A39" s="892"/>
      <c r="B39" s="857"/>
      <c r="C39" s="936"/>
      <c r="D39" s="938"/>
      <c r="E39" s="244" t="s">
        <v>549</v>
      </c>
      <c r="F39" s="252">
        <v>0.15</v>
      </c>
      <c r="G39" s="87">
        <v>0.15</v>
      </c>
      <c r="H39" s="87">
        <v>0.15</v>
      </c>
      <c r="I39" s="87">
        <v>0.15</v>
      </c>
      <c r="J39" s="87">
        <v>0.15</v>
      </c>
      <c r="K39" s="252">
        <v>0.2</v>
      </c>
      <c r="L39" s="87">
        <v>0.3</v>
      </c>
      <c r="M39" s="252">
        <v>0.72</v>
      </c>
      <c r="N39" s="252">
        <v>0.78</v>
      </c>
      <c r="O39" s="252">
        <v>0.8</v>
      </c>
      <c r="P39" s="252">
        <v>0.9</v>
      </c>
      <c r="Q39" s="252">
        <v>0.9</v>
      </c>
      <c r="R39" s="252">
        <v>0.9</v>
      </c>
      <c r="S39" s="252">
        <v>0.88</v>
      </c>
      <c r="T39" s="252">
        <v>0.77</v>
      </c>
      <c r="U39" s="252">
        <v>0.7</v>
      </c>
      <c r="V39" s="252">
        <v>0.72</v>
      </c>
      <c r="W39" s="252">
        <v>0.8</v>
      </c>
      <c r="X39" s="87">
        <v>0.9</v>
      </c>
      <c r="Y39" s="87">
        <v>0.9</v>
      </c>
      <c r="Z39" s="87">
        <v>0.9</v>
      </c>
      <c r="AA39" s="252">
        <v>0.8</v>
      </c>
      <c r="AB39" s="252">
        <v>0.62</v>
      </c>
      <c r="AC39" s="245">
        <v>0.3</v>
      </c>
      <c r="AD39" s="175"/>
      <c r="AE39" s="39"/>
      <c r="AF39" s="39"/>
      <c r="AG39" s="39"/>
      <c r="AH39" s="39"/>
      <c r="AI39" s="39"/>
      <c r="AJ39" s="39"/>
      <c r="AK39" s="39"/>
    </row>
    <row r="40" spans="1:39" ht="32.4" customHeight="1" thickBot="1" x14ac:dyDescent="0.35">
      <c r="A40" s="893"/>
      <c r="B40" s="858"/>
      <c r="C40" s="937"/>
      <c r="D40" s="939"/>
      <c r="E40" s="246" t="s">
        <v>550</v>
      </c>
      <c r="F40" s="253">
        <v>0.2</v>
      </c>
      <c r="G40" s="247">
        <v>0.15</v>
      </c>
      <c r="H40" s="247">
        <v>0.15</v>
      </c>
      <c r="I40" s="247">
        <v>0.15</v>
      </c>
      <c r="J40" s="247">
        <v>0.15</v>
      </c>
      <c r="K40" s="253">
        <v>0.15</v>
      </c>
      <c r="L40" s="247">
        <v>0.3</v>
      </c>
      <c r="M40" s="253">
        <v>0.72</v>
      </c>
      <c r="N40" s="253">
        <v>0.78</v>
      </c>
      <c r="O40" s="253">
        <v>0.8</v>
      </c>
      <c r="P40" s="253">
        <v>0.9</v>
      </c>
      <c r="Q40" s="253">
        <v>0.9</v>
      </c>
      <c r="R40" s="253">
        <v>0.9</v>
      </c>
      <c r="S40" s="253">
        <v>0.88</v>
      </c>
      <c r="T40" s="253">
        <v>0.77</v>
      </c>
      <c r="U40" s="253">
        <v>0.7</v>
      </c>
      <c r="V40" s="253">
        <v>0.72</v>
      </c>
      <c r="W40" s="253">
        <v>0.8</v>
      </c>
      <c r="X40" s="253">
        <v>0.9</v>
      </c>
      <c r="Y40" s="253">
        <v>0.9</v>
      </c>
      <c r="Z40" s="253">
        <v>0.9</v>
      </c>
      <c r="AA40" s="253">
        <v>0.8</v>
      </c>
      <c r="AB40" s="253">
        <v>0.62</v>
      </c>
      <c r="AC40" s="248">
        <v>0.3</v>
      </c>
      <c r="AD40" s="175"/>
      <c r="AE40" s="39"/>
      <c r="AF40" s="39"/>
      <c r="AG40" s="39"/>
      <c r="AH40" s="39"/>
      <c r="AI40" s="39"/>
      <c r="AJ40" s="39"/>
      <c r="AK40" s="39"/>
      <c r="AM40" s="49"/>
    </row>
    <row r="41" spans="1:39" ht="38.700000000000003" customHeight="1" x14ac:dyDescent="0.3">
      <c r="A41" s="891" t="s">
        <v>80</v>
      </c>
      <c r="B41" s="856" t="s">
        <v>80</v>
      </c>
      <c r="C41" s="929" t="s">
        <v>555</v>
      </c>
      <c r="D41" s="940" t="s">
        <v>556</v>
      </c>
      <c r="E41" s="241" t="s">
        <v>548</v>
      </c>
      <c r="F41" s="242">
        <v>1</v>
      </c>
      <c r="G41" s="316">
        <v>0</v>
      </c>
      <c r="H41" s="316">
        <v>0</v>
      </c>
      <c r="I41" s="242">
        <v>0</v>
      </c>
      <c r="J41" s="316">
        <v>1</v>
      </c>
      <c r="K41" s="316">
        <v>1</v>
      </c>
      <c r="L41" s="242">
        <v>1</v>
      </c>
      <c r="M41" s="242">
        <v>1</v>
      </c>
      <c r="N41" s="242">
        <v>1</v>
      </c>
      <c r="O41" s="242">
        <v>1</v>
      </c>
      <c r="P41" s="242">
        <v>1</v>
      </c>
      <c r="Q41" s="242">
        <v>1</v>
      </c>
      <c r="R41" s="242">
        <v>1</v>
      </c>
      <c r="S41" s="242">
        <v>1</v>
      </c>
      <c r="T41" s="242">
        <v>1</v>
      </c>
      <c r="U41" s="242">
        <v>1</v>
      </c>
      <c r="V41" s="242">
        <v>1</v>
      </c>
      <c r="W41" s="242">
        <v>1</v>
      </c>
      <c r="X41" s="242">
        <v>1</v>
      </c>
      <c r="Y41" s="242">
        <v>1</v>
      </c>
      <c r="Z41" s="242">
        <v>1</v>
      </c>
      <c r="AA41" s="242">
        <v>1</v>
      </c>
      <c r="AB41" s="242">
        <v>1</v>
      </c>
      <c r="AC41" s="243">
        <v>1</v>
      </c>
      <c r="AD41" s="39"/>
      <c r="AE41" s="39"/>
      <c r="AF41" s="39"/>
      <c r="AG41" s="39"/>
      <c r="AH41" s="39"/>
      <c r="AI41" s="39"/>
      <c r="AJ41" s="39"/>
      <c r="AK41" s="39"/>
      <c r="AM41" s="49"/>
    </row>
    <row r="42" spans="1:39" ht="33" customHeight="1" x14ac:dyDescent="0.3">
      <c r="A42" s="892"/>
      <c r="B42" s="857"/>
      <c r="C42" s="895"/>
      <c r="D42" s="941"/>
      <c r="E42" s="244" t="s">
        <v>549</v>
      </c>
      <c r="F42" s="87">
        <v>1</v>
      </c>
      <c r="G42" s="320">
        <v>0</v>
      </c>
      <c r="H42" s="320">
        <v>0</v>
      </c>
      <c r="I42" s="87">
        <v>0</v>
      </c>
      <c r="J42" s="87">
        <v>0</v>
      </c>
      <c r="K42" s="321">
        <v>1</v>
      </c>
      <c r="L42" s="321">
        <v>1</v>
      </c>
      <c r="M42" s="321">
        <v>1</v>
      </c>
      <c r="N42" s="87">
        <v>1</v>
      </c>
      <c r="O42" s="87">
        <v>1</v>
      </c>
      <c r="P42" s="87">
        <v>1</v>
      </c>
      <c r="Q42" s="87">
        <v>1</v>
      </c>
      <c r="R42" s="87">
        <v>1</v>
      </c>
      <c r="S42" s="87">
        <v>1</v>
      </c>
      <c r="T42" s="87">
        <v>1</v>
      </c>
      <c r="U42" s="87">
        <v>1</v>
      </c>
      <c r="V42" s="87">
        <v>1</v>
      </c>
      <c r="W42" s="87">
        <v>1</v>
      </c>
      <c r="X42" s="87">
        <v>1</v>
      </c>
      <c r="Y42" s="87">
        <v>1</v>
      </c>
      <c r="Z42" s="87">
        <v>1</v>
      </c>
      <c r="AA42" s="87">
        <v>1</v>
      </c>
      <c r="AB42" s="87">
        <v>1</v>
      </c>
      <c r="AC42" s="245">
        <v>1</v>
      </c>
      <c r="AD42" s="39"/>
      <c r="AE42" s="39"/>
      <c r="AF42" s="39"/>
      <c r="AG42" s="39"/>
      <c r="AH42" s="39"/>
      <c r="AI42" s="39"/>
      <c r="AJ42" s="39"/>
      <c r="AK42" s="39"/>
      <c r="AM42" s="49"/>
    </row>
    <row r="43" spans="1:39" ht="38.700000000000003" customHeight="1" thickBot="1" x14ac:dyDescent="0.35">
      <c r="A43" s="893"/>
      <c r="B43" s="858"/>
      <c r="C43" s="896"/>
      <c r="D43" s="942"/>
      <c r="E43" s="246" t="s">
        <v>550</v>
      </c>
      <c r="F43" s="247">
        <v>1</v>
      </c>
      <c r="G43" s="323">
        <v>0</v>
      </c>
      <c r="H43" s="323">
        <v>0</v>
      </c>
      <c r="I43" s="247">
        <v>0</v>
      </c>
      <c r="J43" s="247">
        <v>0</v>
      </c>
      <c r="K43" s="324">
        <v>1</v>
      </c>
      <c r="L43" s="324">
        <v>1</v>
      </c>
      <c r="M43" s="324">
        <v>1</v>
      </c>
      <c r="N43" s="324">
        <v>1</v>
      </c>
      <c r="O43" s="247">
        <v>1</v>
      </c>
      <c r="P43" s="247">
        <v>1</v>
      </c>
      <c r="Q43" s="247">
        <v>1</v>
      </c>
      <c r="R43" s="247">
        <v>1</v>
      </c>
      <c r="S43" s="247">
        <v>1</v>
      </c>
      <c r="T43" s="247">
        <v>1</v>
      </c>
      <c r="U43" s="247">
        <v>1</v>
      </c>
      <c r="V43" s="247">
        <v>1</v>
      </c>
      <c r="W43" s="247">
        <v>1</v>
      </c>
      <c r="X43" s="247">
        <v>1</v>
      </c>
      <c r="Y43" s="247">
        <v>1</v>
      </c>
      <c r="Z43" s="247">
        <v>1</v>
      </c>
      <c r="AA43" s="247">
        <v>1</v>
      </c>
      <c r="AB43" s="247">
        <v>1</v>
      </c>
      <c r="AC43" s="248">
        <v>1</v>
      </c>
      <c r="AD43" s="39"/>
      <c r="AE43" s="39"/>
      <c r="AF43" s="39"/>
      <c r="AG43" s="39"/>
      <c r="AH43" s="39"/>
      <c r="AI43" s="39"/>
      <c r="AJ43" s="39"/>
      <c r="AK43" s="39"/>
      <c r="AM43" s="49"/>
    </row>
    <row r="44" spans="1:39" ht="38.700000000000003" customHeight="1" x14ac:dyDescent="0.3">
      <c r="A44" s="853" t="s">
        <v>80</v>
      </c>
      <c r="B44" s="917" t="s">
        <v>80</v>
      </c>
      <c r="C44" s="859" t="s">
        <v>557</v>
      </c>
      <c r="D44" s="897" t="s">
        <v>558</v>
      </c>
      <c r="E44" s="95" t="s">
        <v>548</v>
      </c>
      <c r="F44" s="96">
        <v>0.2</v>
      </c>
      <c r="G44" s="320">
        <v>0</v>
      </c>
      <c r="H44" s="320">
        <v>0</v>
      </c>
      <c r="I44" s="96">
        <v>0</v>
      </c>
      <c r="J44" s="96">
        <v>0</v>
      </c>
      <c r="K44" s="320">
        <v>0.2</v>
      </c>
      <c r="L44" s="320">
        <v>0.2</v>
      </c>
      <c r="M44" s="320">
        <v>0.3</v>
      </c>
      <c r="N44" s="320">
        <v>0.3</v>
      </c>
      <c r="O44" s="96">
        <v>0.3</v>
      </c>
      <c r="P44" s="96">
        <v>0.4</v>
      </c>
      <c r="Q44" s="96">
        <v>0.45</v>
      </c>
      <c r="R44" s="96">
        <v>0.4</v>
      </c>
      <c r="S44" s="96">
        <v>0.35</v>
      </c>
      <c r="T44" s="96">
        <v>0.3</v>
      </c>
      <c r="U44" s="96">
        <v>0.3</v>
      </c>
      <c r="V44" s="96">
        <v>0.3</v>
      </c>
      <c r="W44" s="96">
        <v>0.4</v>
      </c>
      <c r="X44" s="96">
        <v>0.55000000000000004</v>
      </c>
      <c r="Y44" s="96">
        <v>0.6</v>
      </c>
      <c r="Z44" s="96">
        <v>0.5</v>
      </c>
      <c r="AA44" s="96">
        <v>0.55000000000000004</v>
      </c>
      <c r="AB44" s="96">
        <v>0.45</v>
      </c>
      <c r="AC44" s="553">
        <v>0.2</v>
      </c>
      <c r="AD44" s="39"/>
      <c r="AE44" s="39"/>
      <c r="AF44" s="39"/>
      <c r="AG44" s="39"/>
      <c r="AH44" s="39"/>
      <c r="AI44" s="39"/>
      <c r="AJ44" s="39"/>
      <c r="AK44" s="39"/>
      <c r="AM44" s="49"/>
    </row>
    <row r="45" spans="1:39" ht="38.700000000000003" customHeight="1" x14ac:dyDescent="0.3">
      <c r="A45" s="854"/>
      <c r="B45" s="918"/>
      <c r="C45" s="860"/>
      <c r="D45" s="898"/>
      <c r="E45" s="86" t="s">
        <v>549</v>
      </c>
      <c r="F45" s="87">
        <v>0.2</v>
      </c>
      <c r="G45" s="321">
        <v>0</v>
      </c>
      <c r="H45" s="321">
        <v>0</v>
      </c>
      <c r="I45" s="87">
        <v>0</v>
      </c>
      <c r="J45" s="87">
        <v>0</v>
      </c>
      <c r="K45" s="87">
        <v>0</v>
      </c>
      <c r="L45" s="321">
        <v>0.2</v>
      </c>
      <c r="M45" s="321">
        <v>0.2</v>
      </c>
      <c r="N45" s="321">
        <v>0.3</v>
      </c>
      <c r="O45" s="321">
        <v>0.3</v>
      </c>
      <c r="P45" s="87">
        <v>0.45</v>
      </c>
      <c r="Q45" s="87">
        <v>0.5</v>
      </c>
      <c r="R45" s="87">
        <v>0.5</v>
      </c>
      <c r="S45" s="87">
        <v>0.45</v>
      </c>
      <c r="T45" s="87">
        <v>0.4</v>
      </c>
      <c r="U45" s="87">
        <v>0.4</v>
      </c>
      <c r="V45" s="87">
        <v>0.35</v>
      </c>
      <c r="W45" s="87">
        <v>0.4</v>
      </c>
      <c r="X45" s="87">
        <v>0.55000000000000004</v>
      </c>
      <c r="Y45" s="87">
        <v>0.55000000000000004</v>
      </c>
      <c r="Z45" s="87">
        <v>0.5</v>
      </c>
      <c r="AA45" s="87">
        <v>0.55000000000000004</v>
      </c>
      <c r="AB45" s="87">
        <v>0.4</v>
      </c>
      <c r="AC45" s="554">
        <v>0.2</v>
      </c>
      <c r="AD45" s="39"/>
      <c r="AE45" s="39"/>
      <c r="AF45" s="39"/>
      <c r="AG45" s="39"/>
      <c r="AH45" s="39"/>
      <c r="AI45" s="39"/>
      <c r="AJ45" s="39"/>
      <c r="AK45" s="39"/>
      <c r="AM45" s="49"/>
    </row>
    <row r="46" spans="1:39" ht="38.700000000000003" customHeight="1" thickBot="1" x14ac:dyDescent="0.35">
      <c r="A46" s="855"/>
      <c r="B46" s="919"/>
      <c r="C46" s="861"/>
      <c r="D46" s="899"/>
      <c r="E46" s="89" t="s">
        <v>550</v>
      </c>
      <c r="F46" s="90">
        <v>0.25</v>
      </c>
      <c r="G46" s="322">
        <v>0</v>
      </c>
      <c r="H46" s="322">
        <v>0</v>
      </c>
      <c r="I46" s="90">
        <v>0</v>
      </c>
      <c r="J46" s="90">
        <v>0</v>
      </c>
      <c r="K46" s="90">
        <v>0</v>
      </c>
      <c r="L46" s="322">
        <v>0.2</v>
      </c>
      <c r="M46" s="322">
        <v>0.2</v>
      </c>
      <c r="N46" s="322">
        <v>0.3</v>
      </c>
      <c r="O46" s="322">
        <v>0.3</v>
      </c>
      <c r="P46" s="322">
        <v>0.3</v>
      </c>
      <c r="Q46" s="90">
        <v>0.5</v>
      </c>
      <c r="R46" s="90">
        <v>0.4</v>
      </c>
      <c r="S46" s="90">
        <v>0.4</v>
      </c>
      <c r="T46" s="90">
        <v>0.3</v>
      </c>
      <c r="U46" s="90">
        <v>0.3</v>
      </c>
      <c r="V46" s="90">
        <v>0.3</v>
      </c>
      <c r="W46" s="90">
        <v>0.4</v>
      </c>
      <c r="X46" s="90">
        <v>0.5</v>
      </c>
      <c r="Y46" s="90">
        <v>0.5</v>
      </c>
      <c r="Z46" s="90">
        <v>0.4</v>
      </c>
      <c r="AA46" s="90">
        <v>0.5</v>
      </c>
      <c r="AB46" s="90">
        <v>0.4</v>
      </c>
      <c r="AC46" s="91">
        <v>0.2</v>
      </c>
      <c r="AD46" s="39"/>
      <c r="AE46" s="39"/>
      <c r="AF46" s="39"/>
      <c r="AG46" s="39"/>
      <c r="AH46" s="39"/>
      <c r="AI46" s="39"/>
      <c r="AJ46" s="39"/>
      <c r="AK46" s="39"/>
      <c r="AM46" s="49"/>
    </row>
    <row r="47" spans="1:39" ht="38.700000000000003" customHeight="1" x14ac:dyDescent="0.3">
      <c r="A47" s="891" t="s">
        <v>80</v>
      </c>
      <c r="B47" s="856" t="s">
        <v>80</v>
      </c>
      <c r="C47" s="894" t="s">
        <v>242</v>
      </c>
      <c r="D47" s="897" t="s">
        <v>559</v>
      </c>
      <c r="E47" s="487" t="s">
        <v>548</v>
      </c>
      <c r="F47" s="316">
        <v>0.25</v>
      </c>
      <c r="G47" s="316">
        <v>0</v>
      </c>
      <c r="H47" s="316">
        <v>0</v>
      </c>
      <c r="I47" s="242">
        <v>1</v>
      </c>
      <c r="J47" s="316">
        <v>0.25</v>
      </c>
      <c r="K47" s="325">
        <v>0.25</v>
      </c>
      <c r="L47" s="315">
        <v>0.25</v>
      </c>
      <c r="M47" s="315">
        <v>0.25</v>
      </c>
      <c r="N47" s="315">
        <v>0.25</v>
      </c>
      <c r="O47" s="242">
        <v>0.25</v>
      </c>
      <c r="P47" s="242">
        <v>0.25</v>
      </c>
      <c r="Q47" s="242">
        <v>0.25</v>
      </c>
      <c r="R47" s="242">
        <v>0.25</v>
      </c>
      <c r="S47" s="242">
        <v>0.25</v>
      </c>
      <c r="T47" s="242">
        <v>0.25</v>
      </c>
      <c r="U47" s="242">
        <v>0.25</v>
      </c>
      <c r="V47" s="316">
        <v>0.25</v>
      </c>
      <c r="W47" s="242">
        <v>0.25</v>
      </c>
      <c r="X47" s="242">
        <v>0.25</v>
      </c>
      <c r="Y47" s="242">
        <v>0.25</v>
      </c>
      <c r="Z47" s="242">
        <v>0.25</v>
      </c>
      <c r="AA47" s="242">
        <v>0.25</v>
      </c>
      <c r="AB47" s="242">
        <v>0.25</v>
      </c>
      <c r="AC47" s="243">
        <v>0.25</v>
      </c>
      <c r="AD47" s="39"/>
      <c r="AE47" s="39"/>
      <c r="AF47" s="39"/>
      <c r="AG47" s="39"/>
      <c r="AH47" s="39"/>
      <c r="AI47" s="39"/>
      <c r="AJ47" s="39"/>
      <c r="AK47" s="39"/>
      <c r="AM47" s="49"/>
    </row>
    <row r="48" spans="1:39" ht="38.700000000000003" customHeight="1" x14ac:dyDescent="0.3">
      <c r="A48" s="892"/>
      <c r="B48" s="857"/>
      <c r="C48" s="895"/>
      <c r="D48" s="898"/>
      <c r="E48" s="86" t="s">
        <v>549</v>
      </c>
      <c r="F48" s="321">
        <v>0.25</v>
      </c>
      <c r="G48" s="321">
        <v>0</v>
      </c>
      <c r="H48" s="87">
        <v>0</v>
      </c>
      <c r="I48" s="87">
        <v>1</v>
      </c>
      <c r="J48" s="87">
        <v>1</v>
      </c>
      <c r="K48" s="321">
        <v>0.25</v>
      </c>
      <c r="L48" s="321">
        <v>0.25</v>
      </c>
      <c r="M48" s="321">
        <v>0.25</v>
      </c>
      <c r="N48" s="87">
        <v>0.25</v>
      </c>
      <c r="O48" s="87">
        <v>0.25</v>
      </c>
      <c r="P48" s="87">
        <v>0.25</v>
      </c>
      <c r="Q48" s="87">
        <v>0.25</v>
      </c>
      <c r="R48" s="87">
        <v>0.25</v>
      </c>
      <c r="S48" s="87">
        <v>0.25</v>
      </c>
      <c r="T48" s="87">
        <v>0.25</v>
      </c>
      <c r="U48" s="87">
        <v>0.25</v>
      </c>
      <c r="V48" s="87">
        <v>0.25</v>
      </c>
      <c r="W48" s="87">
        <v>0.25</v>
      </c>
      <c r="X48" s="87">
        <v>0.25</v>
      </c>
      <c r="Y48" s="87">
        <v>0.25</v>
      </c>
      <c r="Z48" s="87">
        <v>0.25</v>
      </c>
      <c r="AA48" s="87">
        <v>0.25</v>
      </c>
      <c r="AB48" s="87">
        <v>0.25</v>
      </c>
      <c r="AC48" s="245">
        <v>0.25</v>
      </c>
      <c r="AD48" s="39"/>
      <c r="AE48" s="39"/>
      <c r="AF48" s="39"/>
      <c r="AG48" s="39"/>
      <c r="AH48" s="39"/>
      <c r="AI48" s="39"/>
      <c r="AJ48" s="39"/>
      <c r="AK48" s="39"/>
      <c r="AM48" s="49"/>
    </row>
    <row r="49" spans="1:41" ht="38.700000000000003" customHeight="1" thickBot="1" x14ac:dyDescent="0.35">
      <c r="A49" s="893"/>
      <c r="B49" s="858"/>
      <c r="C49" s="896"/>
      <c r="D49" s="899"/>
      <c r="E49" s="488" t="s">
        <v>550</v>
      </c>
      <c r="F49" s="324">
        <v>0.25</v>
      </c>
      <c r="G49" s="324">
        <v>0</v>
      </c>
      <c r="H49" s="324">
        <v>0</v>
      </c>
      <c r="I49" s="247">
        <v>1</v>
      </c>
      <c r="J49" s="247">
        <v>1</v>
      </c>
      <c r="K49" s="323">
        <v>0.25</v>
      </c>
      <c r="L49" s="323">
        <v>0.25</v>
      </c>
      <c r="M49" s="323">
        <v>0.25</v>
      </c>
      <c r="N49" s="323">
        <v>0.25</v>
      </c>
      <c r="O49" s="247">
        <v>0.25</v>
      </c>
      <c r="P49" s="247">
        <v>0.25</v>
      </c>
      <c r="Q49" s="247">
        <v>0.25</v>
      </c>
      <c r="R49" s="247">
        <v>0.25</v>
      </c>
      <c r="S49" s="247">
        <v>0.25</v>
      </c>
      <c r="T49" s="247">
        <v>0.25</v>
      </c>
      <c r="U49" s="247">
        <v>0.25</v>
      </c>
      <c r="V49" s="247">
        <v>0.25</v>
      </c>
      <c r="W49" s="247">
        <v>0.25</v>
      </c>
      <c r="X49" s="247">
        <v>0.25</v>
      </c>
      <c r="Y49" s="247">
        <v>0.25</v>
      </c>
      <c r="Z49" s="247">
        <v>0.25</v>
      </c>
      <c r="AA49" s="247">
        <v>0.25</v>
      </c>
      <c r="AB49" s="247">
        <v>0.25</v>
      </c>
      <c r="AC49" s="248">
        <v>0.25</v>
      </c>
      <c r="AD49" s="39"/>
      <c r="AE49" s="39"/>
      <c r="AF49" s="39"/>
      <c r="AG49" s="39"/>
      <c r="AH49" s="39"/>
      <c r="AI49" s="39"/>
      <c r="AJ49" s="39"/>
      <c r="AK49" s="39"/>
      <c r="AM49" s="49"/>
      <c r="AO49" s="113"/>
    </row>
    <row r="50" spans="1:41" ht="38.700000000000003" customHeight="1" x14ac:dyDescent="0.3">
      <c r="A50" s="891" t="s">
        <v>80</v>
      </c>
      <c r="B50" s="856" t="s">
        <v>80</v>
      </c>
      <c r="C50" s="900" t="s">
        <v>565</v>
      </c>
      <c r="D50" s="897" t="s">
        <v>558</v>
      </c>
      <c r="E50" s="98" t="s">
        <v>548</v>
      </c>
      <c r="F50" s="99">
        <v>0</v>
      </c>
      <c r="G50" s="99">
        <v>0</v>
      </c>
      <c r="H50" s="99">
        <v>0</v>
      </c>
      <c r="I50" s="99">
        <v>0</v>
      </c>
      <c r="J50" s="99">
        <v>0</v>
      </c>
      <c r="K50" s="326">
        <v>1</v>
      </c>
      <c r="L50" s="99">
        <v>1</v>
      </c>
      <c r="M50" s="99">
        <v>1</v>
      </c>
      <c r="N50" s="99">
        <v>1</v>
      </c>
      <c r="O50" s="99">
        <v>1</v>
      </c>
      <c r="P50" s="99">
        <v>1</v>
      </c>
      <c r="Q50" s="99">
        <v>1</v>
      </c>
      <c r="R50" s="99">
        <v>1</v>
      </c>
      <c r="S50" s="99">
        <v>1</v>
      </c>
      <c r="T50" s="99">
        <v>1</v>
      </c>
      <c r="U50" s="99">
        <v>1</v>
      </c>
      <c r="V50" s="99">
        <v>1</v>
      </c>
      <c r="W50" s="99">
        <v>1</v>
      </c>
      <c r="X50" s="99">
        <v>1</v>
      </c>
      <c r="Y50" s="99">
        <v>0</v>
      </c>
      <c r="Z50" s="99">
        <v>0</v>
      </c>
      <c r="AA50" s="99">
        <v>0</v>
      </c>
      <c r="AB50" s="99">
        <v>0</v>
      </c>
      <c r="AC50" s="100">
        <v>0</v>
      </c>
      <c r="AD50" s="39"/>
      <c r="AE50" s="39"/>
      <c r="AF50" s="39"/>
      <c r="AG50" s="39"/>
      <c r="AH50" s="39"/>
      <c r="AI50" s="39"/>
      <c r="AJ50" s="39"/>
      <c r="AK50" s="39"/>
      <c r="AM50" s="49"/>
    </row>
    <row r="51" spans="1:41" ht="38.700000000000003" customHeight="1" x14ac:dyDescent="0.3">
      <c r="A51" s="892"/>
      <c r="B51" s="857"/>
      <c r="C51" s="901"/>
      <c r="D51" s="898"/>
      <c r="E51" s="101" t="s">
        <v>549</v>
      </c>
      <c r="F51" s="102">
        <v>0</v>
      </c>
      <c r="G51" s="102">
        <v>0</v>
      </c>
      <c r="H51" s="102">
        <v>0</v>
      </c>
      <c r="I51" s="102">
        <v>0</v>
      </c>
      <c r="J51" s="102">
        <v>0</v>
      </c>
      <c r="K51" s="102">
        <v>0</v>
      </c>
      <c r="L51" s="327">
        <v>1</v>
      </c>
      <c r="M51" s="327">
        <v>1</v>
      </c>
      <c r="N51" s="102">
        <v>1</v>
      </c>
      <c r="O51" s="102">
        <v>1</v>
      </c>
      <c r="P51" s="102">
        <v>1</v>
      </c>
      <c r="Q51" s="102">
        <v>1</v>
      </c>
      <c r="R51" s="102">
        <v>1</v>
      </c>
      <c r="S51" s="102">
        <v>1</v>
      </c>
      <c r="T51" s="102">
        <v>1</v>
      </c>
      <c r="U51" s="102">
        <v>1</v>
      </c>
      <c r="V51" s="102">
        <v>1</v>
      </c>
      <c r="W51" s="102">
        <v>1</v>
      </c>
      <c r="X51" s="102">
        <v>1</v>
      </c>
      <c r="Y51" s="102">
        <v>0</v>
      </c>
      <c r="Z51" s="102">
        <v>0</v>
      </c>
      <c r="AA51" s="102">
        <v>0</v>
      </c>
      <c r="AB51" s="102">
        <v>0</v>
      </c>
      <c r="AC51" s="103">
        <v>0</v>
      </c>
      <c r="AD51" s="39"/>
      <c r="AE51" s="39"/>
      <c r="AF51" s="39"/>
      <c r="AG51" s="39"/>
      <c r="AH51" s="39"/>
      <c r="AI51" s="39"/>
      <c r="AJ51" s="39"/>
      <c r="AK51" s="39"/>
      <c r="AM51" s="49"/>
    </row>
    <row r="52" spans="1:41" ht="38.700000000000003" customHeight="1" thickBot="1" x14ac:dyDescent="0.35">
      <c r="A52" s="893"/>
      <c r="B52" s="858"/>
      <c r="C52" s="944"/>
      <c r="D52" s="899"/>
      <c r="E52" s="104" t="s">
        <v>550</v>
      </c>
      <c r="F52" s="105">
        <v>0</v>
      </c>
      <c r="G52" s="105">
        <v>0</v>
      </c>
      <c r="H52" s="105">
        <v>0</v>
      </c>
      <c r="I52" s="105">
        <v>0</v>
      </c>
      <c r="J52" s="105">
        <v>0</v>
      </c>
      <c r="K52" s="105">
        <v>0</v>
      </c>
      <c r="L52" s="328">
        <v>1</v>
      </c>
      <c r="M52" s="328">
        <v>1</v>
      </c>
      <c r="N52" s="328">
        <v>1</v>
      </c>
      <c r="O52" s="105">
        <v>1</v>
      </c>
      <c r="P52" s="105">
        <v>1</v>
      </c>
      <c r="Q52" s="105">
        <v>1</v>
      </c>
      <c r="R52" s="105">
        <v>1</v>
      </c>
      <c r="S52" s="105">
        <v>1</v>
      </c>
      <c r="T52" s="105">
        <v>1</v>
      </c>
      <c r="U52" s="105">
        <v>1</v>
      </c>
      <c r="V52" s="105">
        <v>1</v>
      </c>
      <c r="W52" s="105">
        <v>1</v>
      </c>
      <c r="X52" s="105">
        <v>1</v>
      </c>
      <c r="Y52" s="105">
        <v>0</v>
      </c>
      <c r="Z52" s="105">
        <v>0</v>
      </c>
      <c r="AA52" s="105">
        <v>0</v>
      </c>
      <c r="AB52" s="105">
        <v>0</v>
      </c>
      <c r="AC52" s="106">
        <v>0</v>
      </c>
      <c r="AD52" s="39"/>
      <c r="AE52" s="39"/>
      <c r="AF52" s="39"/>
      <c r="AG52" s="39"/>
      <c r="AH52" s="39"/>
      <c r="AI52" s="39"/>
      <c r="AJ52" s="39"/>
      <c r="AK52" s="39"/>
      <c r="AM52" s="49"/>
      <c r="AO52" s="113"/>
    </row>
    <row r="53" spans="1:41" ht="38.700000000000003" customHeight="1" x14ac:dyDescent="0.3">
      <c r="A53" s="891" t="s">
        <v>80</v>
      </c>
      <c r="B53" s="856" t="s">
        <v>80</v>
      </c>
      <c r="C53" s="894" t="s">
        <v>566</v>
      </c>
      <c r="D53" s="897" t="s">
        <v>567</v>
      </c>
      <c r="E53" s="83" t="s">
        <v>548</v>
      </c>
      <c r="F53" s="170">
        <v>0</v>
      </c>
      <c r="G53" s="170">
        <v>0</v>
      </c>
      <c r="H53" s="170">
        <v>0</v>
      </c>
      <c r="I53" s="170">
        <v>0</v>
      </c>
      <c r="J53" s="170">
        <v>0</v>
      </c>
      <c r="K53" s="127">
        <v>1</v>
      </c>
      <c r="L53" s="170">
        <v>0.5</v>
      </c>
      <c r="M53" s="170">
        <v>1</v>
      </c>
      <c r="N53" s="170">
        <v>0.5</v>
      </c>
      <c r="O53" s="170">
        <v>1</v>
      </c>
      <c r="P53" s="170">
        <v>0.5</v>
      </c>
      <c r="Q53" s="170">
        <v>1</v>
      </c>
      <c r="R53" s="170">
        <v>0.5</v>
      </c>
      <c r="S53" s="170">
        <v>1</v>
      </c>
      <c r="T53" s="170">
        <v>0.5</v>
      </c>
      <c r="U53" s="170">
        <v>1</v>
      </c>
      <c r="V53" s="170">
        <v>0.5</v>
      </c>
      <c r="W53" s="170">
        <v>1</v>
      </c>
      <c r="X53" s="170">
        <v>0.5</v>
      </c>
      <c r="Y53" s="170">
        <v>0</v>
      </c>
      <c r="Z53" s="170">
        <v>0</v>
      </c>
      <c r="AA53" s="170">
        <v>0</v>
      </c>
      <c r="AB53" s="170">
        <v>0</v>
      </c>
      <c r="AC53" s="171">
        <v>0</v>
      </c>
      <c r="AD53" s="39"/>
      <c r="AE53" s="39"/>
      <c r="AF53" s="39"/>
      <c r="AG53" s="39"/>
      <c r="AH53" s="39"/>
      <c r="AI53" s="39"/>
      <c r="AJ53" s="39"/>
      <c r="AK53" s="39"/>
      <c r="AM53" s="49"/>
      <c r="AO53" s="113"/>
    </row>
    <row r="54" spans="1:41" ht="38.700000000000003" customHeight="1" x14ac:dyDescent="0.3">
      <c r="A54" s="892"/>
      <c r="B54" s="857"/>
      <c r="C54" s="895"/>
      <c r="D54" s="898"/>
      <c r="E54" s="86" t="s">
        <v>549</v>
      </c>
      <c r="F54" s="172">
        <v>0</v>
      </c>
      <c r="G54" s="172">
        <v>0</v>
      </c>
      <c r="H54" s="172">
        <v>0</v>
      </c>
      <c r="I54" s="172">
        <v>0</v>
      </c>
      <c r="J54" s="172">
        <v>0</v>
      </c>
      <c r="K54" s="172">
        <v>0</v>
      </c>
      <c r="L54" s="320">
        <v>0.5</v>
      </c>
      <c r="M54" s="321">
        <v>1</v>
      </c>
      <c r="N54" s="321">
        <v>0.5</v>
      </c>
      <c r="O54" s="172">
        <v>1</v>
      </c>
      <c r="P54" s="172">
        <v>0.5</v>
      </c>
      <c r="Q54" s="172">
        <v>1</v>
      </c>
      <c r="R54" s="172">
        <v>0.5</v>
      </c>
      <c r="S54" s="172">
        <v>1</v>
      </c>
      <c r="T54" s="172">
        <v>0.5</v>
      </c>
      <c r="U54" s="172">
        <v>1</v>
      </c>
      <c r="V54" s="172">
        <v>0.5</v>
      </c>
      <c r="W54" s="172">
        <v>1</v>
      </c>
      <c r="X54" s="172">
        <v>0.5</v>
      </c>
      <c r="Y54" s="172">
        <v>0</v>
      </c>
      <c r="Z54" s="172">
        <v>0</v>
      </c>
      <c r="AA54" s="172">
        <v>0</v>
      </c>
      <c r="AB54" s="172">
        <v>0</v>
      </c>
      <c r="AC54" s="173">
        <v>0</v>
      </c>
      <c r="AD54" s="39"/>
      <c r="AE54" s="39"/>
      <c r="AF54" s="39"/>
      <c r="AG54" s="39"/>
      <c r="AH54" s="39"/>
      <c r="AI54" s="39"/>
      <c r="AJ54" s="39"/>
      <c r="AK54" s="39"/>
      <c r="AM54" s="49"/>
      <c r="AO54" s="113"/>
    </row>
    <row r="55" spans="1:41" ht="38.700000000000003" customHeight="1" thickBot="1" x14ac:dyDescent="0.35">
      <c r="A55" s="893"/>
      <c r="B55" s="858"/>
      <c r="C55" s="896"/>
      <c r="D55" s="899"/>
      <c r="E55" s="92" t="s">
        <v>550</v>
      </c>
      <c r="F55" s="176">
        <v>0</v>
      </c>
      <c r="G55" s="176">
        <v>0</v>
      </c>
      <c r="H55" s="176">
        <v>0</v>
      </c>
      <c r="I55" s="176">
        <v>0</v>
      </c>
      <c r="J55" s="176">
        <v>0</v>
      </c>
      <c r="K55" s="176">
        <v>0</v>
      </c>
      <c r="L55" s="329">
        <v>0.5</v>
      </c>
      <c r="M55" s="329">
        <v>1</v>
      </c>
      <c r="N55" s="329">
        <v>0.5</v>
      </c>
      <c r="O55" s="176">
        <v>1</v>
      </c>
      <c r="P55" s="176">
        <v>0.5</v>
      </c>
      <c r="Q55" s="176">
        <v>1</v>
      </c>
      <c r="R55" s="176">
        <v>0.5</v>
      </c>
      <c r="S55" s="176">
        <v>1</v>
      </c>
      <c r="T55" s="176">
        <v>0.5</v>
      </c>
      <c r="U55" s="176">
        <v>1</v>
      </c>
      <c r="V55" s="176">
        <v>0.5</v>
      </c>
      <c r="W55" s="176">
        <v>1</v>
      </c>
      <c r="X55" s="176">
        <v>0.5</v>
      </c>
      <c r="Y55" s="176">
        <v>0</v>
      </c>
      <c r="Z55" s="176">
        <v>0</v>
      </c>
      <c r="AA55" s="176">
        <v>0</v>
      </c>
      <c r="AB55" s="176">
        <v>0</v>
      </c>
      <c r="AC55" s="177">
        <v>0</v>
      </c>
      <c r="AD55" s="39"/>
      <c r="AE55" s="39"/>
      <c r="AF55" s="39"/>
      <c r="AG55" s="39"/>
      <c r="AH55" s="39"/>
      <c r="AI55" s="39"/>
      <c r="AJ55" s="39"/>
      <c r="AK55" s="39"/>
      <c r="AM55" s="49"/>
      <c r="AO55" s="113"/>
    </row>
    <row r="56" spans="1:41" ht="38.700000000000003" customHeight="1" x14ac:dyDescent="0.3">
      <c r="A56" s="891" t="s">
        <v>80</v>
      </c>
      <c r="B56" s="856" t="s">
        <v>80</v>
      </c>
      <c r="C56" s="900" t="s">
        <v>560</v>
      </c>
      <c r="D56" s="897" t="s">
        <v>561</v>
      </c>
      <c r="E56" s="98" t="s">
        <v>548</v>
      </c>
      <c r="F56" s="99">
        <v>0.9</v>
      </c>
      <c r="G56" s="99">
        <v>0.9</v>
      </c>
      <c r="H56" s="99">
        <v>0.9</v>
      </c>
      <c r="I56" s="99">
        <v>0.9</v>
      </c>
      <c r="J56" s="99">
        <v>0.9</v>
      </c>
      <c r="K56" s="99">
        <v>0.9</v>
      </c>
      <c r="L56" s="99">
        <v>0.9</v>
      </c>
      <c r="M56" s="99">
        <v>0.9</v>
      </c>
      <c r="N56" s="99">
        <v>0.9</v>
      </c>
      <c r="O56" s="99">
        <v>0.9</v>
      </c>
      <c r="P56" s="99">
        <v>0.9</v>
      </c>
      <c r="Q56" s="99">
        <v>0.9</v>
      </c>
      <c r="R56" s="99">
        <v>0.9</v>
      </c>
      <c r="S56" s="99">
        <v>0.9</v>
      </c>
      <c r="T56" s="99">
        <v>0.9</v>
      </c>
      <c r="U56" s="99">
        <v>0.9</v>
      </c>
      <c r="V56" s="99">
        <v>0.9</v>
      </c>
      <c r="W56" s="99">
        <v>0.9</v>
      </c>
      <c r="X56" s="99">
        <v>0.9</v>
      </c>
      <c r="Y56" s="99">
        <v>0.9</v>
      </c>
      <c r="Z56" s="99">
        <v>0.9</v>
      </c>
      <c r="AA56" s="99">
        <v>0.9</v>
      </c>
      <c r="AB56" s="99">
        <v>0.9</v>
      </c>
      <c r="AC56" s="100">
        <v>0.9</v>
      </c>
      <c r="AD56" s="39"/>
      <c r="AE56" s="39"/>
      <c r="AF56" s="39"/>
      <c r="AG56" s="39"/>
      <c r="AH56" s="39"/>
      <c r="AI56" s="39"/>
      <c r="AJ56" s="39"/>
      <c r="AK56" s="39"/>
      <c r="AM56" s="49"/>
      <c r="AO56" s="113"/>
    </row>
    <row r="57" spans="1:41" ht="38.700000000000003" customHeight="1" x14ac:dyDescent="0.3">
      <c r="A57" s="892"/>
      <c r="B57" s="857"/>
      <c r="C57" s="901"/>
      <c r="D57" s="898"/>
      <c r="E57" s="101" t="s">
        <v>549</v>
      </c>
      <c r="F57" s="102">
        <v>0.9</v>
      </c>
      <c r="G57" s="102">
        <v>0.9</v>
      </c>
      <c r="H57" s="102">
        <v>0.9</v>
      </c>
      <c r="I57" s="102">
        <v>0.9</v>
      </c>
      <c r="J57" s="102">
        <v>0.9</v>
      </c>
      <c r="K57" s="102">
        <v>0.9</v>
      </c>
      <c r="L57" s="102">
        <v>0.9</v>
      </c>
      <c r="M57" s="102">
        <v>0.9</v>
      </c>
      <c r="N57" s="102">
        <v>0.9</v>
      </c>
      <c r="O57" s="102">
        <v>0.9</v>
      </c>
      <c r="P57" s="102">
        <v>0.9</v>
      </c>
      <c r="Q57" s="102">
        <v>0.9</v>
      </c>
      <c r="R57" s="102">
        <v>0.9</v>
      </c>
      <c r="S57" s="102">
        <v>0.9</v>
      </c>
      <c r="T57" s="102">
        <v>0.9</v>
      </c>
      <c r="U57" s="102">
        <v>0.9</v>
      </c>
      <c r="V57" s="102">
        <v>0.9</v>
      </c>
      <c r="W57" s="102">
        <v>0.9</v>
      </c>
      <c r="X57" s="102">
        <v>0.9</v>
      </c>
      <c r="Y57" s="102">
        <v>0.9</v>
      </c>
      <c r="Z57" s="102">
        <v>0.9</v>
      </c>
      <c r="AA57" s="102">
        <v>0.9</v>
      </c>
      <c r="AB57" s="102">
        <v>0.9</v>
      </c>
      <c r="AC57" s="103">
        <v>0.9</v>
      </c>
      <c r="AD57" s="39"/>
      <c r="AE57" s="39"/>
      <c r="AF57" s="39"/>
      <c r="AG57" s="39"/>
      <c r="AH57" s="39"/>
      <c r="AI57" s="39"/>
      <c r="AJ57" s="39"/>
      <c r="AK57" s="39"/>
      <c r="AM57" s="49"/>
      <c r="AO57" s="113"/>
    </row>
    <row r="58" spans="1:41" ht="38.700000000000003" customHeight="1" thickBot="1" x14ac:dyDescent="0.35">
      <c r="A58" s="893"/>
      <c r="B58" s="858"/>
      <c r="C58" s="902"/>
      <c r="D58" s="899"/>
      <c r="E58" s="107" t="s">
        <v>550</v>
      </c>
      <c r="F58" s="108">
        <v>0.9</v>
      </c>
      <c r="G58" s="108">
        <v>0.9</v>
      </c>
      <c r="H58" s="108">
        <v>0.9</v>
      </c>
      <c r="I58" s="108">
        <v>0.9</v>
      </c>
      <c r="J58" s="108">
        <v>0.9</v>
      </c>
      <c r="K58" s="108">
        <v>0.9</v>
      </c>
      <c r="L58" s="108">
        <v>0.9</v>
      </c>
      <c r="M58" s="108">
        <v>0.9</v>
      </c>
      <c r="N58" s="108">
        <v>0.9</v>
      </c>
      <c r="O58" s="108">
        <v>0.9</v>
      </c>
      <c r="P58" s="108">
        <v>0.9</v>
      </c>
      <c r="Q58" s="108">
        <v>0.9</v>
      </c>
      <c r="R58" s="108">
        <v>0.9</v>
      </c>
      <c r="S58" s="108">
        <v>0.9</v>
      </c>
      <c r="T58" s="108">
        <v>0.9</v>
      </c>
      <c r="U58" s="108">
        <v>0.9</v>
      </c>
      <c r="V58" s="108">
        <v>0.9</v>
      </c>
      <c r="W58" s="108">
        <v>0.9</v>
      </c>
      <c r="X58" s="108">
        <v>0.9</v>
      </c>
      <c r="Y58" s="108">
        <v>0.9</v>
      </c>
      <c r="Z58" s="108">
        <v>0.9</v>
      </c>
      <c r="AA58" s="108">
        <v>0.9</v>
      </c>
      <c r="AB58" s="108">
        <v>0.9</v>
      </c>
      <c r="AC58" s="109">
        <v>0.9</v>
      </c>
      <c r="AD58" s="39"/>
      <c r="AE58" s="39"/>
      <c r="AF58" s="39"/>
      <c r="AG58" s="39"/>
      <c r="AH58" s="39"/>
      <c r="AI58" s="39"/>
      <c r="AJ58" s="39"/>
      <c r="AK58" s="39"/>
      <c r="AM58" s="49"/>
      <c r="AO58" s="113"/>
    </row>
    <row r="59" spans="1:41" ht="38.700000000000003" customHeight="1" x14ac:dyDescent="0.3">
      <c r="A59" s="891" t="s">
        <v>80</v>
      </c>
      <c r="B59" s="856" t="s">
        <v>80</v>
      </c>
      <c r="C59" s="903" t="s">
        <v>568</v>
      </c>
      <c r="D59" s="897" t="s">
        <v>569</v>
      </c>
      <c r="E59" s="110" t="s">
        <v>548</v>
      </c>
      <c r="F59" s="563">
        <v>0</v>
      </c>
      <c r="G59" s="563">
        <v>0</v>
      </c>
      <c r="H59" s="563">
        <v>0</v>
      </c>
      <c r="I59" s="563">
        <v>0</v>
      </c>
      <c r="J59" s="563">
        <v>0</v>
      </c>
      <c r="K59" s="563">
        <v>0</v>
      </c>
      <c r="L59" s="563">
        <v>0.3</v>
      </c>
      <c r="M59" s="563">
        <v>0.5</v>
      </c>
      <c r="N59" s="563">
        <v>0.5</v>
      </c>
      <c r="O59" s="563">
        <v>0.5</v>
      </c>
      <c r="P59" s="563">
        <v>0.8</v>
      </c>
      <c r="Q59" s="563">
        <v>0.8</v>
      </c>
      <c r="R59" s="563">
        <v>0.9</v>
      </c>
      <c r="S59" s="563">
        <v>0.9</v>
      </c>
      <c r="T59" s="563">
        <v>0.5</v>
      </c>
      <c r="U59" s="563">
        <v>0.5</v>
      </c>
      <c r="V59" s="563">
        <v>0.5</v>
      </c>
      <c r="W59" s="563">
        <v>0.9</v>
      </c>
      <c r="X59" s="563">
        <v>0.9</v>
      </c>
      <c r="Y59" s="563">
        <v>0.9</v>
      </c>
      <c r="Z59" s="563">
        <v>0.8</v>
      </c>
      <c r="AA59" s="563">
        <v>0.4</v>
      </c>
      <c r="AB59" s="563">
        <v>0.2</v>
      </c>
      <c r="AC59" s="564">
        <v>0.2</v>
      </c>
      <c r="AD59" s="39"/>
      <c r="AE59" s="39"/>
      <c r="AF59" s="39">
        <f>SUM(F59:AC59)*5+SUM(F60:AC61)</f>
        <v>77</v>
      </c>
      <c r="AG59" s="39">
        <f>AF59*52</f>
        <v>4004</v>
      </c>
      <c r="AH59" s="39"/>
      <c r="AI59" s="39"/>
      <c r="AJ59" s="39"/>
      <c r="AK59" s="39"/>
      <c r="AM59" s="49"/>
      <c r="AO59" s="113"/>
    </row>
    <row r="60" spans="1:41" ht="38.700000000000003" customHeight="1" x14ac:dyDescent="0.3">
      <c r="A60" s="892"/>
      <c r="B60" s="857"/>
      <c r="C60" s="901"/>
      <c r="D60" s="898"/>
      <c r="E60" s="101" t="s">
        <v>549</v>
      </c>
      <c r="F60" s="563">
        <v>0</v>
      </c>
      <c r="G60" s="565">
        <v>0</v>
      </c>
      <c r="H60" s="565">
        <v>0</v>
      </c>
      <c r="I60" s="565">
        <v>0</v>
      </c>
      <c r="J60" s="565">
        <v>0</v>
      </c>
      <c r="K60" s="565">
        <v>0</v>
      </c>
      <c r="L60" s="563">
        <v>0.3</v>
      </c>
      <c r="M60" s="565">
        <v>0.5</v>
      </c>
      <c r="N60" s="565">
        <v>0.5</v>
      </c>
      <c r="O60" s="565">
        <v>0.5</v>
      </c>
      <c r="P60" s="563">
        <v>0.8</v>
      </c>
      <c r="Q60" s="563">
        <v>0.8</v>
      </c>
      <c r="R60" s="565">
        <v>0.9</v>
      </c>
      <c r="S60" s="565">
        <v>0.9</v>
      </c>
      <c r="T60" s="563">
        <v>0.5</v>
      </c>
      <c r="U60" s="563">
        <v>0.5</v>
      </c>
      <c r="V60" s="563">
        <v>0.5</v>
      </c>
      <c r="W60" s="563">
        <v>0.9</v>
      </c>
      <c r="X60" s="563">
        <v>0.9</v>
      </c>
      <c r="Y60" s="563">
        <v>0.9</v>
      </c>
      <c r="Z60" s="563">
        <v>0.8</v>
      </c>
      <c r="AA60" s="563">
        <v>0.4</v>
      </c>
      <c r="AB60" s="563">
        <v>0.2</v>
      </c>
      <c r="AC60" s="564">
        <v>0.2</v>
      </c>
      <c r="AD60" s="39"/>
      <c r="AE60" s="39"/>
      <c r="AG60" s="49">
        <f>(SUM(F38:AC38)*5+SUM(F39:AC40))*52</f>
        <v>5292.56</v>
      </c>
      <c r="AH60" s="39"/>
      <c r="AI60" s="39"/>
      <c r="AJ60" s="39"/>
      <c r="AK60" s="39"/>
      <c r="AM60" s="49"/>
      <c r="AO60" s="113"/>
    </row>
    <row r="61" spans="1:41" ht="38.700000000000003" customHeight="1" thickBot="1" x14ac:dyDescent="0.35">
      <c r="A61" s="893"/>
      <c r="B61" s="858"/>
      <c r="C61" s="902"/>
      <c r="D61" s="899"/>
      <c r="E61" s="107" t="s">
        <v>550</v>
      </c>
      <c r="F61" s="563">
        <v>0</v>
      </c>
      <c r="G61" s="566">
        <v>0</v>
      </c>
      <c r="H61" s="566">
        <v>0</v>
      </c>
      <c r="I61" s="566">
        <v>0</v>
      </c>
      <c r="J61" s="566">
        <v>0</v>
      </c>
      <c r="K61" s="566">
        <v>0</v>
      </c>
      <c r="L61" s="563">
        <v>0.3</v>
      </c>
      <c r="M61" s="566">
        <v>0.5</v>
      </c>
      <c r="N61" s="566">
        <v>0.5</v>
      </c>
      <c r="O61" s="566">
        <v>0.5</v>
      </c>
      <c r="P61" s="563">
        <v>0.8</v>
      </c>
      <c r="Q61" s="563">
        <v>0.8</v>
      </c>
      <c r="R61" s="566">
        <v>0.9</v>
      </c>
      <c r="S61" s="566">
        <v>0.9</v>
      </c>
      <c r="T61" s="563">
        <v>0.5</v>
      </c>
      <c r="U61" s="563">
        <v>0.5</v>
      </c>
      <c r="V61" s="563">
        <v>0.5</v>
      </c>
      <c r="W61" s="563">
        <v>0.9</v>
      </c>
      <c r="X61" s="563">
        <v>0.9</v>
      </c>
      <c r="Y61" s="563">
        <v>0.9</v>
      </c>
      <c r="Z61" s="563">
        <v>0.8</v>
      </c>
      <c r="AA61" s="563">
        <v>0.4</v>
      </c>
      <c r="AB61" s="563">
        <v>0.2</v>
      </c>
      <c r="AC61" s="564">
        <v>0.2</v>
      </c>
      <c r="AD61" s="39"/>
      <c r="AE61" s="39"/>
      <c r="AF61" s="39"/>
      <c r="AG61" s="39"/>
      <c r="AH61" s="39"/>
      <c r="AI61" s="39"/>
      <c r="AJ61" s="39"/>
      <c r="AK61" s="39"/>
      <c r="AM61" s="49"/>
      <c r="AO61" s="113"/>
    </row>
    <row r="62" spans="1:41" ht="38.700000000000003" customHeight="1" x14ac:dyDescent="0.3">
      <c r="A62" s="862" t="str">
        <f>A56</f>
        <v>Kitchen</v>
      </c>
      <c r="B62" s="884" t="str">
        <f>B56</f>
        <v>Kitchen</v>
      </c>
      <c r="C62" s="868" t="s">
        <v>562</v>
      </c>
      <c r="D62" s="882" t="s">
        <v>570</v>
      </c>
      <c r="E62" s="489" t="s">
        <v>548</v>
      </c>
      <c r="F62" s="490">
        <f>IF(F41=1,Thermostat!$C$7,Thermostat!$C$8)</f>
        <v>66</v>
      </c>
      <c r="G62" s="490">
        <f>IF(G41=1,Thermostat!$C$7,Thermostat!$C$8)</f>
        <v>60</v>
      </c>
      <c r="H62" s="490">
        <f>IF(H41=1,Thermostat!$C$7,Thermostat!$C$8)</f>
        <v>60</v>
      </c>
      <c r="I62" s="490">
        <f>IF(I41=1,Thermostat!$C$7,Thermostat!$C$8)</f>
        <v>60</v>
      </c>
      <c r="J62" s="490">
        <f>IF(J41=1,Thermostat!$C$7,Thermostat!$C$8)</f>
        <v>66</v>
      </c>
      <c r="K62" s="490">
        <f>IF(K41=1,Thermostat!$C$7,Thermostat!$C$8)</f>
        <v>66</v>
      </c>
      <c r="L62" s="490">
        <f>IF(L41=1,Thermostat!$C$7,Thermostat!$C$8)</f>
        <v>66</v>
      </c>
      <c r="M62" s="490">
        <f>IF(M41=1,Thermostat!$C$7,Thermostat!$C$8)</f>
        <v>66</v>
      </c>
      <c r="N62" s="490">
        <f>IF(N41=1,Thermostat!$C$7,Thermostat!$C$8)</f>
        <v>66</v>
      </c>
      <c r="O62" s="490">
        <f>IF(O41=1,Thermostat!$C$7,Thermostat!$C$8)</f>
        <v>66</v>
      </c>
      <c r="P62" s="490">
        <f>IF(P41=1,Thermostat!$C$7,Thermostat!$C$8)</f>
        <v>66</v>
      </c>
      <c r="Q62" s="490">
        <f>IF(Q41=1,Thermostat!$C$7,Thermostat!$C$8)</f>
        <v>66</v>
      </c>
      <c r="R62" s="490">
        <f>IF(R41=1,Thermostat!$C$7,Thermostat!$C$8)</f>
        <v>66</v>
      </c>
      <c r="S62" s="490">
        <f>IF(S41=1,Thermostat!$C$7,Thermostat!$C$8)</f>
        <v>66</v>
      </c>
      <c r="T62" s="490">
        <f>IF(T41=1,Thermostat!$C$7,Thermostat!$C$8)</f>
        <v>66</v>
      </c>
      <c r="U62" s="490">
        <f>IF(U41=1,Thermostat!$C$7,Thermostat!$C$8)</f>
        <v>66</v>
      </c>
      <c r="V62" s="490">
        <f>IF(V41=1,Thermostat!$C$7,Thermostat!$C$8)</f>
        <v>66</v>
      </c>
      <c r="W62" s="490">
        <f>IF(W41=1,Thermostat!$C$7,Thermostat!$C$8)</f>
        <v>66</v>
      </c>
      <c r="X62" s="490">
        <f>IF(X41=1,Thermostat!$C$7,Thermostat!$C$8)</f>
        <v>66</v>
      </c>
      <c r="Y62" s="490">
        <f>IF(Y41=1,Thermostat!$C$7,Thermostat!$C$8)</f>
        <v>66</v>
      </c>
      <c r="Z62" s="490">
        <f>IF(Z41=1,Thermostat!$C$7,Thermostat!$C$8)</f>
        <v>66</v>
      </c>
      <c r="AA62" s="490">
        <f>IF(AA41=1,Thermostat!$C$7,Thermostat!$C$8)</f>
        <v>66</v>
      </c>
      <c r="AB62" s="490">
        <f>IF(AB41=1,Thermostat!$C$7,Thermostat!$C$8)</f>
        <v>66</v>
      </c>
      <c r="AC62" s="491">
        <f>IF(AC41=1,Thermostat!$C$7,Thermostat!$C$8)</f>
        <v>66</v>
      </c>
      <c r="AD62" s="39"/>
      <c r="AE62" s="39"/>
      <c r="AF62" s="39"/>
      <c r="AG62" s="39"/>
      <c r="AH62" s="39"/>
      <c r="AI62" s="39"/>
      <c r="AJ62" s="39"/>
      <c r="AK62" s="39"/>
      <c r="AM62" s="49"/>
      <c r="AO62" s="113"/>
    </row>
    <row r="63" spans="1:41" ht="38.700000000000003" customHeight="1" x14ac:dyDescent="0.3">
      <c r="A63" s="863"/>
      <c r="B63" s="885"/>
      <c r="C63" s="887"/>
      <c r="D63" s="851"/>
      <c r="E63" s="492" t="s">
        <v>549</v>
      </c>
      <c r="F63" s="475">
        <f>IF(F42=1,Thermostat!$C$7,Thermostat!$C$8)</f>
        <v>66</v>
      </c>
      <c r="G63" s="475">
        <f>IF(G42=1,Thermostat!$C$7,Thermostat!$C$8)</f>
        <v>60</v>
      </c>
      <c r="H63" s="475">
        <f>IF(H42=1,Thermostat!$C$7,Thermostat!$C$8)</f>
        <v>60</v>
      </c>
      <c r="I63" s="475">
        <f>IF(I42=1,Thermostat!$C$7,Thermostat!$C$8)</f>
        <v>60</v>
      </c>
      <c r="J63" s="475">
        <f>IF(J42=1,Thermostat!$C$7,Thermostat!$C$8)</f>
        <v>60</v>
      </c>
      <c r="K63" s="475">
        <f>IF(K42=1,Thermostat!$C$7,Thermostat!$C$8)</f>
        <v>66</v>
      </c>
      <c r="L63" s="475">
        <f>IF(L42=1,Thermostat!$C$7,Thermostat!$C$8)</f>
        <v>66</v>
      </c>
      <c r="M63" s="475">
        <f>IF(M42=1,Thermostat!$C$7,Thermostat!$C$8)</f>
        <v>66</v>
      </c>
      <c r="N63" s="475">
        <f>IF(N42=1,Thermostat!$C$7,Thermostat!$C$8)</f>
        <v>66</v>
      </c>
      <c r="O63" s="475">
        <f>IF(O42=1,Thermostat!$C$7,Thermostat!$C$8)</f>
        <v>66</v>
      </c>
      <c r="P63" s="475">
        <f>IF(P42=1,Thermostat!$C$7,Thermostat!$C$8)</f>
        <v>66</v>
      </c>
      <c r="Q63" s="475">
        <f>IF(Q42=1,Thermostat!$C$7,Thermostat!$C$8)</f>
        <v>66</v>
      </c>
      <c r="R63" s="475">
        <f>IF(R42=1,Thermostat!$C$7,Thermostat!$C$8)</f>
        <v>66</v>
      </c>
      <c r="S63" s="475">
        <f>IF(S42=1,Thermostat!$C$7,Thermostat!$C$8)</f>
        <v>66</v>
      </c>
      <c r="T63" s="475">
        <f>IF(T42=1,Thermostat!$C$7,Thermostat!$C$8)</f>
        <v>66</v>
      </c>
      <c r="U63" s="475">
        <f>IF(U42=1,Thermostat!$C$7,Thermostat!$C$8)</f>
        <v>66</v>
      </c>
      <c r="V63" s="475">
        <f>IF(V42=1,Thermostat!$C$7,Thermostat!$C$8)</f>
        <v>66</v>
      </c>
      <c r="W63" s="475">
        <f>IF(W42=1,Thermostat!$C$7,Thermostat!$C$8)</f>
        <v>66</v>
      </c>
      <c r="X63" s="475">
        <f>IF(X42=1,Thermostat!$C$7,Thermostat!$C$8)</f>
        <v>66</v>
      </c>
      <c r="Y63" s="475">
        <f>IF(Y42=1,Thermostat!$C$7,Thermostat!$C$8)</f>
        <v>66</v>
      </c>
      <c r="Z63" s="475">
        <f>IF(Z42=1,Thermostat!$C$7,Thermostat!$C$8)</f>
        <v>66</v>
      </c>
      <c r="AA63" s="475">
        <f>IF(AA42=1,Thermostat!$C$7,Thermostat!$C$8)</f>
        <v>66</v>
      </c>
      <c r="AB63" s="475">
        <f>IF(AB42=1,Thermostat!$C$7,Thermostat!$C$8)</f>
        <v>66</v>
      </c>
      <c r="AC63" s="493">
        <f>IF(AC42=1,Thermostat!$C$7,Thermostat!$C$8)</f>
        <v>66</v>
      </c>
      <c r="AD63" s="39"/>
      <c r="AE63" s="39"/>
      <c r="AF63" s="39"/>
      <c r="AG63" s="39"/>
      <c r="AH63" s="39"/>
      <c r="AI63" s="39"/>
      <c r="AJ63" s="39"/>
      <c r="AK63" s="39"/>
      <c r="AM63" s="49"/>
      <c r="AO63" s="113"/>
    </row>
    <row r="64" spans="1:41" ht="38.700000000000003" customHeight="1" thickBot="1" x14ac:dyDescent="0.35">
      <c r="A64" s="904"/>
      <c r="B64" s="911"/>
      <c r="C64" s="912"/>
      <c r="D64" s="883"/>
      <c r="E64" s="494" t="s">
        <v>550</v>
      </c>
      <c r="F64" s="475">
        <f>IF(F43=1,Thermostat!$C$7,Thermostat!$C$8)</f>
        <v>66</v>
      </c>
      <c r="G64" s="475">
        <f>IF(G43=1,Thermostat!$C$7,Thermostat!$C$8)</f>
        <v>60</v>
      </c>
      <c r="H64" s="475">
        <f>IF(H43=1,Thermostat!$C$7,Thermostat!$C$8)</f>
        <v>60</v>
      </c>
      <c r="I64" s="475">
        <f>IF(I43=1,Thermostat!$C$7,Thermostat!$C$8)</f>
        <v>60</v>
      </c>
      <c r="J64" s="475">
        <f>IF(J43=1,Thermostat!$C$7,Thermostat!$C$8)</f>
        <v>60</v>
      </c>
      <c r="K64" s="475">
        <f>IF(K43=1,Thermostat!$C$7,Thermostat!$C$8)</f>
        <v>66</v>
      </c>
      <c r="L64" s="475">
        <f>IF(L43=1,Thermostat!$C$7,Thermostat!$C$8)</f>
        <v>66</v>
      </c>
      <c r="M64" s="475">
        <f>IF(M43=1,Thermostat!$C$7,Thermostat!$C$8)</f>
        <v>66</v>
      </c>
      <c r="N64" s="475">
        <f>IF(N43=1,Thermostat!$C$7,Thermostat!$C$8)</f>
        <v>66</v>
      </c>
      <c r="O64" s="475">
        <f>IF(O43=1,Thermostat!$C$7,Thermostat!$C$8)</f>
        <v>66</v>
      </c>
      <c r="P64" s="475">
        <f>IF(P43=1,Thermostat!$C$7,Thermostat!$C$8)</f>
        <v>66</v>
      </c>
      <c r="Q64" s="475">
        <f>IF(Q43=1,Thermostat!$C$7,Thermostat!$C$8)</f>
        <v>66</v>
      </c>
      <c r="R64" s="475">
        <f>IF(R43=1,Thermostat!$C$7,Thermostat!$C$8)</f>
        <v>66</v>
      </c>
      <c r="S64" s="475">
        <f>IF(S43=1,Thermostat!$C$7,Thermostat!$C$8)</f>
        <v>66</v>
      </c>
      <c r="T64" s="475">
        <f>IF(T43=1,Thermostat!$C$7,Thermostat!$C$8)</f>
        <v>66</v>
      </c>
      <c r="U64" s="475">
        <f>IF(U43=1,Thermostat!$C$7,Thermostat!$C$8)</f>
        <v>66</v>
      </c>
      <c r="V64" s="475">
        <f>IF(V43=1,Thermostat!$C$7,Thermostat!$C$8)</f>
        <v>66</v>
      </c>
      <c r="W64" s="475">
        <f>IF(W43=1,Thermostat!$C$7,Thermostat!$C$8)</f>
        <v>66</v>
      </c>
      <c r="X64" s="475">
        <f>IF(X43=1,Thermostat!$C$7,Thermostat!$C$8)</f>
        <v>66</v>
      </c>
      <c r="Y64" s="475">
        <f>IF(Y43=1,Thermostat!$C$7,Thermostat!$C$8)</f>
        <v>66</v>
      </c>
      <c r="Z64" s="475">
        <f>IF(Z43=1,Thermostat!$C$7,Thermostat!$C$8)</f>
        <v>66</v>
      </c>
      <c r="AA64" s="475">
        <f>IF(AA43=1,Thermostat!$C$7,Thermostat!$C$8)</f>
        <v>66</v>
      </c>
      <c r="AB64" s="475">
        <f>IF(AB43=1,Thermostat!$C$7,Thermostat!$C$8)</f>
        <v>66</v>
      </c>
      <c r="AC64" s="493">
        <f>IF(AC43=1,Thermostat!$C$7,Thermostat!$C$8)</f>
        <v>66</v>
      </c>
      <c r="AD64" s="39"/>
      <c r="AE64" s="39"/>
      <c r="AF64" s="39"/>
      <c r="AG64" s="39"/>
      <c r="AH64" s="39"/>
      <c r="AI64" s="39"/>
      <c r="AJ64" s="39"/>
      <c r="AK64" s="39"/>
      <c r="AM64" s="49"/>
      <c r="AO64" s="113"/>
    </row>
    <row r="65" spans="1:41" ht="38.700000000000003" customHeight="1" x14ac:dyDescent="0.3">
      <c r="A65" s="862" t="str">
        <f>A59</f>
        <v>Kitchen</v>
      </c>
      <c r="B65" s="884" t="str">
        <f>B59</f>
        <v>Kitchen</v>
      </c>
      <c r="C65" s="868" t="s">
        <v>563</v>
      </c>
      <c r="D65" s="850" t="s">
        <v>570</v>
      </c>
      <c r="E65" s="495" t="s">
        <v>548</v>
      </c>
      <c r="F65" s="479">
        <f>IF(F41=1,Thermostat!$C$9,Thermostat!$C$10)</f>
        <v>79</v>
      </c>
      <c r="G65" s="479">
        <f>IF(G41=1,Thermostat!$C$9,Thermostat!$C$10)</f>
        <v>86</v>
      </c>
      <c r="H65" s="479">
        <f>IF(H41=1,Thermostat!$C$9,Thermostat!$C$10)</f>
        <v>86</v>
      </c>
      <c r="I65" s="479">
        <f>IF(I41=1,Thermostat!$C$9,Thermostat!$C$10)</f>
        <v>86</v>
      </c>
      <c r="J65" s="479">
        <f>IF(J41=1,Thermostat!$C$9,Thermostat!$C$10)</f>
        <v>79</v>
      </c>
      <c r="K65" s="479">
        <f>IF(K41=1,Thermostat!$C$9,Thermostat!$C$10)</f>
        <v>79</v>
      </c>
      <c r="L65" s="479">
        <f>IF(L41=1,Thermostat!$C$9,Thermostat!$C$10)</f>
        <v>79</v>
      </c>
      <c r="M65" s="479">
        <f>IF(M41=1,Thermostat!$C$9,Thermostat!$C$10)</f>
        <v>79</v>
      </c>
      <c r="N65" s="479">
        <f>IF(N41=1,Thermostat!$C$9,Thermostat!$C$10)</f>
        <v>79</v>
      </c>
      <c r="O65" s="479">
        <f>IF(O41=1,Thermostat!$C$9,Thermostat!$C$10)</f>
        <v>79</v>
      </c>
      <c r="P65" s="479">
        <f>IF(P41=1,Thermostat!$C$9,Thermostat!$C$10)</f>
        <v>79</v>
      </c>
      <c r="Q65" s="479">
        <f>IF(Q41=1,Thermostat!$C$9,Thermostat!$C$10)</f>
        <v>79</v>
      </c>
      <c r="R65" s="479">
        <f>IF(R41=1,Thermostat!$C$9,Thermostat!$C$10)</f>
        <v>79</v>
      </c>
      <c r="S65" s="479">
        <f>IF(S41=1,Thermostat!$C$9,Thermostat!$C$10)</f>
        <v>79</v>
      </c>
      <c r="T65" s="479">
        <f>IF(T41=1,Thermostat!$C$9,Thermostat!$C$10)</f>
        <v>79</v>
      </c>
      <c r="U65" s="479">
        <f>IF(U41=1,Thermostat!$C$9,Thermostat!$C$10)</f>
        <v>79</v>
      </c>
      <c r="V65" s="479">
        <f>IF(V41=1,Thermostat!$C$9,Thermostat!$C$10)</f>
        <v>79</v>
      </c>
      <c r="W65" s="479">
        <f>IF(W41=1,Thermostat!$C$9,Thermostat!$C$10)</f>
        <v>79</v>
      </c>
      <c r="X65" s="479">
        <f>IF(X41=1,Thermostat!$C$9,Thermostat!$C$10)</f>
        <v>79</v>
      </c>
      <c r="Y65" s="479">
        <f>IF(Y41=1,Thermostat!$C$9,Thermostat!$C$10)</f>
        <v>79</v>
      </c>
      <c r="Z65" s="479">
        <f>IF(Z41=1,Thermostat!$C$9,Thermostat!$C$10)</f>
        <v>79</v>
      </c>
      <c r="AA65" s="479">
        <f>IF(AA41=1,Thermostat!$C$9,Thermostat!$C$10)</f>
        <v>79</v>
      </c>
      <c r="AB65" s="479">
        <f>IF(AB41=1,Thermostat!$C$9,Thermostat!$C$10)</f>
        <v>79</v>
      </c>
      <c r="AC65" s="496">
        <f>IF(AC41=1,Thermostat!$C$9,Thermostat!$C$10)</f>
        <v>79</v>
      </c>
      <c r="AD65" s="39"/>
      <c r="AE65" s="39"/>
      <c r="AF65" s="39"/>
      <c r="AG65" s="39"/>
      <c r="AH65" s="39"/>
      <c r="AI65" s="39"/>
      <c r="AJ65" s="39"/>
      <c r="AK65" s="39"/>
      <c r="AM65" s="49"/>
      <c r="AO65" s="113"/>
    </row>
    <row r="66" spans="1:41" ht="38.700000000000003" customHeight="1" x14ac:dyDescent="0.3">
      <c r="A66" s="863"/>
      <c r="B66" s="885"/>
      <c r="C66" s="887"/>
      <c r="D66" s="851"/>
      <c r="E66" s="497" t="s">
        <v>549</v>
      </c>
      <c r="F66" s="482">
        <f>IF(F42=1,Thermostat!$C$9,Thermostat!$C$10)</f>
        <v>79</v>
      </c>
      <c r="G66" s="482">
        <f>IF(G42=1,Thermostat!$C$9,Thermostat!$C$10)</f>
        <v>86</v>
      </c>
      <c r="H66" s="482">
        <f>IF(H42=1,Thermostat!$C$9,Thermostat!$C$10)</f>
        <v>86</v>
      </c>
      <c r="I66" s="482">
        <f>IF(I42=1,Thermostat!$C$9,Thermostat!$C$10)</f>
        <v>86</v>
      </c>
      <c r="J66" s="482">
        <f>IF(J42=1,Thermostat!$C$9,Thermostat!$C$10)</f>
        <v>86</v>
      </c>
      <c r="K66" s="482">
        <f>IF(K42=1,Thermostat!$C$9,Thermostat!$C$10)</f>
        <v>79</v>
      </c>
      <c r="L66" s="482">
        <f>IF(L42=1,Thermostat!$C$9,Thermostat!$C$10)</f>
        <v>79</v>
      </c>
      <c r="M66" s="482">
        <f>IF(M42=1,Thermostat!$C$9,Thermostat!$C$10)</f>
        <v>79</v>
      </c>
      <c r="N66" s="482">
        <f>IF(N42=1,Thermostat!$C$9,Thermostat!$C$10)</f>
        <v>79</v>
      </c>
      <c r="O66" s="482">
        <f>IF(O42=1,Thermostat!$C$9,Thermostat!$C$10)</f>
        <v>79</v>
      </c>
      <c r="P66" s="482">
        <f>IF(P42=1,Thermostat!$C$9,Thermostat!$C$10)</f>
        <v>79</v>
      </c>
      <c r="Q66" s="482">
        <f>IF(Q42=1,Thermostat!$C$9,Thermostat!$C$10)</f>
        <v>79</v>
      </c>
      <c r="R66" s="482">
        <f>IF(R42=1,Thermostat!$C$9,Thermostat!$C$10)</f>
        <v>79</v>
      </c>
      <c r="S66" s="482">
        <f>IF(S42=1,Thermostat!$C$9,Thermostat!$C$10)</f>
        <v>79</v>
      </c>
      <c r="T66" s="482">
        <f>IF(T42=1,Thermostat!$C$9,Thermostat!$C$10)</f>
        <v>79</v>
      </c>
      <c r="U66" s="482">
        <f>IF(U42=1,Thermostat!$C$9,Thermostat!$C$10)</f>
        <v>79</v>
      </c>
      <c r="V66" s="482">
        <f>IF(V42=1,Thermostat!$C$9,Thermostat!$C$10)</f>
        <v>79</v>
      </c>
      <c r="W66" s="482">
        <f>IF(W42=1,Thermostat!$C$9,Thermostat!$C$10)</f>
        <v>79</v>
      </c>
      <c r="X66" s="482">
        <f>IF(X42=1,Thermostat!$C$9,Thermostat!$C$10)</f>
        <v>79</v>
      </c>
      <c r="Y66" s="482">
        <f>IF(Y42=1,Thermostat!$C$9,Thermostat!$C$10)</f>
        <v>79</v>
      </c>
      <c r="Z66" s="482">
        <f>IF(Z42=1,Thermostat!$C$9,Thermostat!$C$10)</f>
        <v>79</v>
      </c>
      <c r="AA66" s="482">
        <f>IF(AA42=1,Thermostat!$C$9,Thermostat!$C$10)</f>
        <v>79</v>
      </c>
      <c r="AB66" s="482">
        <f>IF(AB42=1,Thermostat!$C$9,Thermostat!$C$10)</f>
        <v>79</v>
      </c>
      <c r="AC66" s="498">
        <f>IF(AC42=1,Thermostat!$C$9,Thermostat!$C$10)</f>
        <v>79</v>
      </c>
      <c r="AD66" s="39"/>
      <c r="AE66" s="39"/>
      <c r="AF66" s="39"/>
      <c r="AG66" s="39"/>
      <c r="AH66" s="39"/>
      <c r="AI66" s="39"/>
      <c r="AJ66" s="39"/>
      <c r="AK66" s="39"/>
      <c r="AM66" s="49"/>
      <c r="AO66" s="113"/>
    </row>
    <row r="67" spans="1:41" ht="38.700000000000003" customHeight="1" thickBot="1" x14ac:dyDescent="0.35">
      <c r="A67" s="864"/>
      <c r="B67" s="886"/>
      <c r="C67" s="888"/>
      <c r="D67" s="889"/>
      <c r="E67" s="499" t="s">
        <v>550</v>
      </c>
      <c r="F67" s="500">
        <f>IF(F43=1,Thermostat!$C$9,Thermostat!$C$10)</f>
        <v>79</v>
      </c>
      <c r="G67" s="500">
        <f>IF(G43=1,Thermostat!$C$9,Thermostat!$C$10)</f>
        <v>86</v>
      </c>
      <c r="H67" s="500">
        <f>IF(H43=1,Thermostat!$C$9,Thermostat!$C$10)</f>
        <v>86</v>
      </c>
      <c r="I67" s="500">
        <f>IF(I43=1,Thermostat!$C$9,Thermostat!$C$10)</f>
        <v>86</v>
      </c>
      <c r="J67" s="500">
        <f>IF(J43=1,Thermostat!$C$9,Thermostat!$C$10)</f>
        <v>86</v>
      </c>
      <c r="K67" s="500">
        <f>IF(K43=1,Thermostat!$C$9,Thermostat!$C$10)</f>
        <v>79</v>
      </c>
      <c r="L67" s="500">
        <f>IF(L43=1,Thermostat!$C$9,Thermostat!$C$10)</f>
        <v>79</v>
      </c>
      <c r="M67" s="500">
        <f>IF(M43=1,Thermostat!$C$9,Thermostat!$C$10)</f>
        <v>79</v>
      </c>
      <c r="N67" s="500">
        <f>IF(N43=1,Thermostat!$C$9,Thermostat!$C$10)</f>
        <v>79</v>
      </c>
      <c r="O67" s="500">
        <f>IF(O43=1,Thermostat!$C$9,Thermostat!$C$10)</f>
        <v>79</v>
      </c>
      <c r="P67" s="500">
        <f>IF(P43=1,Thermostat!$C$9,Thermostat!$C$10)</f>
        <v>79</v>
      </c>
      <c r="Q67" s="500">
        <f>IF(Q43=1,Thermostat!$C$9,Thermostat!$C$10)</f>
        <v>79</v>
      </c>
      <c r="R67" s="500">
        <f>IF(R43=1,Thermostat!$C$9,Thermostat!$C$10)</f>
        <v>79</v>
      </c>
      <c r="S67" s="500">
        <f>IF(S43=1,Thermostat!$C$9,Thermostat!$C$10)</f>
        <v>79</v>
      </c>
      <c r="T67" s="500">
        <f>IF(T43=1,Thermostat!$C$9,Thermostat!$C$10)</f>
        <v>79</v>
      </c>
      <c r="U67" s="500">
        <f>IF(U43=1,Thermostat!$C$9,Thermostat!$C$10)</f>
        <v>79</v>
      </c>
      <c r="V67" s="500">
        <f>IF(V43=1,Thermostat!$C$9,Thermostat!$C$10)</f>
        <v>79</v>
      </c>
      <c r="W67" s="500">
        <f>IF(W43=1,Thermostat!$C$9,Thermostat!$C$10)</f>
        <v>79</v>
      </c>
      <c r="X67" s="500">
        <f>IF(X43=1,Thermostat!$C$9,Thermostat!$C$10)</f>
        <v>79</v>
      </c>
      <c r="Y67" s="500">
        <f>IF(Y43=1,Thermostat!$C$9,Thermostat!$C$10)</f>
        <v>79</v>
      </c>
      <c r="Z67" s="500">
        <f>IF(Z43=1,Thermostat!$C$9,Thermostat!$C$10)</f>
        <v>79</v>
      </c>
      <c r="AA67" s="500">
        <f>IF(AA43=1,Thermostat!$C$9,Thermostat!$C$10)</f>
        <v>79</v>
      </c>
      <c r="AB67" s="500">
        <f>IF(AB43=1,Thermostat!$C$9,Thermostat!$C$10)</f>
        <v>79</v>
      </c>
      <c r="AC67" s="501">
        <f>IF(AC43=1,Thermostat!$C$9,Thermostat!$C$10)</f>
        <v>79</v>
      </c>
      <c r="AD67" s="39"/>
      <c r="AE67" s="39"/>
      <c r="AF67" s="39"/>
      <c r="AG67" s="39"/>
      <c r="AH67" s="39"/>
      <c r="AI67" s="39"/>
      <c r="AJ67" s="39"/>
      <c r="AK67" s="39"/>
      <c r="AM67" s="49"/>
      <c r="AO67" s="113"/>
    </row>
    <row r="68" spans="1:41" ht="29.4" customHeight="1" thickBot="1" x14ac:dyDescent="0.35">
      <c r="A68" s="890" t="s">
        <v>571</v>
      </c>
      <c r="B68" s="890"/>
      <c r="C68" s="890"/>
      <c r="D68" s="890"/>
      <c r="E68" s="890"/>
      <c r="F68" s="890"/>
      <c r="G68" s="890"/>
      <c r="H68" s="890"/>
      <c r="I68" s="890"/>
      <c r="J68" s="890"/>
      <c r="K68" s="890"/>
      <c r="L68" s="890"/>
      <c r="M68" s="890"/>
      <c r="N68" s="890"/>
      <c r="O68" s="890"/>
      <c r="P68" s="890"/>
      <c r="Q68" s="890"/>
      <c r="R68" s="890"/>
      <c r="S68" s="890"/>
      <c r="T68" s="890"/>
      <c r="U68" s="890"/>
      <c r="V68" s="890"/>
      <c r="W68" s="890"/>
      <c r="X68" s="890"/>
      <c r="Y68" s="890"/>
      <c r="Z68" s="890"/>
      <c r="AA68" s="890"/>
      <c r="AB68" s="890"/>
      <c r="AC68" s="890"/>
    </row>
    <row r="69" spans="1:41" ht="36" customHeight="1" x14ac:dyDescent="0.3">
      <c r="A69" s="862"/>
      <c r="B69" s="865" t="s">
        <v>162</v>
      </c>
      <c r="C69" s="868" t="s">
        <v>572</v>
      </c>
      <c r="D69" s="871"/>
      <c r="E69" s="502" t="s">
        <v>548</v>
      </c>
      <c r="F69" s="503">
        <v>1</v>
      </c>
      <c r="G69" s="503">
        <v>1</v>
      </c>
      <c r="H69" s="503">
        <v>1</v>
      </c>
      <c r="I69" s="503">
        <v>1</v>
      </c>
      <c r="J69" s="503">
        <v>1</v>
      </c>
      <c r="K69" s="503">
        <v>1</v>
      </c>
      <c r="L69" s="503">
        <v>1</v>
      </c>
      <c r="M69" s="503">
        <v>1</v>
      </c>
      <c r="N69" s="503">
        <v>1</v>
      </c>
      <c r="O69" s="503">
        <v>1</v>
      </c>
      <c r="P69" s="503">
        <v>1</v>
      </c>
      <c r="Q69" s="503">
        <v>1</v>
      </c>
      <c r="R69" s="503">
        <v>1</v>
      </c>
      <c r="S69" s="503">
        <v>1</v>
      </c>
      <c r="T69" s="503">
        <v>1</v>
      </c>
      <c r="U69" s="503">
        <v>1</v>
      </c>
      <c r="V69" s="503">
        <v>1</v>
      </c>
      <c r="W69" s="503">
        <v>1</v>
      </c>
      <c r="X69" s="503">
        <v>1</v>
      </c>
      <c r="Y69" s="503">
        <v>1</v>
      </c>
      <c r="Z69" s="503">
        <v>1</v>
      </c>
      <c r="AA69" s="503">
        <v>1</v>
      </c>
      <c r="AB69" s="503">
        <v>1</v>
      </c>
      <c r="AC69" s="504">
        <v>1</v>
      </c>
    </row>
    <row r="70" spans="1:41" ht="36" customHeight="1" x14ac:dyDescent="0.3">
      <c r="A70" s="863"/>
      <c r="B70" s="866"/>
      <c r="C70" s="869"/>
      <c r="D70" s="872"/>
      <c r="E70" s="505" t="s">
        <v>549</v>
      </c>
      <c r="F70" s="482">
        <v>1</v>
      </c>
      <c r="G70" s="482">
        <v>1</v>
      </c>
      <c r="H70" s="482">
        <v>1</v>
      </c>
      <c r="I70" s="482">
        <v>1</v>
      </c>
      <c r="J70" s="482">
        <v>1</v>
      </c>
      <c r="K70" s="482">
        <v>1</v>
      </c>
      <c r="L70" s="482">
        <v>1</v>
      </c>
      <c r="M70" s="482">
        <v>1</v>
      </c>
      <c r="N70" s="482">
        <v>1</v>
      </c>
      <c r="O70" s="482">
        <v>1</v>
      </c>
      <c r="P70" s="482">
        <v>1</v>
      </c>
      <c r="Q70" s="482">
        <v>1</v>
      </c>
      <c r="R70" s="482">
        <v>1</v>
      </c>
      <c r="S70" s="482">
        <v>1</v>
      </c>
      <c r="T70" s="482">
        <v>1</v>
      </c>
      <c r="U70" s="482">
        <v>1</v>
      </c>
      <c r="V70" s="482">
        <v>1</v>
      </c>
      <c r="W70" s="482">
        <v>1</v>
      </c>
      <c r="X70" s="482">
        <v>1</v>
      </c>
      <c r="Y70" s="482">
        <v>1</v>
      </c>
      <c r="Z70" s="482">
        <v>1</v>
      </c>
      <c r="AA70" s="482">
        <v>1</v>
      </c>
      <c r="AB70" s="482">
        <v>1</v>
      </c>
      <c r="AC70" s="498">
        <v>1</v>
      </c>
    </row>
    <row r="71" spans="1:41" ht="36" customHeight="1" thickBot="1" x14ac:dyDescent="0.35">
      <c r="A71" s="864"/>
      <c r="B71" s="867"/>
      <c r="C71" s="870"/>
      <c r="D71" s="873"/>
      <c r="E71" s="506" t="s">
        <v>550</v>
      </c>
      <c r="F71" s="500">
        <v>1</v>
      </c>
      <c r="G71" s="500">
        <v>1</v>
      </c>
      <c r="H71" s="500">
        <v>1</v>
      </c>
      <c r="I71" s="500">
        <v>1</v>
      </c>
      <c r="J71" s="500">
        <v>1</v>
      </c>
      <c r="K71" s="500">
        <v>1</v>
      </c>
      <c r="L71" s="500">
        <v>1</v>
      </c>
      <c r="M71" s="500">
        <v>1</v>
      </c>
      <c r="N71" s="500">
        <v>1</v>
      </c>
      <c r="O71" s="500">
        <v>1</v>
      </c>
      <c r="P71" s="500">
        <v>1</v>
      </c>
      <c r="Q71" s="500">
        <v>1</v>
      </c>
      <c r="R71" s="500">
        <v>1</v>
      </c>
      <c r="S71" s="500">
        <v>1</v>
      </c>
      <c r="T71" s="500">
        <v>1</v>
      </c>
      <c r="U71" s="500">
        <v>1</v>
      </c>
      <c r="V71" s="500">
        <v>1</v>
      </c>
      <c r="W71" s="500">
        <v>1</v>
      </c>
      <c r="X71" s="500">
        <v>1</v>
      </c>
      <c r="Y71" s="500">
        <v>1</v>
      </c>
      <c r="Z71" s="500">
        <v>1</v>
      </c>
      <c r="AA71" s="500">
        <v>1</v>
      </c>
      <c r="AB71" s="500">
        <v>1</v>
      </c>
      <c r="AC71" s="501">
        <v>1</v>
      </c>
    </row>
    <row r="72" spans="1:41" ht="36" customHeight="1" x14ac:dyDescent="0.3">
      <c r="A72" s="874"/>
      <c r="B72" s="877" t="s">
        <v>162</v>
      </c>
      <c r="C72" s="879" t="s">
        <v>573</v>
      </c>
      <c r="D72" s="872"/>
      <c r="E72" s="507" t="s">
        <v>548</v>
      </c>
      <c r="F72" s="719">
        <v>0</v>
      </c>
      <c r="G72" s="719">
        <v>0</v>
      </c>
      <c r="H72" s="719">
        <v>0</v>
      </c>
      <c r="I72" s="719">
        <v>0</v>
      </c>
      <c r="J72" s="719">
        <v>0</v>
      </c>
      <c r="K72" s="719">
        <v>1</v>
      </c>
      <c r="L72" s="719">
        <v>1</v>
      </c>
      <c r="M72" s="719">
        <v>1</v>
      </c>
      <c r="N72" s="719">
        <v>1</v>
      </c>
      <c r="O72" s="719">
        <v>1</v>
      </c>
      <c r="P72" s="719">
        <v>1</v>
      </c>
      <c r="Q72" s="719">
        <v>1</v>
      </c>
      <c r="R72" s="719">
        <v>1</v>
      </c>
      <c r="S72" s="719">
        <v>1</v>
      </c>
      <c r="T72" s="719">
        <v>1</v>
      </c>
      <c r="U72" s="719">
        <v>1</v>
      </c>
      <c r="V72" s="719">
        <v>1</v>
      </c>
      <c r="W72" s="719">
        <v>1</v>
      </c>
      <c r="X72" s="719">
        <v>1</v>
      </c>
      <c r="Y72" s="719">
        <v>1</v>
      </c>
      <c r="Z72" s="719">
        <v>1</v>
      </c>
      <c r="AA72" s="719">
        <v>1</v>
      </c>
      <c r="AB72" s="719">
        <v>0</v>
      </c>
      <c r="AC72" s="720">
        <v>0</v>
      </c>
    </row>
    <row r="73" spans="1:41" ht="36" customHeight="1" x14ac:dyDescent="0.3">
      <c r="A73" s="875"/>
      <c r="B73" s="866"/>
      <c r="C73" s="869"/>
      <c r="D73" s="872"/>
      <c r="E73" s="505" t="s">
        <v>549</v>
      </c>
      <c r="F73" s="482">
        <v>0</v>
      </c>
      <c r="G73" s="482">
        <v>0</v>
      </c>
      <c r="H73" s="482">
        <v>0</v>
      </c>
      <c r="I73" s="482">
        <v>0</v>
      </c>
      <c r="J73" s="482">
        <v>0</v>
      </c>
      <c r="K73" s="482">
        <v>1</v>
      </c>
      <c r="L73" s="482">
        <v>1</v>
      </c>
      <c r="M73" s="482">
        <v>1</v>
      </c>
      <c r="N73" s="482">
        <v>1</v>
      </c>
      <c r="O73" s="482">
        <v>1</v>
      </c>
      <c r="P73" s="482">
        <v>1</v>
      </c>
      <c r="Q73" s="482">
        <v>1</v>
      </c>
      <c r="R73" s="482">
        <v>1</v>
      </c>
      <c r="S73" s="482">
        <v>1</v>
      </c>
      <c r="T73" s="482">
        <v>1</v>
      </c>
      <c r="U73" s="482">
        <v>1</v>
      </c>
      <c r="V73" s="482">
        <v>1</v>
      </c>
      <c r="W73" s="482">
        <v>1</v>
      </c>
      <c r="X73" s="482">
        <v>1</v>
      </c>
      <c r="Y73" s="482">
        <v>1</v>
      </c>
      <c r="Z73" s="482">
        <v>1</v>
      </c>
      <c r="AA73" s="482">
        <v>1</v>
      </c>
      <c r="AB73" s="482">
        <v>1</v>
      </c>
      <c r="AC73" s="483">
        <v>1</v>
      </c>
    </row>
    <row r="74" spans="1:41" ht="36" customHeight="1" thickBot="1" x14ac:dyDescent="0.35">
      <c r="A74" s="876"/>
      <c r="B74" s="878"/>
      <c r="C74" s="880"/>
      <c r="D74" s="881"/>
      <c r="E74" s="508" t="s">
        <v>550</v>
      </c>
      <c r="F74" s="485">
        <v>0</v>
      </c>
      <c r="G74" s="485">
        <v>0</v>
      </c>
      <c r="H74" s="485">
        <v>0</v>
      </c>
      <c r="I74" s="485">
        <v>0</v>
      </c>
      <c r="J74" s="485">
        <v>0</v>
      </c>
      <c r="K74" s="485">
        <v>1</v>
      </c>
      <c r="L74" s="485">
        <v>1</v>
      </c>
      <c r="M74" s="485">
        <v>1</v>
      </c>
      <c r="N74" s="485">
        <v>1</v>
      </c>
      <c r="O74" s="485">
        <v>1</v>
      </c>
      <c r="P74" s="485">
        <v>1</v>
      </c>
      <c r="Q74" s="485">
        <v>1</v>
      </c>
      <c r="R74" s="485">
        <v>1</v>
      </c>
      <c r="S74" s="485">
        <v>1</v>
      </c>
      <c r="T74" s="485">
        <v>1</v>
      </c>
      <c r="U74" s="485">
        <v>1</v>
      </c>
      <c r="V74" s="485">
        <v>1</v>
      </c>
      <c r="W74" s="485">
        <v>1</v>
      </c>
      <c r="X74" s="485">
        <v>1</v>
      </c>
      <c r="Y74" s="485">
        <v>1</v>
      </c>
      <c r="Z74" s="485">
        <v>1</v>
      </c>
      <c r="AA74" s="485">
        <v>1</v>
      </c>
      <c r="AB74" s="485">
        <v>1</v>
      </c>
      <c r="AC74" s="486">
        <v>1</v>
      </c>
    </row>
    <row r="75" spans="1:41" ht="36" customHeight="1" x14ac:dyDescent="0.3">
      <c r="A75" s="891" t="s">
        <v>100</v>
      </c>
      <c r="B75" s="856" t="s">
        <v>162</v>
      </c>
      <c r="C75" s="929" t="s">
        <v>574</v>
      </c>
      <c r="D75" s="850" t="s">
        <v>575</v>
      </c>
      <c r="E75" s="241" t="s">
        <v>548</v>
      </c>
      <c r="F75" s="509">
        <v>161.19999999999999</v>
      </c>
      <c r="G75" s="509">
        <v>161.19999999999999</v>
      </c>
      <c r="H75" s="509">
        <v>161.19999999999999</v>
      </c>
      <c r="I75" s="509">
        <v>161.19999999999999</v>
      </c>
      <c r="J75" s="509">
        <v>161.19999999999999</v>
      </c>
      <c r="K75" s="509">
        <v>161.19999999999999</v>
      </c>
      <c r="L75" s="509">
        <v>161.19999999999999</v>
      </c>
      <c r="M75" s="509">
        <v>161.19999999999999</v>
      </c>
      <c r="N75" s="509">
        <v>161.19999999999999</v>
      </c>
      <c r="O75" s="509">
        <v>161.19999999999999</v>
      </c>
      <c r="P75" s="509">
        <v>161.19999999999999</v>
      </c>
      <c r="Q75" s="509">
        <v>161.19999999999999</v>
      </c>
      <c r="R75" s="509">
        <v>161.19999999999999</v>
      </c>
      <c r="S75" s="509">
        <v>161.19999999999999</v>
      </c>
      <c r="T75" s="509">
        <v>161.19999999999999</v>
      </c>
      <c r="U75" s="509">
        <v>161.19999999999999</v>
      </c>
      <c r="V75" s="509">
        <v>161.19999999999999</v>
      </c>
      <c r="W75" s="509">
        <v>161.19999999999999</v>
      </c>
      <c r="X75" s="509">
        <v>161.19999999999999</v>
      </c>
      <c r="Y75" s="509">
        <v>161.19999999999999</v>
      </c>
      <c r="Z75" s="509">
        <v>161.19999999999999</v>
      </c>
      <c r="AA75" s="509">
        <v>161.19999999999999</v>
      </c>
      <c r="AB75" s="509">
        <v>161.19999999999999</v>
      </c>
      <c r="AC75" s="510">
        <v>161.19999999999999</v>
      </c>
    </row>
    <row r="76" spans="1:41" ht="36" customHeight="1" x14ac:dyDescent="0.3">
      <c r="A76" s="892"/>
      <c r="B76" s="857"/>
      <c r="C76" s="895"/>
      <c r="D76" s="851"/>
      <c r="E76" s="244" t="s">
        <v>549</v>
      </c>
      <c r="F76" s="511">
        <v>161.19999999999999</v>
      </c>
      <c r="G76" s="512">
        <v>161.19999999999999</v>
      </c>
      <c r="H76" s="512">
        <v>161.19999999999999</v>
      </c>
      <c r="I76" s="511">
        <v>161.19999999999999</v>
      </c>
      <c r="J76" s="511">
        <v>161.19999999999999</v>
      </c>
      <c r="K76" s="511">
        <v>161.19999999999999</v>
      </c>
      <c r="L76" s="511">
        <v>161.19999999999999</v>
      </c>
      <c r="M76" s="511">
        <v>161.19999999999999</v>
      </c>
      <c r="N76" s="511">
        <v>161.19999999999999</v>
      </c>
      <c r="O76" s="511">
        <v>161.19999999999999</v>
      </c>
      <c r="P76" s="511">
        <v>161.19999999999999</v>
      </c>
      <c r="Q76" s="511">
        <v>161.19999999999999</v>
      </c>
      <c r="R76" s="511">
        <v>161.19999999999999</v>
      </c>
      <c r="S76" s="511">
        <v>161.19999999999999</v>
      </c>
      <c r="T76" s="511">
        <v>161.19999999999999</v>
      </c>
      <c r="U76" s="511">
        <v>161.19999999999999</v>
      </c>
      <c r="V76" s="511">
        <v>161.19999999999999</v>
      </c>
      <c r="W76" s="511">
        <v>161.19999999999999</v>
      </c>
      <c r="X76" s="511">
        <v>161.19999999999999</v>
      </c>
      <c r="Y76" s="511">
        <v>161.19999999999999</v>
      </c>
      <c r="Z76" s="511">
        <v>161.19999999999999</v>
      </c>
      <c r="AA76" s="511">
        <v>161.19999999999999</v>
      </c>
      <c r="AB76" s="511">
        <v>161.19999999999999</v>
      </c>
      <c r="AC76" s="513">
        <v>161.19999999999999</v>
      </c>
    </row>
    <row r="77" spans="1:41" ht="36" customHeight="1" thickBot="1" x14ac:dyDescent="0.35">
      <c r="A77" s="927"/>
      <c r="B77" s="928"/>
      <c r="C77" s="930"/>
      <c r="D77" s="852"/>
      <c r="E77" s="514" t="s">
        <v>550</v>
      </c>
      <c r="F77" s="515">
        <v>161.19999999999999</v>
      </c>
      <c r="G77" s="516">
        <v>161.19999999999999</v>
      </c>
      <c r="H77" s="516">
        <v>161.19999999999999</v>
      </c>
      <c r="I77" s="515">
        <v>161.19999999999999</v>
      </c>
      <c r="J77" s="515">
        <v>161.19999999999999</v>
      </c>
      <c r="K77" s="515">
        <v>161.19999999999999</v>
      </c>
      <c r="L77" s="515">
        <v>161.19999999999999</v>
      </c>
      <c r="M77" s="515">
        <v>161.19999999999999</v>
      </c>
      <c r="N77" s="515">
        <v>161.19999999999999</v>
      </c>
      <c r="O77" s="515">
        <v>161.19999999999999</v>
      </c>
      <c r="P77" s="515">
        <v>161.19999999999999</v>
      </c>
      <c r="Q77" s="515">
        <v>161.19999999999999</v>
      </c>
      <c r="R77" s="515">
        <v>161.19999999999999</v>
      </c>
      <c r="S77" s="515">
        <v>161.19999999999999</v>
      </c>
      <c r="T77" s="515">
        <v>161.19999999999999</v>
      </c>
      <c r="U77" s="515">
        <v>161.19999999999999</v>
      </c>
      <c r="V77" s="515">
        <v>161.19999999999999</v>
      </c>
      <c r="W77" s="515">
        <v>161.19999999999999</v>
      </c>
      <c r="X77" s="515">
        <v>161.19999999999999</v>
      </c>
      <c r="Y77" s="515">
        <v>161.19999999999999</v>
      </c>
      <c r="Z77" s="515">
        <v>161.19999999999999</v>
      </c>
      <c r="AA77" s="515">
        <v>161.19999999999999</v>
      </c>
      <c r="AB77" s="515">
        <v>161.19999999999999</v>
      </c>
      <c r="AC77" s="517">
        <v>161.19999999999999</v>
      </c>
    </row>
    <row r="78" spans="1:41" ht="36" customHeight="1" x14ac:dyDescent="0.3">
      <c r="A78" s="853" t="s">
        <v>80</v>
      </c>
      <c r="B78" s="856" t="s">
        <v>162</v>
      </c>
      <c r="C78" s="859" t="s">
        <v>576</v>
      </c>
      <c r="D78" s="850" t="s">
        <v>575</v>
      </c>
      <c r="E78" s="83" t="s">
        <v>548</v>
      </c>
      <c r="F78" s="518">
        <v>219.8</v>
      </c>
      <c r="G78" s="518">
        <v>219.8</v>
      </c>
      <c r="H78" s="518">
        <v>219.8</v>
      </c>
      <c r="I78" s="518">
        <v>219.8</v>
      </c>
      <c r="J78" s="518">
        <v>219.8</v>
      </c>
      <c r="K78" s="518">
        <v>219.8</v>
      </c>
      <c r="L78" s="518">
        <v>219.8</v>
      </c>
      <c r="M78" s="518">
        <v>219.8</v>
      </c>
      <c r="N78" s="518">
        <v>219.8</v>
      </c>
      <c r="O78" s="518">
        <v>219.8</v>
      </c>
      <c r="P78" s="518">
        <v>219.8</v>
      </c>
      <c r="Q78" s="518">
        <v>219.8</v>
      </c>
      <c r="R78" s="518">
        <v>219.8</v>
      </c>
      <c r="S78" s="518">
        <v>219.8</v>
      </c>
      <c r="T78" s="518">
        <v>219.8</v>
      </c>
      <c r="U78" s="518">
        <v>219.8</v>
      </c>
      <c r="V78" s="518">
        <v>219.8</v>
      </c>
      <c r="W78" s="518">
        <v>219.8</v>
      </c>
      <c r="X78" s="518">
        <v>219.8</v>
      </c>
      <c r="Y78" s="518">
        <v>219.8</v>
      </c>
      <c r="Z78" s="518">
        <v>219.8</v>
      </c>
      <c r="AA78" s="518">
        <v>219.8</v>
      </c>
      <c r="AB78" s="518">
        <v>219.8</v>
      </c>
      <c r="AC78" s="519">
        <v>219.8</v>
      </c>
    </row>
    <row r="79" spans="1:41" ht="36" customHeight="1" x14ac:dyDescent="0.3">
      <c r="A79" s="854"/>
      <c r="B79" s="857"/>
      <c r="C79" s="860"/>
      <c r="D79" s="851"/>
      <c r="E79" s="86" t="s">
        <v>549</v>
      </c>
      <c r="F79" s="511">
        <v>219.8</v>
      </c>
      <c r="G79" s="511">
        <v>219.8</v>
      </c>
      <c r="H79" s="511">
        <v>219.8</v>
      </c>
      <c r="I79" s="511">
        <v>219.8</v>
      </c>
      <c r="J79" s="511">
        <v>219.8</v>
      </c>
      <c r="K79" s="511">
        <v>219.8</v>
      </c>
      <c r="L79" s="511">
        <v>219.8</v>
      </c>
      <c r="M79" s="511">
        <v>219.8</v>
      </c>
      <c r="N79" s="511">
        <v>219.8</v>
      </c>
      <c r="O79" s="511">
        <v>219.8</v>
      </c>
      <c r="P79" s="511">
        <v>219.8</v>
      </c>
      <c r="Q79" s="511">
        <v>219.8</v>
      </c>
      <c r="R79" s="511">
        <v>219.8</v>
      </c>
      <c r="S79" s="511">
        <v>219.8</v>
      </c>
      <c r="T79" s="511">
        <v>219.8</v>
      </c>
      <c r="U79" s="511">
        <v>219.8</v>
      </c>
      <c r="V79" s="511">
        <v>219.8</v>
      </c>
      <c r="W79" s="511">
        <v>219.8</v>
      </c>
      <c r="X79" s="511">
        <v>219.8</v>
      </c>
      <c r="Y79" s="511">
        <v>219.8</v>
      </c>
      <c r="Z79" s="511">
        <v>219.8</v>
      </c>
      <c r="AA79" s="511">
        <v>219.8</v>
      </c>
      <c r="AB79" s="511">
        <v>219.8</v>
      </c>
      <c r="AC79" s="520">
        <v>219.8</v>
      </c>
    </row>
    <row r="80" spans="1:41" ht="36" customHeight="1" thickBot="1" x14ac:dyDescent="0.35">
      <c r="A80" s="855"/>
      <c r="B80" s="858"/>
      <c r="C80" s="861"/>
      <c r="D80" s="852"/>
      <c r="E80" s="92" t="s">
        <v>550</v>
      </c>
      <c r="F80" s="521">
        <v>219.8</v>
      </c>
      <c r="G80" s="521">
        <v>219.8</v>
      </c>
      <c r="H80" s="521">
        <v>219.8</v>
      </c>
      <c r="I80" s="521">
        <v>219.8</v>
      </c>
      <c r="J80" s="521">
        <v>219.8</v>
      </c>
      <c r="K80" s="521">
        <v>219.8</v>
      </c>
      <c r="L80" s="521">
        <v>219.8</v>
      </c>
      <c r="M80" s="521">
        <v>219.8</v>
      </c>
      <c r="N80" s="521">
        <v>219.8</v>
      </c>
      <c r="O80" s="521">
        <v>219.8</v>
      </c>
      <c r="P80" s="521">
        <v>219.8</v>
      </c>
      <c r="Q80" s="521">
        <v>219.8</v>
      </c>
      <c r="R80" s="521">
        <v>219.8</v>
      </c>
      <c r="S80" s="521">
        <v>219.8</v>
      </c>
      <c r="T80" s="521">
        <v>219.8</v>
      </c>
      <c r="U80" s="521">
        <v>219.8</v>
      </c>
      <c r="V80" s="521">
        <v>219.8</v>
      </c>
      <c r="W80" s="521">
        <v>219.8</v>
      </c>
      <c r="X80" s="521">
        <v>219.8</v>
      </c>
      <c r="Y80" s="521">
        <v>219.8</v>
      </c>
      <c r="Z80" s="521">
        <v>219.8</v>
      </c>
      <c r="AA80" s="521">
        <v>219.8</v>
      </c>
      <c r="AB80" s="521">
        <v>219.8</v>
      </c>
      <c r="AC80" s="522">
        <v>219.8</v>
      </c>
    </row>
    <row r="81" spans="1:29" x14ac:dyDescent="0.3">
      <c r="A81" s="470"/>
      <c r="C81" s="470"/>
      <c r="D81" s="470"/>
      <c r="F81" s="523"/>
      <c r="G81" s="523"/>
      <c r="H81" s="523"/>
      <c r="I81" s="523"/>
      <c r="J81" s="523"/>
      <c r="K81" s="523"/>
      <c r="L81" s="523"/>
      <c r="M81" s="523"/>
      <c r="N81" s="523"/>
      <c r="O81" s="523"/>
      <c r="P81" s="523"/>
      <c r="Q81" s="523"/>
      <c r="R81" s="523"/>
      <c r="S81" s="523"/>
      <c r="T81" s="523"/>
      <c r="U81" s="523"/>
      <c r="V81" s="523"/>
      <c r="W81" s="523"/>
      <c r="X81" s="523"/>
      <c r="Y81" s="523"/>
      <c r="Z81" s="523"/>
      <c r="AA81" s="523"/>
      <c r="AB81" s="523"/>
      <c r="AC81" s="523"/>
    </row>
    <row r="82" spans="1:29" x14ac:dyDescent="0.3">
      <c r="A82" s="470"/>
      <c r="C82" s="470"/>
      <c r="D82" s="470"/>
      <c r="F82" s="523"/>
      <c r="G82" s="523"/>
      <c r="H82" s="523"/>
      <c r="I82" s="523"/>
      <c r="J82" s="523"/>
      <c r="K82" s="523"/>
      <c r="L82" s="523"/>
      <c r="M82" s="523"/>
      <c r="N82" s="523"/>
      <c r="O82" s="523"/>
      <c r="P82" s="523"/>
      <c r="Q82" s="523"/>
      <c r="R82" s="523"/>
      <c r="S82" s="523"/>
      <c r="T82" s="523"/>
      <c r="U82" s="523"/>
      <c r="V82" s="523"/>
      <c r="W82" s="523"/>
      <c r="X82" s="523"/>
      <c r="Y82" s="523"/>
      <c r="Z82" s="523"/>
      <c r="AA82" s="523"/>
      <c r="AB82" s="523"/>
      <c r="AC82" s="523"/>
    </row>
    <row r="83" spans="1:29" x14ac:dyDescent="0.3">
      <c r="A83" s="470"/>
      <c r="C83" s="470"/>
      <c r="D83" s="470"/>
      <c r="F83" s="523"/>
      <c r="G83" s="523"/>
      <c r="H83" s="523"/>
      <c r="I83" s="523"/>
      <c r="J83" s="523"/>
      <c r="K83" s="523"/>
      <c r="L83" s="523"/>
      <c r="M83" s="523"/>
      <c r="N83" s="523"/>
      <c r="O83" s="523"/>
      <c r="P83" s="523"/>
      <c r="Q83" s="523"/>
      <c r="R83" s="523"/>
      <c r="S83" s="523"/>
      <c r="T83" s="523"/>
      <c r="U83" s="523"/>
      <c r="V83" s="523"/>
      <c r="W83" s="523"/>
      <c r="X83" s="523"/>
      <c r="Y83" s="523"/>
      <c r="Z83" s="523"/>
      <c r="AA83" s="523"/>
      <c r="AB83" s="523"/>
      <c r="AC83" s="523"/>
    </row>
    <row r="84" spans="1:29" x14ac:dyDescent="0.3">
      <c r="A84" s="470"/>
      <c r="C84" s="470"/>
      <c r="D84" s="470"/>
      <c r="F84" s="523"/>
      <c r="G84" s="523"/>
      <c r="H84" s="523"/>
      <c r="I84" s="523"/>
      <c r="J84" s="523"/>
      <c r="K84" s="523"/>
      <c r="L84" s="523"/>
      <c r="M84" s="523"/>
      <c r="N84" s="523"/>
      <c r="O84" s="523"/>
      <c r="P84" s="523"/>
      <c r="Q84" s="523"/>
      <c r="R84" s="523"/>
      <c r="S84" s="523"/>
      <c r="T84" s="523"/>
      <c r="U84" s="523"/>
      <c r="V84" s="523"/>
      <c r="W84" s="523"/>
      <c r="X84" s="523"/>
      <c r="Y84" s="523"/>
      <c r="Z84" s="523"/>
      <c r="AA84" s="523"/>
      <c r="AB84" s="523"/>
      <c r="AC84" s="523"/>
    </row>
    <row r="85" spans="1:29" x14ac:dyDescent="0.3">
      <c r="A85" s="470"/>
      <c r="C85" s="470"/>
      <c r="D85" s="470"/>
      <c r="F85" s="523"/>
      <c r="G85" s="523"/>
      <c r="H85" s="523"/>
      <c r="I85" s="523"/>
      <c r="J85" s="523"/>
      <c r="K85" s="523"/>
      <c r="L85" s="523"/>
      <c r="M85" s="523"/>
      <c r="N85" s="523"/>
      <c r="O85" s="523"/>
      <c r="P85" s="523"/>
      <c r="Q85" s="523"/>
      <c r="R85" s="523"/>
      <c r="S85" s="523"/>
      <c r="T85" s="523"/>
      <c r="U85" s="523"/>
      <c r="V85" s="523"/>
      <c r="W85" s="523"/>
      <c r="X85" s="523"/>
      <c r="Y85" s="523"/>
      <c r="Z85" s="523"/>
      <c r="AA85" s="523"/>
      <c r="AB85" s="523"/>
      <c r="AC85" s="523"/>
    </row>
    <row r="86" spans="1:29" x14ac:dyDescent="0.3">
      <c r="A86" s="470"/>
      <c r="C86" s="470"/>
      <c r="D86" s="470"/>
      <c r="F86" s="523"/>
      <c r="G86" s="523"/>
      <c r="H86" s="523"/>
      <c r="I86" s="523"/>
      <c r="J86" s="523"/>
      <c r="K86" s="523"/>
      <c r="L86" s="523"/>
      <c r="M86" s="523"/>
      <c r="N86" s="523"/>
      <c r="O86" s="523"/>
      <c r="P86" s="523"/>
      <c r="Q86" s="523"/>
      <c r="R86" s="523"/>
      <c r="S86" s="523"/>
      <c r="T86" s="523"/>
      <c r="U86" s="523"/>
      <c r="V86" s="523"/>
      <c r="W86" s="523"/>
      <c r="X86" s="523"/>
      <c r="Y86" s="523"/>
      <c r="Z86" s="523"/>
      <c r="AA86" s="523"/>
      <c r="AB86" s="523"/>
      <c r="AC86" s="523"/>
    </row>
    <row r="87" spans="1:29" x14ac:dyDescent="0.3">
      <c r="A87" s="470"/>
      <c r="C87" s="470"/>
      <c r="D87" s="470"/>
      <c r="F87" s="523"/>
      <c r="G87" s="523"/>
      <c r="H87" s="523"/>
      <c r="I87" s="523"/>
      <c r="J87" s="523"/>
      <c r="K87" s="523"/>
      <c r="L87" s="523"/>
      <c r="M87" s="523"/>
      <c r="N87" s="523"/>
      <c r="O87" s="523"/>
      <c r="P87" s="523"/>
      <c r="Q87" s="523"/>
      <c r="R87" s="523"/>
      <c r="S87" s="523"/>
      <c r="T87" s="523"/>
      <c r="U87" s="523"/>
      <c r="V87" s="523"/>
      <c r="W87" s="523"/>
      <c r="X87" s="523"/>
      <c r="Y87" s="523"/>
      <c r="Z87" s="523"/>
      <c r="AA87" s="523"/>
      <c r="AB87" s="523"/>
      <c r="AC87" s="523"/>
    </row>
    <row r="88" spans="1:29" x14ac:dyDescent="0.3">
      <c r="A88" s="470"/>
      <c r="C88" s="470"/>
      <c r="D88" s="470"/>
      <c r="F88" s="523"/>
      <c r="G88" s="523"/>
      <c r="H88" s="523"/>
      <c r="I88" s="523"/>
      <c r="J88" s="523"/>
      <c r="K88" s="523"/>
      <c r="L88" s="523"/>
      <c r="M88" s="523"/>
      <c r="N88" s="523"/>
      <c r="O88" s="523"/>
      <c r="P88" s="523"/>
      <c r="Q88" s="523"/>
      <c r="R88" s="523"/>
      <c r="S88" s="523"/>
      <c r="T88" s="523"/>
      <c r="U88" s="523"/>
      <c r="V88" s="523"/>
      <c r="W88" s="523"/>
      <c r="X88" s="523"/>
      <c r="Y88" s="523"/>
      <c r="Z88" s="523"/>
      <c r="AA88" s="523"/>
      <c r="AB88" s="523"/>
      <c r="AC88" s="523"/>
    </row>
    <row r="89" spans="1:29" x14ac:dyDescent="0.3">
      <c r="A89" s="470"/>
      <c r="C89" s="470"/>
      <c r="D89" s="470"/>
      <c r="F89" s="523"/>
      <c r="G89" s="523"/>
      <c r="H89" s="523"/>
      <c r="I89" s="523"/>
      <c r="J89" s="523"/>
      <c r="K89" s="523"/>
      <c r="L89" s="523"/>
      <c r="M89" s="523"/>
      <c r="N89" s="523"/>
      <c r="O89" s="523"/>
      <c r="P89" s="523"/>
      <c r="Q89" s="523"/>
      <c r="R89" s="523"/>
      <c r="S89" s="523"/>
      <c r="T89" s="523"/>
      <c r="U89" s="523"/>
      <c r="V89" s="523"/>
      <c r="W89" s="523"/>
      <c r="X89" s="523"/>
      <c r="Y89" s="523"/>
      <c r="Z89" s="523"/>
      <c r="AA89" s="523"/>
      <c r="AB89" s="523"/>
      <c r="AC89" s="523"/>
    </row>
    <row r="90" spans="1:29" s="23" customFormat="1" ht="13.2" hidden="1" x14ac:dyDescent="0.25">
      <c r="A90" s="23" t="s">
        <v>81</v>
      </c>
      <c r="E90" s="24"/>
      <c r="F90" s="25"/>
      <c r="G90" s="26"/>
    </row>
    <row r="91" spans="1:29" hidden="1" x14ac:dyDescent="0.3"/>
    <row r="92" spans="1:29" hidden="1" x14ac:dyDescent="0.3"/>
    <row r="93" spans="1:29" hidden="1" x14ac:dyDescent="0.3">
      <c r="B93" s="951" t="s">
        <v>546</v>
      </c>
      <c r="C93" s="255" t="s">
        <v>577</v>
      </c>
      <c r="D93" s="951" t="s">
        <v>80</v>
      </c>
      <c r="E93" s="951" t="s">
        <v>548</v>
      </c>
      <c r="F93" s="256" cm="1">
        <f t="array" ref="F93:AC93">_xlfn._xlws.FILTER($F$124:$AC$189,($B$124:$B$189=$B$93)*($C$124:$C$189=C93)*(($D$124:$D$189=$D$93) + ($D$124:$D$189="All zones"))*($E$124:$E$189=$E$93),"No match")</f>
        <v>0.15</v>
      </c>
      <c r="G93" s="255">
        <v>0.15</v>
      </c>
      <c r="H93" s="255">
        <v>0.05</v>
      </c>
      <c r="I93" s="255">
        <v>0</v>
      </c>
      <c r="J93" s="255">
        <v>0</v>
      </c>
      <c r="K93" s="255">
        <v>0</v>
      </c>
      <c r="L93" s="255">
        <v>0</v>
      </c>
      <c r="M93" s="255">
        <v>0.05</v>
      </c>
      <c r="N93" s="255">
        <v>0.05</v>
      </c>
      <c r="O93" s="255">
        <v>0.05</v>
      </c>
      <c r="P93" s="255">
        <v>0.2</v>
      </c>
      <c r="Q93" s="255">
        <v>0.5</v>
      </c>
      <c r="R93" s="255">
        <v>0.8</v>
      </c>
      <c r="S93" s="255">
        <v>0.7</v>
      </c>
      <c r="T93" s="255">
        <v>0.4</v>
      </c>
      <c r="U93" s="255">
        <v>0.2</v>
      </c>
      <c r="V93" s="255">
        <v>0.25</v>
      </c>
      <c r="W93" s="255">
        <v>0.5</v>
      </c>
      <c r="X93" s="255">
        <v>0.8</v>
      </c>
      <c r="Y93" s="255">
        <v>0.8</v>
      </c>
      <c r="Z93" s="255">
        <v>0.8</v>
      </c>
      <c r="AA93" s="255">
        <v>0.5</v>
      </c>
      <c r="AB93" s="255">
        <v>0.35</v>
      </c>
      <c r="AC93" s="255">
        <v>0.2</v>
      </c>
    </row>
    <row r="94" spans="1:29" hidden="1" x14ac:dyDescent="0.3">
      <c r="B94" s="951"/>
      <c r="C94" s="257" t="s">
        <v>578</v>
      </c>
      <c r="D94" s="951"/>
      <c r="E94" s="951"/>
      <c r="F94" s="256" cm="1">
        <f t="array" ref="F94:AC94">_xlfn._xlws.FILTER($F$124:$AC$189,($B$124:$B$189=$B$93)*($C$124:$C$189=C94)*(($D$124:$D$189=$D$93) + ($D$124:$D$189="All zones"))*($E$124:$E$189=$E$93),"No match")</f>
        <v>0</v>
      </c>
      <c r="G94" s="257">
        <v>0</v>
      </c>
      <c r="H94" s="257">
        <v>0</v>
      </c>
      <c r="I94" s="257">
        <v>0</v>
      </c>
      <c r="J94" s="257">
        <v>0</v>
      </c>
      <c r="K94" s="257">
        <v>0</v>
      </c>
      <c r="L94" s="257">
        <v>0.25</v>
      </c>
      <c r="M94" s="257">
        <v>0.75</v>
      </c>
      <c r="N94" s="257">
        <v>0.9</v>
      </c>
      <c r="O94" s="257">
        <v>0.9</v>
      </c>
      <c r="P94" s="257">
        <v>0.9</v>
      </c>
      <c r="Q94" s="257">
        <v>0.9</v>
      </c>
      <c r="R94" s="257">
        <v>0.9</v>
      </c>
      <c r="S94" s="257">
        <v>0.9</v>
      </c>
      <c r="T94" s="257">
        <v>0.75</v>
      </c>
      <c r="U94" s="257">
        <v>0.25</v>
      </c>
      <c r="V94" s="257">
        <v>0.25</v>
      </c>
      <c r="W94" s="257">
        <v>0.75</v>
      </c>
      <c r="X94" s="257">
        <v>0.9</v>
      </c>
      <c r="Y94" s="257">
        <v>0.9</v>
      </c>
      <c r="Z94" s="257">
        <v>0.9</v>
      </c>
      <c r="AA94" s="257">
        <v>0.9</v>
      </c>
      <c r="AB94" s="257">
        <v>0.75</v>
      </c>
      <c r="AC94" s="257">
        <v>0.25</v>
      </c>
    </row>
    <row r="95" spans="1:29" hidden="1" x14ac:dyDescent="0.3">
      <c r="B95" s="951"/>
      <c r="C95" s="255" t="s">
        <v>579</v>
      </c>
      <c r="D95" s="951"/>
      <c r="E95" s="951"/>
      <c r="F95" s="256" t="str" cm="1">
        <f t="array" ref="F95">_xlfn._xlws.FILTER($F$124:$AC$189,($B$124:$B$189=$B$93)*($C$124:$C$189=C95)*(($D$124:$D$189=$D$93) + ($D$124:$D$189="All zones"))*($E$124:$E$189=$E$93),"No match")</f>
        <v>No match</v>
      </c>
      <c r="G95" s="255"/>
      <c r="H95" s="255"/>
      <c r="I95" s="255"/>
      <c r="J95" s="255"/>
      <c r="K95" s="255"/>
      <c r="L95" s="255"/>
      <c r="M95" s="255"/>
      <c r="N95" s="255"/>
      <c r="O95" s="255"/>
      <c r="P95" s="255"/>
      <c r="Q95" s="255"/>
      <c r="R95" s="255"/>
      <c r="S95" s="255"/>
      <c r="T95" s="255"/>
      <c r="U95" s="255"/>
      <c r="V95" s="255"/>
      <c r="W95" s="255"/>
      <c r="X95" s="255"/>
      <c r="Y95" s="255"/>
      <c r="Z95" s="255"/>
      <c r="AA95" s="255"/>
      <c r="AB95" s="255"/>
      <c r="AC95" s="255"/>
    </row>
    <row r="96" spans="1:29" hidden="1" x14ac:dyDescent="0.3">
      <c r="B96" s="951"/>
      <c r="C96" s="257" t="s">
        <v>580</v>
      </c>
      <c r="D96" s="951"/>
      <c r="E96" s="951"/>
      <c r="F96" s="256" cm="1">
        <f t="array" ref="F96:AC96">_xlfn._xlws.FILTER($F$124:$AC$189,($B$124:$B$189=$B$93)*($C$124:$C$189=C96)*(($D$124:$D$189=$D$93) + ($D$124:$D$189="All zones"))*($E$124:$E$189=$E$93),"No match")</f>
        <v>0.15</v>
      </c>
      <c r="G96" s="257">
        <v>0.15</v>
      </c>
      <c r="H96" s="257">
        <v>0.05</v>
      </c>
      <c r="I96" s="257">
        <v>0</v>
      </c>
      <c r="J96" s="257">
        <v>0</v>
      </c>
      <c r="K96" s="257">
        <v>0</v>
      </c>
      <c r="L96" s="257">
        <v>0</v>
      </c>
      <c r="M96" s="257">
        <v>0.05</v>
      </c>
      <c r="N96" s="257">
        <v>0.05</v>
      </c>
      <c r="O96" s="257">
        <v>0.05</v>
      </c>
      <c r="P96" s="257">
        <v>0.2</v>
      </c>
      <c r="Q96" s="257">
        <v>0.5</v>
      </c>
      <c r="R96" s="257">
        <v>0.8</v>
      </c>
      <c r="S96" s="257">
        <v>0.7</v>
      </c>
      <c r="T96" s="257">
        <v>0.4</v>
      </c>
      <c r="U96" s="257">
        <v>0.2</v>
      </c>
      <c r="V96" s="257">
        <v>0.25</v>
      </c>
      <c r="W96" s="257">
        <v>0.5</v>
      </c>
      <c r="X96" s="257">
        <v>0.8</v>
      </c>
      <c r="Y96" s="257">
        <v>0.8</v>
      </c>
      <c r="Z96" s="257">
        <v>0.8</v>
      </c>
      <c r="AA96" s="257">
        <v>0.5</v>
      </c>
      <c r="AB96" s="257">
        <v>0.35</v>
      </c>
      <c r="AC96" s="257">
        <v>0.2</v>
      </c>
    </row>
    <row r="97" spans="2:29" hidden="1" x14ac:dyDescent="0.3">
      <c r="B97" s="951"/>
      <c r="C97" s="255" t="s">
        <v>581</v>
      </c>
      <c r="D97" s="951"/>
      <c r="E97" s="951"/>
      <c r="F97" s="256" cm="1">
        <f t="array" ref="F97:AC97">_xlfn._xlws.FILTER($F$124:$AC$189,($B$124:$B$189=$B$93)*($C$124:$C$189=C97)*(($D$124:$D$189=$D$93) + ($D$124:$D$189="All zones"))*($E$124:$E$189=$E$93),"No match")</f>
        <v>0.05</v>
      </c>
      <c r="G97" s="257">
        <v>0</v>
      </c>
      <c r="H97" s="257">
        <v>0</v>
      </c>
      <c r="I97" s="257">
        <v>0</v>
      </c>
      <c r="J97" s="257">
        <v>0</v>
      </c>
      <c r="K97" s="257">
        <v>0.05</v>
      </c>
      <c r="L97" s="257">
        <v>0.1</v>
      </c>
      <c r="M97" s="257">
        <v>0.4</v>
      </c>
      <c r="N97" s="257">
        <v>0.4</v>
      </c>
      <c r="O97" s="257">
        <v>0.4</v>
      </c>
      <c r="P97" s="257">
        <v>0.2</v>
      </c>
      <c r="Q97" s="257">
        <v>0.5</v>
      </c>
      <c r="R97" s="257">
        <v>0.8</v>
      </c>
      <c r="S97" s="257">
        <v>0.7</v>
      </c>
      <c r="T97" s="257">
        <v>0.4</v>
      </c>
      <c r="U97" s="257">
        <v>0.2</v>
      </c>
      <c r="V97" s="257">
        <v>0.25</v>
      </c>
      <c r="W97" s="257">
        <v>0.5</v>
      </c>
      <c r="X97" s="257">
        <v>0.8</v>
      </c>
      <c r="Y97" s="257">
        <v>0.8</v>
      </c>
      <c r="Z97" s="257">
        <v>0.8</v>
      </c>
      <c r="AA97" s="257">
        <v>0.5</v>
      </c>
      <c r="AB97" s="257">
        <v>0.35</v>
      </c>
      <c r="AC97" s="257">
        <v>0.2</v>
      </c>
    </row>
    <row r="98" spans="2:29" hidden="1" x14ac:dyDescent="0.3">
      <c r="B98" s="951"/>
      <c r="C98" s="255" t="s">
        <v>582</v>
      </c>
      <c r="D98" s="951"/>
      <c r="E98" s="951"/>
      <c r="F98" s="256" cm="1">
        <f t="array" ref="F98:AC98">_xlfn._xlws.FILTER($F$124:$AC$189,($B$124:$B$189=$B$93)*($C$124:$C$189=C98)*(($D$124:$D$189=$D$93) + ($D$124:$D$189="All zones"))*($E$124:$E$189=$E$93),"No match")</f>
        <v>0.05</v>
      </c>
      <c r="G98" s="255">
        <v>0</v>
      </c>
      <c r="H98" s="255">
        <v>0</v>
      </c>
      <c r="I98" s="255">
        <v>0</v>
      </c>
      <c r="J98" s="255">
        <v>0</v>
      </c>
      <c r="K98" s="255">
        <v>0.05</v>
      </c>
      <c r="L98" s="255">
        <v>0.1</v>
      </c>
      <c r="M98" s="255">
        <v>0.4</v>
      </c>
      <c r="N98" s="255">
        <v>0.4</v>
      </c>
      <c r="O98" s="255">
        <v>0.4</v>
      </c>
      <c r="P98" s="255">
        <v>0.2</v>
      </c>
      <c r="Q98" s="255">
        <v>0.5</v>
      </c>
      <c r="R98" s="255">
        <v>0.8</v>
      </c>
      <c r="S98" s="255">
        <v>0.7</v>
      </c>
      <c r="T98" s="255">
        <v>0.4</v>
      </c>
      <c r="U98" s="255">
        <v>0.2</v>
      </c>
      <c r="V98" s="255">
        <v>0.25</v>
      </c>
      <c r="W98" s="255">
        <v>0.5</v>
      </c>
      <c r="X98" s="255">
        <v>0.8</v>
      </c>
      <c r="Y98" s="255">
        <v>0.8</v>
      </c>
      <c r="Z98" s="255">
        <v>0.8</v>
      </c>
      <c r="AA98" s="255">
        <v>0.5</v>
      </c>
      <c r="AB98" s="255">
        <v>0.35</v>
      </c>
      <c r="AC98" s="255">
        <v>0.2</v>
      </c>
    </row>
    <row r="99" spans="2:29" hidden="1" x14ac:dyDescent="0.3"/>
    <row r="100" spans="2:29" hidden="1" x14ac:dyDescent="0.3">
      <c r="B100" s="37" t="str">
        <f>B93&amp;" -  "&amp;D93&amp; " - "&amp;E93</f>
        <v>Occupancy -  Kitchen - Weekday</v>
      </c>
    </row>
    <row r="101" spans="2:29" hidden="1" x14ac:dyDescent="0.3"/>
    <row r="102" spans="2:29" hidden="1" x14ac:dyDescent="0.3"/>
    <row r="103" spans="2:29" hidden="1" x14ac:dyDescent="0.3"/>
    <row r="104" spans="2:29" hidden="1" x14ac:dyDescent="0.3"/>
    <row r="105" spans="2:29" hidden="1" x14ac:dyDescent="0.3"/>
    <row r="106" spans="2:29" hidden="1" x14ac:dyDescent="0.3"/>
    <row r="107" spans="2:29" hidden="1" x14ac:dyDescent="0.3"/>
    <row r="108" spans="2:29" hidden="1" x14ac:dyDescent="0.3"/>
    <row r="109" spans="2:29" hidden="1" x14ac:dyDescent="0.3"/>
    <row r="110" spans="2:29" hidden="1" x14ac:dyDescent="0.3"/>
    <row r="111" spans="2:29" hidden="1" x14ac:dyDescent="0.3"/>
    <row r="112" spans="2:29" hidden="1" x14ac:dyDescent="0.3"/>
    <row r="113" spans="2:33" hidden="1" x14ac:dyDescent="0.3"/>
    <row r="114" spans="2:33" hidden="1" x14ac:dyDescent="0.3"/>
    <row r="115" spans="2:33" hidden="1" x14ac:dyDescent="0.3"/>
    <row r="116" spans="2:33" hidden="1" x14ac:dyDescent="0.3"/>
    <row r="117" spans="2:33" hidden="1" x14ac:dyDescent="0.3"/>
    <row r="118" spans="2:33" hidden="1" x14ac:dyDescent="0.3"/>
    <row r="119" spans="2:33" hidden="1" x14ac:dyDescent="0.3"/>
    <row r="120" spans="2:33" hidden="1" x14ac:dyDescent="0.3"/>
    <row r="121" spans="2:33" hidden="1" x14ac:dyDescent="0.3"/>
    <row r="122" spans="2:33" hidden="1" x14ac:dyDescent="0.3"/>
    <row r="123" spans="2:33" ht="15.6" hidden="1" x14ac:dyDescent="0.3">
      <c r="B123" s="122" t="s">
        <v>583</v>
      </c>
      <c r="S123" s="250" t="s">
        <v>584</v>
      </c>
      <c r="T123" s="251"/>
      <c r="U123" s="251"/>
      <c r="V123" s="251"/>
      <c r="W123" s="251"/>
      <c r="X123" s="251"/>
      <c r="Y123" s="251"/>
      <c r="Z123" s="251"/>
      <c r="AA123" s="251"/>
      <c r="AB123" s="251"/>
      <c r="AC123" s="251"/>
      <c r="AD123" s="251"/>
      <c r="AE123" s="251"/>
      <c r="AF123" s="251"/>
      <c r="AG123" s="251"/>
    </row>
    <row r="124" spans="2:33" ht="15.6" hidden="1" x14ac:dyDescent="0.3">
      <c r="B124" s="268" t="s">
        <v>585</v>
      </c>
      <c r="C124" s="269" t="s">
        <v>582</v>
      </c>
      <c r="D124" s="270" t="s">
        <v>586</v>
      </c>
      <c r="E124" s="300" t="s">
        <v>548</v>
      </c>
      <c r="F124" s="344">
        <f>F10</f>
        <v>0.15</v>
      </c>
      <c r="G124" s="272">
        <f t="shared" ref="G124:AC126" si="2">G10</f>
        <v>0.15</v>
      </c>
      <c r="H124" s="272">
        <f t="shared" si="2"/>
        <v>0.15</v>
      </c>
      <c r="I124" s="272">
        <f t="shared" si="2"/>
        <v>0.15</v>
      </c>
      <c r="J124" s="272">
        <f t="shared" si="2"/>
        <v>0.15</v>
      </c>
      <c r="K124" s="272">
        <f t="shared" si="2"/>
        <v>0.2</v>
      </c>
      <c r="L124" s="272">
        <f t="shared" si="2"/>
        <v>0.3</v>
      </c>
      <c r="M124" s="272">
        <f t="shared" si="2"/>
        <v>0.72</v>
      </c>
      <c r="N124" s="272">
        <f t="shared" si="2"/>
        <v>0.78</v>
      </c>
      <c r="O124" s="272">
        <f t="shared" si="2"/>
        <v>0.8</v>
      </c>
      <c r="P124" s="272">
        <f t="shared" si="2"/>
        <v>0.9</v>
      </c>
      <c r="Q124" s="272">
        <f t="shared" si="2"/>
        <v>0.9</v>
      </c>
      <c r="R124" s="272">
        <f t="shared" si="2"/>
        <v>0.9</v>
      </c>
      <c r="S124" s="272">
        <f t="shared" si="2"/>
        <v>0.88</v>
      </c>
      <c r="T124" s="272">
        <f t="shared" si="2"/>
        <v>0.77</v>
      </c>
      <c r="U124" s="272">
        <f t="shared" si="2"/>
        <v>0.7</v>
      </c>
      <c r="V124" s="272">
        <f t="shared" si="2"/>
        <v>0.72</v>
      </c>
      <c r="W124" s="272">
        <f t="shared" si="2"/>
        <v>0.8</v>
      </c>
      <c r="X124" s="272">
        <f t="shared" si="2"/>
        <v>0.9</v>
      </c>
      <c r="Y124" s="272">
        <f t="shared" si="2"/>
        <v>0.9</v>
      </c>
      <c r="Z124" s="272">
        <f t="shared" si="2"/>
        <v>0.9</v>
      </c>
      <c r="AA124" s="272">
        <f t="shared" si="2"/>
        <v>0.8</v>
      </c>
      <c r="AB124" s="272">
        <f t="shared" si="2"/>
        <v>0.62</v>
      </c>
      <c r="AC124" s="273">
        <f t="shared" si="2"/>
        <v>0.3</v>
      </c>
      <c r="AD124" s="251"/>
      <c r="AE124" s="251"/>
      <c r="AF124" s="251"/>
      <c r="AG124" s="251"/>
    </row>
    <row r="125" spans="2:33" ht="15.6" hidden="1" x14ac:dyDescent="0.3">
      <c r="B125" s="274" t="s">
        <v>585</v>
      </c>
      <c r="C125" s="260" t="s">
        <v>582</v>
      </c>
      <c r="D125" s="261" t="s">
        <v>586</v>
      </c>
      <c r="E125" s="301" t="s">
        <v>549</v>
      </c>
      <c r="F125" s="345">
        <f t="shared" ref="F125:U126" si="3">F11</f>
        <v>0.15</v>
      </c>
      <c r="G125" s="262">
        <f t="shared" si="3"/>
        <v>0.15</v>
      </c>
      <c r="H125" s="262">
        <f t="shared" si="3"/>
        <v>0.15</v>
      </c>
      <c r="I125" s="262">
        <f t="shared" si="3"/>
        <v>0.15</v>
      </c>
      <c r="J125" s="262">
        <f t="shared" si="3"/>
        <v>0.15</v>
      </c>
      <c r="K125" s="262">
        <f t="shared" si="3"/>
        <v>0.2</v>
      </c>
      <c r="L125" s="262">
        <f t="shared" si="3"/>
        <v>0.3</v>
      </c>
      <c r="M125" s="262">
        <f t="shared" si="3"/>
        <v>0.72</v>
      </c>
      <c r="N125" s="262">
        <f t="shared" si="3"/>
        <v>0.78</v>
      </c>
      <c r="O125" s="262">
        <f t="shared" si="3"/>
        <v>0.8</v>
      </c>
      <c r="P125" s="262">
        <f t="shared" si="3"/>
        <v>0.9</v>
      </c>
      <c r="Q125" s="262">
        <f t="shared" si="3"/>
        <v>0.9</v>
      </c>
      <c r="R125" s="262">
        <f t="shared" si="3"/>
        <v>0.9</v>
      </c>
      <c r="S125" s="262">
        <f t="shared" si="3"/>
        <v>0.88</v>
      </c>
      <c r="T125" s="262">
        <f t="shared" si="3"/>
        <v>0.77</v>
      </c>
      <c r="U125" s="262">
        <f t="shared" si="3"/>
        <v>0.7</v>
      </c>
      <c r="V125" s="262">
        <f t="shared" si="2"/>
        <v>0.72</v>
      </c>
      <c r="W125" s="262">
        <f t="shared" si="2"/>
        <v>0.8</v>
      </c>
      <c r="X125" s="262">
        <f t="shared" si="2"/>
        <v>0.9</v>
      </c>
      <c r="Y125" s="262">
        <f t="shared" si="2"/>
        <v>0.9</v>
      </c>
      <c r="Z125" s="262">
        <f t="shared" si="2"/>
        <v>0.9</v>
      </c>
      <c r="AA125" s="262">
        <f t="shared" si="2"/>
        <v>0.8</v>
      </c>
      <c r="AB125" s="262">
        <f t="shared" si="2"/>
        <v>0.62</v>
      </c>
      <c r="AC125" s="275">
        <f t="shared" si="2"/>
        <v>0.3</v>
      </c>
      <c r="AD125" s="251"/>
      <c r="AE125" s="251"/>
      <c r="AF125" s="251"/>
      <c r="AG125" s="251"/>
    </row>
    <row r="126" spans="2:33" ht="15.6" hidden="1" x14ac:dyDescent="0.3">
      <c r="B126" s="276" t="s">
        <v>585</v>
      </c>
      <c r="C126" s="277" t="s">
        <v>582</v>
      </c>
      <c r="D126" s="278" t="s">
        <v>586</v>
      </c>
      <c r="E126" s="302" t="s">
        <v>550</v>
      </c>
      <c r="F126" s="346">
        <f t="shared" si="3"/>
        <v>0.2</v>
      </c>
      <c r="G126" s="280">
        <f t="shared" si="2"/>
        <v>0.15</v>
      </c>
      <c r="H126" s="280">
        <f t="shared" si="2"/>
        <v>0.15</v>
      </c>
      <c r="I126" s="280">
        <f t="shared" si="2"/>
        <v>0.15</v>
      </c>
      <c r="J126" s="280">
        <f t="shared" si="2"/>
        <v>0.15</v>
      </c>
      <c r="K126" s="280">
        <f t="shared" si="2"/>
        <v>0.15</v>
      </c>
      <c r="L126" s="280">
        <f t="shared" si="2"/>
        <v>0.3</v>
      </c>
      <c r="M126" s="280">
        <f t="shared" si="2"/>
        <v>0.72</v>
      </c>
      <c r="N126" s="280">
        <f t="shared" si="2"/>
        <v>0.78</v>
      </c>
      <c r="O126" s="280">
        <f t="shared" si="2"/>
        <v>0.8</v>
      </c>
      <c r="P126" s="280">
        <f t="shared" si="2"/>
        <v>0.9</v>
      </c>
      <c r="Q126" s="280">
        <f t="shared" si="2"/>
        <v>0.9</v>
      </c>
      <c r="R126" s="280">
        <f t="shared" si="2"/>
        <v>0.9</v>
      </c>
      <c r="S126" s="280">
        <f t="shared" si="2"/>
        <v>0.88</v>
      </c>
      <c r="T126" s="280">
        <f t="shared" si="2"/>
        <v>0.77</v>
      </c>
      <c r="U126" s="280">
        <f t="shared" si="2"/>
        <v>0.7</v>
      </c>
      <c r="V126" s="280">
        <f t="shared" si="2"/>
        <v>0.72</v>
      </c>
      <c r="W126" s="280">
        <f t="shared" si="2"/>
        <v>0.8</v>
      </c>
      <c r="X126" s="280">
        <f t="shared" si="2"/>
        <v>0.9</v>
      </c>
      <c r="Y126" s="280">
        <f t="shared" si="2"/>
        <v>0.9</v>
      </c>
      <c r="Z126" s="280">
        <f t="shared" si="2"/>
        <v>0.9</v>
      </c>
      <c r="AA126" s="280">
        <f t="shared" si="2"/>
        <v>0.8</v>
      </c>
      <c r="AB126" s="280">
        <f t="shared" si="2"/>
        <v>0.62</v>
      </c>
      <c r="AC126" s="281">
        <f t="shared" si="2"/>
        <v>0.3</v>
      </c>
      <c r="AD126" s="251"/>
      <c r="AE126" s="251"/>
      <c r="AF126" s="251"/>
      <c r="AG126" s="251"/>
    </row>
    <row r="127" spans="2:33" ht="15.6" hidden="1" x14ac:dyDescent="0.3">
      <c r="B127" s="268" t="s">
        <v>546</v>
      </c>
      <c r="C127" s="269" t="s">
        <v>582</v>
      </c>
      <c r="D127" s="270" t="s">
        <v>586</v>
      </c>
      <c r="E127" s="300" t="s">
        <v>548</v>
      </c>
      <c r="F127" s="344">
        <f>F4</f>
        <v>0.05</v>
      </c>
      <c r="G127" s="272">
        <f t="shared" ref="G127:AC129" si="4">G4</f>
        <v>0</v>
      </c>
      <c r="H127" s="272">
        <f t="shared" si="4"/>
        <v>0</v>
      </c>
      <c r="I127" s="272">
        <f t="shared" si="4"/>
        <v>0</v>
      </c>
      <c r="J127" s="272">
        <f t="shared" si="4"/>
        <v>0</v>
      </c>
      <c r="K127" s="272">
        <f t="shared" si="4"/>
        <v>0.05</v>
      </c>
      <c r="L127" s="272">
        <f t="shared" si="4"/>
        <v>0.1</v>
      </c>
      <c r="M127" s="272">
        <f t="shared" si="4"/>
        <v>0.4</v>
      </c>
      <c r="N127" s="272">
        <f t="shared" si="4"/>
        <v>0.4</v>
      </c>
      <c r="O127" s="272">
        <f t="shared" si="4"/>
        <v>0.4</v>
      </c>
      <c r="P127" s="272">
        <f t="shared" si="4"/>
        <v>0.2</v>
      </c>
      <c r="Q127" s="272">
        <f t="shared" si="4"/>
        <v>0.5</v>
      </c>
      <c r="R127" s="272">
        <f t="shared" si="4"/>
        <v>0.8</v>
      </c>
      <c r="S127" s="272">
        <f t="shared" si="4"/>
        <v>0.7</v>
      </c>
      <c r="T127" s="272">
        <f t="shared" si="4"/>
        <v>0.4</v>
      </c>
      <c r="U127" s="272">
        <f t="shared" si="4"/>
        <v>0.2</v>
      </c>
      <c r="V127" s="272">
        <f t="shared" si="4"/>
        <v>0.25</v>
      </c>
      <c r="W127" s="272">
        <f t="shared" si="4"/>
        <v>0.5</v>
      </c>
      <c r="X127" s="272">
        <f t="shared" si="4"/>
        <v>0.8</v>
      </c>
      <c r="Y127" s="272">
        <f t="shared" si="4"/>
        <v>0.8</v>
      </c>
      <c r="Z127" s="272">
        <f t="shared" si="4"/>
        <v>0.8</v>
      </c>
      <c r="AA127" s="272">
        <f t="shared" si="4"/>
        <v>0.5</v>
      </c>
      <c r="AB127" s="272">
        <f t="shared" si="4"/>
        <v>0.35</v>
      </c>
      <c r="AC127" s="273">
        <f t="shared" si="4"/>
        <v>0.2</v>
      </c>
      <c r="AD127" s="251"/>
      <c r="AE127" s="251"/>
      <c r="AF127" s="251"/>
      <c r="AG127" s="251"/>
    </row>
    <row r="128" spans="2:33" ht="15.6" hidden="1" x14ac:dyDescent="0.3">
      <c r="B128" s="274" t="s">
        <v>546</v>
      </c>
      <c r="C128" s="260" t="s">
        <v>582</v>
      </c>
      <c r="D128" s="261" t="s">
        <v>586</v>
      </c>
      <c r="E128" s="301" t="s">
        <v>549</v>
      </c>
      <c r="F128" s="345">
        <f t="shared" ref="F128:U129" si="5">F5</f>
        <v>0.05</v>
      </c>
      <c r="G128" s="262">
        <f t="shared" si="5"/>
        <v>0</v>
      </c>
      <c r="H128" s="262">
        <f t="shared" si="5"/>
        <v>0</v>
      </c>
      <c r="I128" s="262">
        <f t="shared" si="5"/>
        <v>0</v>
      </c>
      <c r="J128" s="262">
        <f t="shared" si="5"/>
        <v>0</v>
      </c>
      <c r="K128" s="262">
        <f t="shared" si="5"/>
        <v>0</v>
      </c>
      <c r="L128" s="262">
        <f t="shared" si="5"/>
        <v>0.05</v>
      </c>
      <c r="M128" s="262">
        <f t="shared" si="5"/>
        <v>0.5</v>
      </c>
      <c r="N128" s="262">
        <f t="shared" si="5"/>
        <v>0.5</v>
      </c>
      <c r="O128" s="262">
        <f t="shared" si="5"/>
        <v>0.4</v>
      </c>
      <c r="P128" s="262">
        <f t="shared" si="5"/>
        <v>0.2</v>
      </c>
      <c r="Q128" s="262">
        <f t="shared" si="5"/>
        <v>0.45</v>
      </c>
      <c r="R128" s="262">
        <f t="shared" si="5"/>
        <v>0.5</v>
      </c>
      <c r="S128" s="262">
        <f t="shared" si="5"/>
        <v>0.5</v>
      </c>
      <c r="T128" s="262">
        <f t="shared" si="5"/>
        <v>0.35</v>
      </c>
      <c r="U128" s="262">
        <f t="shared" si="5"/>
        <v>0.3</v>
      </c>
      <c r="V128" s="262">
        <f t="shared" si="4"/>
        <v>0.3</v>
      </c>
      <c r="W128" s="262">
        <f t="shared" si="4"/>
        <v>0.3</v>
      </c>
      <c r="X128" s="262">
        <f t="shared" si="4"/>
        <v>0.7</v>
      </c>
      <c r="Y128" s="262">
        <f t="shared" si="4"/>
        <v>0.9</v>
      </c>
      <c r="Z128" s="262">
        <f t="shared" si="4"/>
        <v>0.7</v>
      </c>
      <c r="AA128" s="262">
        <f t="shared" si="4"/>
        <v>0.65</v>
      </c>
      <c r="AB128" s="262">
        <f t="shared" si="4"/>
        <v>0.55000000000000004</v>
      </c>
      <c r="AC128" s="275">
        <f t="shared" si="4"/>
        <v>0.35</v>
      </c>
      <c r="AD128" s="251"/>
      <c r="AE128" s="251"/>
      <c r="AF128" s="251"/>
      <c r="AG128" s="251"/>
    </row>
    <row r="129" spans="2:33" ht="15.6" hidden="1" x14ac:dyDescent="0.3">
      <c r="B129" s="276" t="s">
        <v>546</v>
      </c>
      <c r="C129" s="277" t="s">
        <v>582</v>
      </c>
      <c r="D129" s="278" t="s">
        <v>586</v>
      </c>
      <c r="E129" s="302" t="s">
        <v>550</v>
      </c>
      <c r="F129" s="345">
        <f t="shared" si="5"/>
        <v>0.05</v>
      </c>
      <c r="G129" s="262">
        <f t="shared" si="4"/>
        <v>0</v>
      </c>
      <c r="H129" s="262">
        <f t="shared" si="4"/>
        <v>0</v>
      </c>
      <c r="I129" s="262">
        <f t="shared" si="4"/>
        <v>0</v>
      </c>
      <c r="J129" s="262">
        <f t="shared" si="4"/>
        <v>0</v>
      </c>
      <c r="K129" s="262">
        <f t="shared" si="4"/>
        <v>0</v>
      </c>
      <c r="L129" s="262">
        <f t="shared" si="4"/>
        <v>0.05</v>
      </c>
      <c r="M129" s="262">
        <f t="shared" si="4"/>
        <v>0.5</v>
      </c>
      <c r="N129" s="262">
        <f t="shared" si="4"/>
        <v>0.5</v>
      </c>
      <c r="O129" s="262">
        <f t="shared" si="4"/>
        <v>0.2</v>
      </c>
      <c r="P129" s="262">
        <f t="shared" si="4"/>
        <v>0.2</v>
      </c>
      <c r="Q129" s="262">
        <f t="shared" si="4"/>
        <v>0.3</v>
      </c>
      <c r="R129" s="262">
        <f t="shared" si="4"/>
        <v>0.5</v>
      </c>
      <c r="S129" s="262">
        <f t="shared" si="4"/>
        <v>0.5</v>
      </c>
      <c r="T129" s="262">
        <f t="shared" si="4"/>
        <v>0.3</v>
      </c>
      <c r="U129" s="262">
        <f t="shared" si="4"/>
        <v>0.2</v>
      </c>
      <c r="V129" s="262">
        <f t="shared" si="4"/>
        <v>0.25</v>
      </c>
      <c r="W129" s="262">
        <f t="shared" si="4"/>
        <v>0.35</v>
      </c>
      <c r="X129" s="262">
        <f t="shared" si="4"/>
        <v>0.55000000000000004</v>
      </c>
      <c r="Y129" s="262">
        <f t="shared" si="4"/>
        <v>0.65</v>
      </c>
      <c r="Z129" s="262">
        <f t="shared" si="4"/>
        <v>0.7</v>
      </c>
      <c r="AA129" s="262">
        <f t="shared" si="4"/>
        <v>0.35</v>
      </c>
      <c r="AB129" s="262">
        <f t="shared" si="4"/>
        <v>0.2</v>
      </c>
      <c r="AC129" s="275">
        <f t="shared" si="4"/>
        <v>0.2</v>
      </c>
      <c r="AD129" s="251"/>
      <c r="AE129" s="251"/>
      <c r="AF129" s="251"/>
      <c r="AG129" s="251"/>
    </row>
    <row r="130" spans="2:33" ht="15.6" hidden="1" x14ac:dyDescent="0.3">
      <c r="B130" s="268" t="s">
        <v>587</v>
      </c>
      <c r="C130" s="269" t="s">
        <v>582</v>
      </c>
      <c r="D130" s="269" t="s">
        <v>586</v>
      </c>
      <c r="E130" s="300" t="s">
        <v>548</v>
      </c>
      <c r="F130" s="344">
        <f>F7</f>
        <v>0.15</v>
      </c>
      <c r="G130" s="272">
        <f t="shared" ref="G130:AC132" si="6">G7</f>
        <v>0.15</v>
      </c>
      <c r="H130" s="272">
        <f t="shared" si="6"/>
        <v>0.15</v>
      </c>
      <c r="I130" s="272">
        <f t="shared" si="6"/>
        <v>0.15</v>
      </c>
      <c r="J130" s="272">
        <f t="shared" si="6"/>
        <v>0.15</v>
      </c>
      <c r="K130" s="272">
        <f t="shared" si="6"/>
        <v>0.2</v>
      </c>
      <c r="L130" s="272">
        <f t="shared" si="6"/>
        <v>0.3</v>
      </c>
      <c r="M130" s="272">
        <f t="shared" si="6"/>
        <v>0.66999999999999993</v>
      </c>
      <c r="N130" s="272">
        <f t="shared" si="6"/>
        <v>0.73</v>
      </c>
      <c r="O130" s="272">
        <f t="shared" si="6"/>
        <v>0.75</v>
      </c>
      <c r="P130" s="272">
        <f t="shared" si="6"/>
        <v>0.85</v>
      </c>
      <c r="Q130" s="272">
        <f t="shared" si="6"/>
        <v>0.85</v>
      </c>
      <c r="R130" s="272">
        <f t="shared" si="6"/>
        <v>0.85</v>
      </c>
      <c r="S130" s="272">
        <f t="shared" si="6"/>
        <v>0.83</v>
      </c>
      <c r="T130" s="272">
        <f t="shared" si="6"/>
        <v>0.72</v>
      </c>
      <c r="U130" s="272">
        <f t="shared" si="6"/>
        <v>0.64999999999999991</v>
      </c>
      <c r="V130" s="272">
        <f t="shared" si="6"/>
        <v>0.66999999999999993</v>
      </c>
      <c r="W130" s="272">
        <f t="shared" si="6"/>
        <v>0.75</v>
      </c>
      <c r="X130" s="272">
        <f t="shared" si="6"/>
        <v>0.85</v>
      </c>
      <c r="Y130" s="272">
        <f t="shared" si="6"/>
        <v>0.85</v>
      </c>
      <c r="Z130" s="272">
        <f t="shared" si="6"/>
        <v>0.85</v>
      </c>
      <c r="AA130" s="272">
        <f t="shared" si="6"/>
        <v>0.75</v>
      </c>
      <c r="AB130" s="272">
        <f t="shared" si="6"/>
        <v>0.56999999999999995</v>
      </c>
      <c r="AC130" s="273">
        <f t="shared" si="6"/>
        <v>0.3</v>
      </c>
      <c r="AD130" s="251"/>
      <c r="AE130" s="251"/>
      <c r="AF130" s="251"/>
      <c r="AG130" s="251"/>
    </row>
    <row r="131" spans="2:33" ht="15.6" hidden="1" x14ac:dyDescent="0.3">
      <c r="B131" s="274" t="s">
        <v>587</v>
      </c>
      <c r="C131" s="260" t="s">
        <v>582</v>
      </c>
      <c r="D131" s="260" t="s">
        <v>586</v>
      </c>
      <c r="E131" s="301" t="s">
        <v>549</v>
      </c>
      <c r="F131" s="345">
        <f t="shared" ref="F131:U132" si="7">F8</f>
        <v>0.15</v>
      </c>
      <c r="G131" s="262">
        <f t="shared" si="7"/>
        <v>0.15</v>
      </c>
      <c r="H131" s="262">
        <f t="shared" si="7"/>
        <v>0.15</v>
      </c>
      <c r="I131" s="262">
        <f t="shared" si="7"/>
        <v>0.15</v>
      </c>
      <c r="J131" s="262">
        <f t="shared" si="7"/>
        <v>0.15</v>
      </c>
      <c r="K131" s="262">
        <f t="shared" si="7"/>
        <v>0.2</v>
      </c>
      <c r="L131" s="262">
        <f t="shared" si="7"/>
        <v>0.3</v>
      </c>
      <c r="M131" s="262">
        <f t="shared" si="7"/>
        <v>0.66999999999999993</v>
      </c>
      <c r="N131" s="262">
        <f t="shared" si="7"/>
        <v>0.73</v>
      </c>
      <c r="O131" s="262">
        <f t="shared" si="7"/>
        <v>0.75</v>
      </c>
      <c r="P131" s="262">
        <f t="shared" si="7"/>
        <v>0.85</v>
      </c>
      <c r="Q131" s="262">
        <f t="shared" si="7"/>
        <v>0.85</v>
      </c>
      <c r="R131" s="262">
        <f t="shared" si="7"/>
        <v>0.85</v>
      </c>
      <c r="S131" s="262">
        <f t="shared" si="7"/>
        <v>0.83</v>
      </c>
      <c r="T131" s="262">
        <f t="shared" si="7"/>
        <v>0.72</v>
      </c>
      <c r="U131" s="262">
        <f t="shared" si="7"/>
        <v>0.64999999999999991</v>
      </c>
      <c r="V131" s="262">
        <f t="shared" si="6"/>
        <v>0.66999999999999993</v>
      </c>
      <c r="W131" s="262">
        <f t="shared" si="6"/>
        <v>0.75</v>
      </c>
      <c r="X131" s="262">
        <f t="shared" si="6"/>
        <v>0.85</v>
      </c>
      <c r="Y131" s="262">
        <f t="shared" si="6"/>
        <v>0.85</v>
      </c>
      <c r="Z131" s="262">
        <f t="shared" si="6"/>
        <v>0.85</v>
      </c>
      <c r="AA131" s="262">
        <f t="shared" si="6"/>
        <v>0.75</v>
      </c>
      <c r="AB131" s="262">
        <f t="shared" si="6"/>
        <v>0.56999999999999995</v>
      </c>
      <c r="AC131" s="275">
        <f t="shared" si="6"/>
        <v>0.3</v>
      </c>
      <c r="AD131" s="251"/>
      <c r="AE131" s="251"/>
      <c r="AF131" s="251"/>
      <c r="AG131" s="251"/>
    </row>
    <row r="132" spans="2:33" ht="15.6" hidden="1" x14ac:dyDescent="0.3">
      <c r="B132" s="276" t="s">
        <v>587</v>
      </c>
      <c r="C132" s="277" t="s">
        <v>582</v>
      </c>
      <c r="D132" s="277" t="s">
        <v>586</v>
      </c>
      <c r="E132" s="302" t="s">
        <v>550</v>
      </c>
      <c r="F132" s="346">
        <f t="shared" si="7"/>
        <v>0.2</v>
      </c>
      <c r="G132" s="280">
        <f t="shared" si="6"/>
        <v>0.15</v>
      </c>
      <c r="H132" s="280">
        <f t="shared" si="6"/>
        <v>0.15</v>
      </c>
      <c r="I132" s="280">
        <f t="shared" si="6"/>
        <v>0.15</v>
      </c>
      <c r="J132" s="280">
        <f t="shared" si="6"/>
        <v>0.15</v>
      </c>
      <c r="K132" s="280">
        <f t="shared" si="6"/>
        <v>0.15</v>
      </c>
      <c r="L132" s="280">
        <f t="shared" si="6"/>
        <v>0.3</v>
      </c>
      <c r="M132" s="280">
        <f t="shared" si="6"/>
        <v>0.66999999999999993</v>
      </c>
      <c r="N132" s="280">
        <f t="shared" si="6"/>
        <v>0.73</v>
      </c>
      <c r="O132" s="280">
        <f t="shared" si="6"/>
        <v>0.75</v>
      </c>
      <c r="P132" s="280">
        <f t="shared" si="6"/>
        <v>0.85</v>
      </c>
      <c r="Q132" s="280">
        <f t="shared" si="6"/>
        <v>0.85</v>
      </c>
      <c r="R132" s="280">
        <f t="shared" si="6"/>
        <v>0.85</v>
      </c>
      <c r="S132" s="280">
        <f t="shared" si="6"/>
        <v>0.83</v>
      </c>
      <c r="T132" s="280">
        <f t="shared" si="6"/>
        <v>0.72</v>
      </c>
      <c r="U132" s="280">
        <f t="shared" si="6"/>
        <v>0.64999999999999991</v>
      </c>
      <c r="V132" s="280">
        <f t="shared" si="6"/>
        <v>0.66999999999999993</v>
      </c>
      <c r="W132" s="280">
        <f t="shared" si="6"/>
        <v>0.75</v>
      </c>
      <c r="X132" s="280">
        <f t="shared" si="6"/>
        <v>0.85</v>
      </c>
      <c r="Y132" s="280">
        <f t="shared" si="6"/>
        <v>0.85</v>
      </c>
      <c r="Z132" s="280">
        <f t="shared" si="6"/>
        <v>0.85</v>
      </c>
      <c r="AA132" s="280">
        <f t="shared" si="6"/>
        <v>0.75</v>
      </c>
      <c r="AB132" s="280">
        <f t="shared" si="6"/>
        <v>0.56999999999999995</v>
      </c>
      <c r="AC132" s="281">
        <f t="shared" si="6"/>
        <v>0.3</v>
      </c>
      <c r="AD132" s="251"/>
      <c r="AE132" s="251"/>
      <c r="AF132" s="251"/>
      <c r="AG132" s="251"/>
    </row>
    <row r="133" spans="2:33" hidden="1" x14ac:dyDescent="0.3">
      <c r="B133" s="268" t="s">
        <v>585</v>
      </c>
      <c r="C133" s="269" t="s">
        <v>577</v>
      </c>
      <c r="D133" s="270" t="s">
        <v>586</v>
      </c>
      <c r="E133" s="300" t="s">
        <v>548</v>
      </c>
      <c r="F133" s="272">
        <v>0.15</v>
      </c>
      <c r="G133" s="272">
        <v>0.15</v>
      </c>
      <c r="H133" s="272">
        <v>0.15</v>
      </c>
      <c r="I133" s="272">
        <v>0.15</v>
      </c>
      <c r="J133" s="272">
        <v>0.15</v>
      </c>
      <c r="K133" s="272">
        <v>0.2</v>
      </c>
      <c r="L133" s="272">
        <v>0.4</v>
      </c>
      <c r="M133" s="272">
        <v>0.4</v>
      </c>
      <c r="N133" s="272">
        <v>0.6</v>
      </c>
      <c r="O133" s="272">
        <v>0.6</v>
      </c>
      <c r="P133" s="272">
        <v>0.9</v>
      </c>
      <c r="Q133" s="272">
        <v>0.9</v>
      </c>
      <c r="R133" s="272">
        <v>0.9</v>
      </c>
      <c r="S133" s="272">
        <v>0.9</v>
      </c>
      <c r="T133" s="272">
        <v>0.9</v>
      </c>
      <c r="U133" s="272">
        <v>0.9</v>
      </c>
      <c r="V133" s="272">
        <v>0.9</v>
      </c>
      <c r="W133" s="272">
        <v>0.9</v>
      </c>
      <c r="X133" s="272">
        <v>0.9</v>
      </c>
      <c r="Y133" s="272">
        <v>0.9</v>
      </c>
      <c r="Z133" s="272">
        <v>0.9</v>
      </c>
      <c r="AA133" s="272">
        <v>0.9</v>
      </c>
      <c r="AB133" s="272">
        <v>0.5</v>
      </c>
      <c r="AC133" s="273">
        <v>0.3</v>
      </c>
    </row>
    <row r="134" spans="2:33" hidden="1" x14ac:dyDescent="0.3">
      <c r="B134" s="274" t="s">
        <v>585</v>
      </c>
      <c r="C134" s="260" t="s">
        <v>577</v>
      </c>
      <c r="D134" s="261" t="s">
        <v>586</v>
      </c>
      <c r="E134" s="301" t="s">
        <v>549</v>
      </c>
      <c r="F134" s="262">
        <v>0.2</v>
      </c>
      <c r="G134" s="262">
        <v>0.15</v>
      </c>
      <c r="H134" s="262">
        <v>0.15</v>
      </c>
      <c r="I134" s="262">
        <v>0.15</v>
      </c>
      <c r="J134" s="262">
        <v>0.15</v>
      </c>
      <c r="K134" s="262">
        <v>0.15</v>
      </c>
      <c r="L134" s="262">
        <v>0.3</v>
      </c>
      <c r="M134" s="262">
        <v>0.3</v>
      </c>
      <c r="N134" s="262">
        <v>0.6</v>
      </c>
      <c r="O134" s="262">
        <v>0.6</v>
      </c>
      <c r="P134" s="262">
        <v>0.8</v>
      </c>
      <c r="Q134" s="262">
        <v>0.8</v>
      </c>
      <c r="R134" s="262">
        <v>0.8</v>
      </c>
      <c r="S134" s="262">
        <v>0.8</v>
      </c>
      <c r="T134" s="262">
        <v>0.8</v>
      </c>
      <c r="U134" s="262">
        <v>0.8</v>
      </c>
      <c r="V134" s="262">
        <v>0.8</v>
      </c>
      <c r="W134" s="262">
        <v>0.9</v>
      </c>
      <c r="X134" s="262">
        <v>0.9</v>
      </c>
      <c r="Y134" s="262">
        <v>0.9</v>
      </c>
      <c r="Z134" s="262">
        <v>0.9</v>
      </c>
      <c r="AA134" s="262">
        <v>0.9</v>
      </c>
      <c r="AB134" s="262">
        <v>0.5</v>
      </c>
      <c r="AC134" s="275">
        <v>0.3</v>
      </c>
    </row>
    <row r="135" spans="2:33" hidden="1" x14ac:dyDescent="0.3">
      <c r="B135" s="276" t="s">
        <v>585</v>
      </c>
      <c r="C135" s="277" t="s">
        <v>577</v>
      </c>
      <c r="D135" s="278" t="s">
        <v>586</v>
      </c>
      <c r="E135" s="302" t="s">
        <v>550</v>
      </c>
      <c r="F135" s="280">
        <v>0.2</v>
      </c>
      <c r="G135" s="280">
        <v>0.15</v>
      </c>
      <c r="H135" s="280">
        <v>0.15</v>
      </c>
      <c r="I135" s="280">
        <v>0.15</v>
      </c>
      <c r="J135" s="280">
        <v>0.15</v>
      </c>
      <c r="K135" s="280">
        <v>0.15</v>
      </c>
      <c r="L135" s="280">
        <v>0.3</v>
      </c>
      <c r="M135" s="280">
        <v>0.3</v>
      </c>
      <c r="N135" s="280">
        <v>0.5</v>
      </c>
      <c r="O135" s="280">
        <v>0.5</v>
      </c>
      <c r="P135" s="280">
        <v>0.7</v>
      </c>
      <c r="Q135" s="280">
        <v>0.7</v>
      </c>
      <c r="R135" s="280">
        <v>0.7</v>
      </c>
      <c r="S135" s="280">
        <v>0.7</v>
      </c>
      <c r="T135" s="280">
        <v>0.7</v>
      </c>
      <c r="U135" s="280">
        <v>0.7</v>
      </c>
      <c r="V135" s="280">
        <v>0.6</v>
      </c>
      <c r="W135" s="280">
        <v>0.6</v>
      </c>
      <c r="X135" s="280">
        <v>0.6</v>
      </c>
      <c r="Y135" s="280">
        <v>0.6</v>
      </c>
      <c r="Z135" s="280">
        <v>0.6</v>
      </c>
      <c r="AA135" s="280">
        <v>0.6</v>
      </c>
      <c r="AB135" s="280">
        <v>0.5</v>
      </c>
      <c r="AC135" s="281">
        <v>0.3</v>
      </c>
    </row>
    <row r="136" spans="2:33" ht="11.4" hidden="1" customHeight="1" x14ac:dyDescent="0.3">
      <c r="B136" s="268" t="s">
        <v>546</v>
      </c>
      <c r="C136" s="269" t="s">
        <v>577</v>
      </c>
      <c r="D136" s="270" t="s">
        <v>586</v>
      </c>
      <c r="E136" s="300" t="s">
        <v>548</v>
      </c>
      <c r="F136" s="282">
        <v>0.15</v>
      </c>
      <c r="G136" s="282">
        <v>0.15</v>
      </c>
      <c r="H136" s="282">
        <v>0.05</v>
      </c>
      <c r="I136" s="282">
        <v>0</v>
      </c>
      <c r="J136" s="282">
        <v>0</v>
      </c>
      <c r="K136" s="282">
        <v>0</v>
      </c>
      <c r="L136" s="283">
        <v>0</v>
      </c>
      <c r="M136" s="283">
        <v>0.05</v>
      </c>
      <c r="N136" s="283">
        <v>0.05</v>
      </c>
      <c r="O136" s="283">
        <v>0.05</v>
      </c>
      <c r="P136" s="283">
        <v>0.2</v>
      </c>
      <c r="Q136" s="282">
        <v>0.5</v>
      </c>
      <c r="R136" s="282">
        <v>0.8</v>
      </c>
      <c r="S136" s="282">
        <v>0.7</v>
      </c>
      <c r="T136" s="282">
        <v>0.4</v>
      </c>
      <c r="U136" s="282">
        <v>0.2</v>
      </c>
      <c r="V136" s="282">
        <v>0.25</v>
      </c>
      <c r="W136" s="282">
        <v>0.5</v>
      </c>
      <c r="X136" s="282">
        <v>0.8</v>
      </c>
      <c r="Y136" s="282">
        <v>0.8</v>
      </c>
      <c r="Z136" s="282">
        <v>0.8</v>
      </c>
      <c r="AA136" s="282">
        <v>0.5</v>
      </c>
      <c r="AB136" s="282">
        <v>0.35</v>
      </c>
      <c r="AC136" s="284">
        <v>0.2</v>
      </c>
    </row>
    <row r="137" spans="2:33" hidden="1" x14ac:dyDescent="0.3">
      <c r="B137" s="274" t="s">
        <v>546</v>
      </c>
      <c r="C137" s="260" t="s">
        <v>577</v>
      </c>
      <c r="D137" s="261" t="s">
        <v>586</v>
      </c>
      <c r="E137" s="301" t="s">
        <v>549</v>
      </c>
      <c r="F137" s="263">
        <v>0.3</v>
      </c>
      <c r="G137" s="263">
        <v>0.25</v>
      </c>
      <c r="H137" s="263">
        <v>0.05</v>
      </c>
      <c r="I137" s="263">
        <v>0</v>
      </c>
      <c r="J137" s="263">
        <v>0</v>
      </c>
      <c r="K137" s="263">
        <v>0</v>
      </c>
      <c r="L137" s="264">
        <v>0</v>
      </c>
      <c r="M137" s="264">
        <v>0</v>
      </c>
      <c r="N137" s="264">
        <v>0</v>
      </c>
      <c r="O137" s="264">
        <v>0.05</v>
      </c>
      <c r="P137" s="264">
        <v>0.2</v>
      </c>
      <c r="Q137" s="264">
        <v>0.45</v>
      </c>
      <c r="R137" s="264">
        <v>0.5</v>
      </c>
      <c r="S137" s="264">
        <v>0.5</v>
      </c>
      <c r="T137" s="264">
        <v>0.35</v>
      </c>
      <c r="U137" s="264">
        <v>0.3</v>
      </c>
      <c r="V137" s="264">
        <v>0.3</v>
      </c>
      <c r="W137" s="264">
        <v>0.3</v>
      </c>
      <c r="X137" s="264">
        <v>0.7</v>
      </c>
      <c r="Y137" s="264">
        <v>0.9</v>
      </c>
      <c r="Z137" s="264">
        <v>0.7</v>
      </c>
      <c r="AA137" s="263">
        <v>0.65</v>
      </c>
      <c r="AB137" s="263">
        <v>0.55000000000000004</v>
      </c>
      <c r="AC137" s="285">
        <v>0.35</v>
      </c>
    </row>
    <row r="138" spans="2:33" hidden="1" x14ac:dyDescent="0.3">
      <c r="B138" s="276" t="s">
        <v>546</v>
      </c>
      <c r="C138" s="277" t="s">
        <v>577</v>
      </c>
      <c r="D138" s="278" t="s">
        <v>586</v>
      </c>
      <c r="E138" s="302" t="s">
        <v>550</v>
      </c>
      <c r="F138" s="286">
        <v>0.2</v>
      </c>
      <c r="G138" s="286">
        <v>0.2</v>
      </c>
      <c r="H138" s="286">
        <v>0.05</v>
      </c>
      <c r="I138" s="286">
        <v>0</v>
      </c>
      <c r="J138" s="286">
        <v>0</v>
      </c>
      <c r="K138" s="286">
        <v>0</v>
      </c>
      <c r="L138" s="287">
        <v>0</v>
      </c>
      <c r="M138" s="287">
        <v>0</v>
      </c>
      <c r="N138" s="287">
        <v>0</v>
      </c>
      <c r="O138" s="287">
        <v>0</v>
      </c>
      <c r="P138" s="287">
        <v>0.1</v>
      </c>
      <c r="Q138" s="287">
        <v>0.2</v>
      </c>
      <c r="R138" s="287">
        <v>0.25</v>
      </c>
      <c r="S138" s="287">
        <v>0.25</v>
      </c>
      <c r="T138" s="287">
        <v>0.15</v>
      </c>
      <c r="U138" s="287">
        <v>0.2</v>
      </c>
      <c r="V138" s="287">
        <v>0.25</v>
      </c>
      <c r="W138" s="287">
        <v>0.35</v>
      </c>
      <c r="X138" s="287">
        <v>0.55000000000000004</v>
      </c>
      <c r="Y138" s="287">
        <v>0.65</v>
      </c>
      <c r="Z138" s="287">
        <v>0.7</v>
      </c>
      <c r="AA138" s="286">
        <v>0.35</v>
      </c>
      <c r="AB138" s="286">
        <v>0.2</v>
      </c>
      <c r="AC138" s="288">
        <v>0.2</v>
      </c>
    </row>
    <row r="139" spans="2:33" ht="11.4" hidden="1" customHeight="1" x14ac:dyDescent="0.3">
      <c r="B139" s="268" t="s">
        <v>587</v>
      </c>
      <c r="C139" s="269" t="s">
        <v>577</v>
      </c>
      <c r="D139" s="269" t="s">
        <v>586</v>
      </c>
      <c r="E139" s="300" t="s">
        <v>548</v>
      </c>
      <c r="F139" s="272">
        <v>0.15</v>
      </c>
      <c r="G139" s="272">
        <v>0.15</v>
      </c>
      <c r="H139" s="272">
        <v>0.15</v>
      </c>
      <c r="I139" s="272">
        <v>0.15</v>
      </c>
      <c r="J139" s="272">
        <v>0.15</v>
      </c>
      <c r="K139" s="272">
        <v>0.2</v>
      </c>
      <c r="L139" s="272">
        <v>0.35</v>
      </c>
      <c r="M139" s="272">
        <v>0.35</v>
      </c>
      <c r="N139" s="272">
        <v>0.55000000000000004</v>
      </c>
      <c r="O139" s="272">
        <v>0.55000000000000004</v>
      </c>
      <c r="P139" s="272">
        <v>0.85</v>
      </c>
      <c r="Q139" s="272">
        <v>0.85</v>
      </c>
      <c r="R139" s="272">
        <v>0.85</v>
      </c>
      <c r="S139" s="272">
        <v>0.85</v>
      </c>
      <c r="T139" s="272">
        <v>0.85</v>
      </c>
      <c r="U139" s="272">
        <v>0.85</v>
      </c>
      <c r="V139" s="272">
        <v>0.85</v>
      </c>
      <c r="W139" s="272">
        <v>0.85</v>
      </c>
      <c r="X139" s="272">
        <v>0.85</v>
      </c>
      <c r="Y139" s="272">
        <v>0.85</v>
      </c>
      <c r="Z139" s="272">
        <v>0.85</v>
      </c>
      <c r="AA139" s="272">
        <v>0.85</v>
      </c>
      <c r="AB139" s="272">
        <v>0.45</v>
      </c>
      <c r="AC139" s="273">
        <v>0.3</v>
      </c>
    </row>
    <row r="140" spans="2:33" hidden="1" x14ac:dyDescent="0.3">
      <c r="B140" s="274" t="s">
        <v>587</v>
      </c>
      <c r="C140" s="260" t="s">
        <v>577</v>
      </c>
      <c r="D140" s="260" t="s">
        <v>586</v>
      </c>
      <c r="E140" s="301" t="s">
        <v>549</v>
      </c>
      <c r="F140" s="262">
        <v>0.2</v>
      </c>
      <c r="G140" s="262">
        <v>0.15</v>
      </c>
      <c r="H140" s="262">
        <v>0.15</v>
      </c>
      <c r="I140" s="262">
        <v>0.15</v>
      </c>
      <c r="J140" s="262">
        <v>0.15</v>
      </c>
      <c r="K140" s="262">
        <v>0.15</v>
      </c>
      <c r="L140" s="262">
        <v>0.3</v>
      </c>
      <c r="M140" s="262">
        <v>0.3</v>
      </c>
      <c r="N140" s="262">
        <v>0.55000000000000004</v>
      </c>
      <c r="O140" s="262">
        <v>0.55000000000000004</v>
      </c>
      <c r="P140" s="262">
        <v>0.75</v>
      </c>
      <c r="Q140" s="262">
        <v>0.75</v>
      </c>
      <c r="R140" s="262">
        <v>0.75</v>
      </c>
      <c r="S140" s="262">
        <v>0.75</v>
      </c>
      <c r="T140" s="262">
        <v>0.75</v>
      </c>
      <c r="U140" s="262">
        <v>0.75</v>
      </c>
      <c r="V140" s="262">
        <v>0.75</v>
      </c>
      <c r="W140" s="262">
        <v>0.85</v>
      </c>
      <c r="X140" s="262">
        <v>0.85</v>
      </c>
      <c r="Y140" s="262">
        <v>0.85</v>
      </c>
      <c r="Z140" s="262">
        <v>0.85</v>
      </c>
      <c r="AA140" s="262">
        <v>0.85</v>
      </c>
      <c r="AB140" s="262">
        <v>0.45</v>
      </c>
      <c r="AC140" s="275">
        <v>0.3</v>
      </c>
    </row>
    <row r="141" spans="2:33" hidden="1" x14ac:dyDescent="0.3">
      <c r="B141" s="276" t="s">
        <v>587</v>
      </c>
      <c r="C141" s="277" t="s">
        <v>577</v>
      </c>
      <c r="D141" s="277" t="s">
        <v>586</v>
      </c>
      <c r="E141" s="302" t="s">
        <v>550</v>
      </c>
      <c r="F141" s="280">
        <v>0.2</v>
      </c>
      <c r="G141" s="280">
        <v>0.15</v>
      </c>
      <c r="H141" s="280">
        <v>0.15</v>
      </c>
      <c r="I141" s="280">
        <v>0.15</v>
      </c>
      <c r="J141" s="280">
        <v>0.15</v>
      </c>
      <c r="K141" s="280">
        <v>0.15</v>
      </c>
      <c r="L141" s="280">
        <v>0.3</v>
      </c>
      <c r="M141" s="280">
        <v>0.3</v>
      </c>
      <c r="N141" s="280">
        <v>0.45</v>
      </c>
      <c r="O141" s="280">
        <v>0.45</v>
      </c>
      <c r="P141" s="280">
        <v>0.65</v>
      </c>
      <c r="Q141" s="280">
        <v>0.65</v>
      </c>
      <c r="R141" s="280">
        <v>0.65</v>
      </c>
      <c r="S141" s="280">
        <v>0.65</v>
      </c>
      <c r="T141" s="280">
        <v>0.65</v>
      </c>
      <c r="U141" s="280">
        <v>0.65</v>
      </c>
      <c r="V141" s="280">
        <v>0.55000000000000004</v>
      </c>
      <c r="W141" s="280">
        <v>0.55000000000000004</v>
      </c>
      <c r="X141" s="280">
        <v>0.55000000000000004</v>
      </c>
      <c r="Y141" s="280">
        <v>0.55000000000000004</v>
      </c>
      <c r="Z141" s="280">
        <v>0.55000000000000004</v>
      </c>
      <c r="AA141" s="280">
        <v>0.55000000000000004</v>
      </c>
      <c r="AB141" s="280">
        <v>0.45</v>
      </c>
      <c r="AC141" s="281">
        <v>0.3</v>
      </c>
    </row>
    <row r="142" spans="2:33" hidden="1" x14ac:dyDescent="0.3">
      <c r="B142" s="268" t="s">
        <v>585</v>
      </c>
      <c r="C142" s="289" t="s">
        <v>579</v>
      </c>
      <c r="D142" s="269" t="s">
        <v>586</v>
      </c>
      <c r="E142" s="300" t="s">
        <v>548</v>
      </c>
      <c r="F142" s="272">
        <v>0.15</v>
      </c>
      <c r="G142" s="272">
        <v>0.15</v>
      </c>
      <c r="H142" s="272">
        <v>0.15</v>
      </c>
      <c r="I142" s="272">
        <v>0.15</v>
      </c>
      <c r="J142" s="272">
        <v>0.15</v>
      </c>
      <c r="K142" s="272">
        <v>0.2</v>
      </c>
      <c r="L142" s="290">
        <v>0.3</v>
      </c>
      <c r="M142" s="290">
        <v>0.72</v>
      </c>
      <c r="N142" s="290">
        <v>0.78</v>
      </c>
      <c r="O142" s="290">
        <v>0.8</v>
      </c>
      <c r="P142" s="272">
        <v>0.9</v>
      </c>
      <c r="Q142" s="272">
        <v>0.9</v>
      </c>
      <c r="R142" s="272">
        <v>0.9</v>
      </c>
      <c r="S142" s="290">
        <v>0.88</v>
      </c>
      <c r="T142" s="290">
        <v>0.77</v>
      </c>
      <c r="U142" s="290">
        <v>0.7</v>
      </c>
      <c r="V142" s="290">
        <v>0.72</v>
      </c>
      <c r="W142" s="290">
        <v>0.8</v>
      </c>
      <c r="X142" s="272">
        <v>0.9</v>
      </c>
      <c r="Y142" s="272">
        <v>0.9</v>
      </c>
      <c r="Z142" s="272">
        <v>0.9</v>
      </c>
      <c r="AA142" s="283">
        <v>0.8</v>
      </c>
      <c r="AB142" s="283">
        <v>0.62</v>
      </c>
      <c r="AC142" s="273">
        <v>0.3</v>
      </c>
    </row>
    <row r="143" spans="2:33" hidden="1" x14ac:dyDescent="0.3">
      <c r="B143" s="274" t="s">
        <v>585</v>
      </c>
      <c r="C143" s="265" t="s">
        <v>579</v>
      </c>
      <c r="D143" s="260" t="s">
        <v>586</v>
      </c>
      <c r="E143" s="301" t="s">
        <v>549</v>
      </c>
      <c r="F143" s="266">
        <v>0.15</v>
      </c>
      <c r="G143" s="262">
        <v>0.15</v>
      </c>
      <c r="H143" s="262">
        <v>0.15</v>
      </c>
      <c r="I143" s="262">
        <v>0.15</v>
      </c>
      <c r="J143" s="262">
        <v>0.15</v>
      </c>
      <c r="K143" s="266">
        <v>0.2</v>
      </c>
      <c r="L143" s="262">
        <v>0.3</v>
      </c>
      <c r="M143" s="266">
        <v>0.72</v>
      </c>
      <c r="N143" s="266">
        <v>0.78</v>
      </c>
      <c r="O143" s="266">
        <v>0.8</v>
      </c>
      <c r="P143" s="266">
        <v>0.9</v>
      </c>
      <c r="Q143" s="266">
        <v>0.9</v>
      </c>
      <c r="R143" s="266">
        <v>0.9</v>
      </c>
      <c r="S143" s="266">
        <v>0.88</v>
      </c>
      <c r="T143" s="266">
        <v>0.77</v>
      </c>
      <c r="U143" s="266">
        <v>0.7</v>
      </c>
      <c r="V143" s="266">
        <v>0.72</v>
      </c>
      <c r="W143" s="266">
        <v>0.8</v>
      </c>
      <c r="X143" s="262">
        <v>0.9</v>
      </c>
      <c r="Y143" s="262">
        <v>0.9</v>
      </c>
      <c r="Z143" s="262">
        <v>0.9</v>
      </c>
      <c r="AA143" s="264">
        <v>0.8</v>
      </c>
      <c r="AB143" s="264">
        <v>0.62</v>
      </c>
      <c r="AC143" s="275">
        <v>0.3</v>
      </c>
    </row>
    <row r="144" spans="2:33" hidden="1" x14ac:dyDescent="0.3">
      <c r="B144" s="276" t="s">
        <v>585</v>
      </c>
      <c r="C144" s="291" t="s">
        <v>579</v>
      </c>
      <c r="D144" s="277" t="s">
        <v>586</v>
      </c>
      <c r="E144" s="302" t="s">
        <v>550</v>
      </c>
      <c r="F144" s="292">
        <v>0.2</v>
      </c>
      <c r="G144" s="280">
        <v>0.15</v>
      </c>
      <c r="H144" s="280">
        <v>0.15</v>
      </c>
      <c r="I144" s="280">
        <v>0.15</v>
      </c>
      <c r="J144" s="280">
        <v>0.15</v>
      </c>
      <c r="K144" s="292">
        <v>0.15</v>
      </c>
      <c r="L144" s="280">
        <v>0.3</v>
      </c>
      <c r="M144" s="292">
        <v>0.72</v>
      </c>
      <c r="N144" s="292">
        <v>0.78</v>
      </c>
      <c r="O144" s="292">
        <v>0.8</v>
      </c>
      <c r="P144" s="292">
        <v>0.9</v>
      </c>
      <c r="Q144" s="292">
        <v>0.9</v>
      </c>
      <c r="R144" s="292">
        <v>0.9</v>
      </c>
      <c r="S144" s="292">
        <v>0.88</v>
      </c>
      <c r="T144" s="292">
        <v>0.77</v>
      </c>
      <c r="U144" s="292">
        <v>0.7</v>
      </c>
      <c r="V144" s="292">
        <v>0.72</v>
      </c>
      <c r="W144" s="292">
        <v>0.8</v>
      </c>
      <c r="X144" s="292">
        <v>0.9</v>
      </c>
      <c r="Y144" s="292">
        <v>0.9</v>
      </c>
      <c r="Z144" s="292">
        <v>0.9</v>
      </c>
      <c r="AA144" s="292">
        <v>0.8</v>
      </c>
      <c r="AB144" s="292">
        <v>0.62</v>
      </c>
      <c r="AC144" s="281">
        <v>0.3</v>
      </c>
    </row>
    <row r="145" spans="2:29" hidden="1" x14ac:dyDescent="0.2">
      <c r="B145" s="274" t="s">
        <v>546</v>
      </c>
      <c r="C145" s="260" t="s">
        <v>578</v>
      </c>
      <c r="D145" s="259" t="s">
        <v>80</v>
      </c>
      <c r="E145" s="301" t="s">
        <v>548</v>
      </c>
      <c r="F145" s="267">
        <v>0</v>
      </c>
      <c r="G145" s="267">
        <v>0</v>
      </c>
      <c r="H145" s="267">
        <v>0</v>
      </c>
      <c r="I145" s="267">
        <v>0</v>
      </c>
      <c r="J145" s="267">
        <v>0</v>
      </c>
      <c r="K145" s="267">
        <v>0</v>
      </c>
      <c r="L145" s="267">
        <v>0.25</v>
      </c>
      <c r="M145" s="267">
        <v>0.75</v>
      </c>
      <c r="N145" s="267">
        <v>0.9</v>
      </c>
      <c r="O145" s="267">
        <v>0.9</v>
      </c>
      <c r="P145" s="267">
        <v>0.9</v>
      </c>
      <c r="Q145" s="267">
        <v>0.9</v>
      </c>
      <c r="R145" s="267">
        <v>0.9</v>
      </c>
      <c r="S145" s="267">
        <v>0.9</v>
      </c>
      <c r="T145" s="267">
        <v>0.75</v>
      </c>
      <c r="U145" s="267">
        <v>0.25</v>
      </c>
      <c r="V145" s="267">
        <v>0.25</v>
      </c>
      <c r="W145" s="267">
        <v>0.75</v>
      </c>
      <c r="X145" s="267">
        <v>0.9</v>
      </c>
      <c r="Y145" s="267">
        <v>0.9</v>
      </c>
      <c r="Z145" s="267">
        <v>0.9</v>
      </c>
      <c r="AA145" s="267">
        <v>0.9</v>
      </c>
      <c r="AB145" s="267">
        <v>0.75</v>
      </c>
      <c r="AC145" s="296">
        <v>0.25</v>
      </c>
    </row>
    <row r="146" spans="2:29" hidden="1" x14ac:dyDescent="0.2">
      <c r="B146" s="274" t="s">
        <v>546</v>
      </c>
      <c r="C146" s="260" t="s">
        <v>578</v>
      </c>
      <c r="D146" s="259" t="s">
        <v>80</v>
      </c>
      <c r="E146" s="301" t="s">
        <v>549</v>
      </c>
      <c r="F146" s="267">
        <v>0</v>
      </c>
      <c r="G146" s="267">
        <v>0</v>
      </c>
      <c r="H146" s="267">
        <v>0</v>
      </c>
      <c r="I146" s="267">
        <v>0</v>
      </c>
      <c r="J146" s="267">
        <v>0</v>
      </c>
      <c r="K146" s="267">
        <v>0</v>
      </c>
      <c r="L146" s="267">
        <v>0.25</v>
      </c>
      <c r="M146" s="267">
        <v>0.75</v>
      </c>
      <c r="N146" s="267">
        <v>0.9</v>
      </c>
      <c r="O146" s="267">
        <v>0.9</v>
      </c>
      <c r="P146" s="267">
        <v>0.9</v>
      </c>
      <c r="Q146" s="267">
        <v>0.9</v>
      </c>
      <c r="R146" s="267">
        <v>0.9</v>
      </c>
      <c r="S146" s="267">
        <v>0.9</v>
      </c>
      <c r="T146" s="267">
        <v>0.75</v>
      </c>
      <c r="U146" s="267">
        <v>0.25</v>
      </c>
      <c r="V146" s="267">
        <v>0.25</v>
      </c>
      <c r="W146" s="267">
        <v>0.75</v>
      </c>
      <c r="X146" s="267">
        <v>0.9</v>
      </c>
      <c r="Y146" s="267">
        <v>0.9</v>
      </c>
      <c r="Z146" s="267">
        <v>0.9</v>
      </c>
      <c r="AA146" s="267">
        <v>0.9</v>
      </c>
      <c r="AB146" s="267">
        <v>0.75</v>
      </c>
      <c r="AC146" s="296">
        <v>0.25</v>
      </c>
    </row>
    <row r="147" spans="2:29" hidden="1" x14ac:dyDescent="0.2">
      <c r="B147" s="274" t="s">
        <v>546</v>
      </c>
      <c r="C147" s="260" t="s">
        <v>578</v>
      </c>
      <c r="D147" s="259" t="s">
        <v>80</v>
      </c>
      <c r="E147" s="301" t="s">
        <v>550</v>
      </c>
      <c r="F147" s="267">
        <v>0</v>
      </c>
      <c r="G147" s="267">
        <v>0</v>
      </c>
      <c r="H147" s="267">
        <v>0</v>
      </c>
      <c r="I147" s="267">
        <v>0</v>
      </c>
      <c r="J147" s="267">
        <v>0</v>
      </c>
      <c r="K147" s="267">
        <v>0</v>
      </c>
      <c r="L147" s="267">
        <v>0.25</v>
      </c>
      <c r="M147" s="267">
        <v>0.75</v>
      </c>
      <c r="N147" s="267">
        <v>0.9</v>
      </c>
      <c r="O147" s="267">
        <v>0.9</v>
      </c>
      <c r="P147" s="267">
        <v>0.9</v>
      </c>
      <c r="Q147" s="267">
        <v>0.9</v>
      </c>
      <c r="R147" s="267">
        <v>0.9</v>
      </c>
      <c r="S147" s="267">
        <v>0.9</v>
      </c>
      <c r="T147" s="267">
        <v>0.75</v>
      </c>
      <c r="U147" s="267">
        <v>0.25</v>
      </c>
      <c r="V147" s="267">
        <v>0.25</v>
      </c>
      <c r="W147" s="267">
        <v>0.75</v>
      </c>
      <c r="X147" s="267">
        <v>0.9</v>
      </c>
      <c r="Y147" s="267">
        <v>0.9</v>
      </c>
      <c r="Z147" s="267">
        <v>0.9</v>
      </c>
      <c r="AA147" s="267">
        <v>0.9</v>
      </c>
      <c r="AB147" s="267">
        <v>0.75</v>
      </c>
      <c r="AC147" s="296">
        <v>0.25</v>
      </c>
    </row>
    <row r="148" spans="2:29" hidden="1" x14ac:dyDescent="0.2">
      <c r="B148" s="268" t="s">
        <v>585</v>
      </c>
      <c r="C148" s="269" t="s">
        <v>578</v>
      </c>
      <c r="D148" s="293" t="s">
        <v>80</v>
      </c>
      <c r="E148" s="300" t="s">
        <v>548</v>
      </c>
      <c r="F148" s="294">
        <v>0.05</v>
      </c>
      <c r="G148" s="294">
        <v>0.05</v>
      </c>
      <c r="H148" s="294">
        <v>0.05</v>
      </c>
      <c r="I148" s="294">
        <v>0.05</v>
      </c>
      <c r="J148" s="294">
        <v>0.05</v>
      </c>
      <c r="K148" s="294">
        <v>0.05</v>
      </c>
      <c r="L148" s="294">
        <v>0.05</v>
      </c>
      <c r="M148" s="294">
        <v>0.9</v>
      </c>
      <c r="N148" s="294">
        <v>0.9</v>
      </c>
      <c r="O148" s="294">
        <v>0.9</v>
      </c>
      <c r="P148" s="294">
        <v>0.9</v>
      </c>
      <c r="Q148" s="294">
        <v>0.9</v>
      </c>
      <c r="R148" s="294">
        <v>0.9</v>
      </c>
      <c r="S148" s="294">
        <v>0.9</v>
      </c>
      <c r="T148" s="294">
        <v>0.9</v>
      </c>
      <c r="U148" s="294">
        <v>0.9</v>
      </c>
      <c r="V148" s="294">
        <v>0.9</v>
      </c>
      <c r="W148" s="294">
        <v>0.9</v>
      </c>
      <c r="X148" s="294">
        <v>0.9</v>
      </c>
      <c r="Y148" s="294">
        <v>0.9</v>
      </c>
      <c r="Z148" s="294">
        <v>0.9</v>
      </c>
      <c r="AA148" s="294">
        <v>0.9</v>
      </c>
      <c r="AB148" s="294">
        <v>0.9</v>
      </c>
      <c r="AC148" s="295">
        <v>0.33</v>
      </c>
    </row>
    <row r="149" spans="2:29" hidden="1" x14ac:dyDescent="0.2">
      <c r="B149" s="274" t="s">
        <v>585</v>
      </c>
      <c r="C149" s="260" t="s">
        <v>578</v>
      </c>
      <c r="D149" s="259" t="s">
        <v>80</v>
      </c>
      <c r="E149" s="301" t="s">
        <v>549</v>
      </c>
      <c r="F149" s="267">
        <v>0.05</v>
      </c>
      <c r="G149" s="267">
        <v>0.05</v>
      </c>
      <c r="H149" s="267">
        <v>0.05</v>
      </c>
      <c r="I149" s="267">
        <v>0.05</v>
      </c>
      <c r="J149" s="267">
        <v>0.05</v>
      </c>
      <c r="K149" s="267">
        <v>0.05</v>
      </c>
      <c r="L149" s="267">
        <v>0.05</v>
      </c>
      <c r="M149" s="267">
        <v>0.9</v>
      </c>
      <c r="N149" s="267">
        <v>0.9</v>
      </c>
      <c r="O149" s="267">
        <v>0.9</v>
      </c>
      <c r="P149" s="267">
        <v>0.9</v>
      </c>
      <c r="Q149" s="267">
        <v>0.9</v>
      </c>
      <c r="R149" s="267">
        <v>0.9</v>
      </c>
      <c r="S149" s="267">
        <v>0.9</v>
      </c>
      <c r="T149" s="267">
        <v>0.9</v>
      </c>
      <c r="U149" s="267">
        <v>0.9</v>
      </c>
      <c r="V149" s="267">
        <v>0.9</v>
      </c>
      <c r="W149" s="267">
        <v>0.9</v>
      </c>
      <c r="X149" s="267">
        <v>0.9</v>
      </c>
      <c r="Y149" s="267">
        <v>0.9</v>
      </c>
      <c r="Z149" s="267">
        <v>0.9</v>
      </c>
      <c r="AA149" s="267">
        <v>0.9</v>
      </c>
      <c r="AB149" s="267">
        <v>0.9</v>
      </c>
      <c r="AC149" s="296">
        <v>0.33</v>
      </c>
    </row>
    <row r="150" spans="2:29" hidden="1" x14ac:dyDescent="0.2">
      <c r="B150" s="276" t="s">
        <v>585</v>
      </c>
      <c r="C150" s="277" t="s">
        <v>578</v>
      </c>
      <c r="D150" s="297" t="s">
        <v>80</v>
      </c>
      <c r="E150" s="302" t="s">
        <v>550</v>
      </c>
      <c r="F150" s="298" t="s">
        <v>588</v>
      </c>
      <c r="G150" s="298">
        <v>0.05</v>
      </c>
      <c r="H150" s="298">
        <v>0.05</v>
      </c>
      <c r="I150" s="298">
        <v>0.05</v>
      </c>
      <c r="J150" s="298">
        <v>0.05</v>
      </c>
      <c r="K150" s="298">
        <v>0.05</v>
      </c>
      <c r="L150" s="298">
        <v>0.05</v>
      </c>
      <c r="M150" s="298">
        <v>0.9</v>
      </c>
      <c r="N150" s="298">
        <v>0.9</v>
      </c>
      <c r="O150" s="298">
        <v>0.9</v>
      </c>
      <c r="P150" s="298">
        <v>0.9</v>
      </c>
      <c r="Q150" s="298">
        <v>0.9</v>
      </c>
      <c r="R150" s="298">
        <v>0.9</v>
      </c>
      <c r="S150" s="298">
        <v>0.9</v>
      </c>
      <c r="T150" s="298">
        <v>0.9</v>
      </c>
      <c r="U150" s="298">
        <v>0.9</v>
      </c>
      <c r="V150" s="298">
        <v>0.9</v>
      </c>
      <c r="W150" s="298">
        <v>0.9</v>
      </c>
      <c r="X150" s="298">
        <v>0.9</v>
      </c>
      <c r="Y150" s="298">
        <v>0.9</v>
      </c>
      <c r="Z150" s="298">
        <v>0.9</v>
      </c>
      <c r="AA150" s="298">
        <v>0.9</v>
      </c>
      <c r="AB150" s="298">
        <v>0.9</v>
      </c>
      <c r="AC150" s="299">
        <v>0.33</v>
      </c>
    </row>
    <row r="151" spans="2:29" hidden="1" x14ac:dyDescent="0.2">
      <c r="B151" s="274" t="s">
        <v>589</v>
      </c>
      <c r="C151" s="260" t="s">
        <v>578</v>
      </c>
      <c r="D151" s="259" t="s">
        <v>80</v>
      </c>
      <c r="E151" s="301" t="s">
        <v>548</v>
      </c>
      <c r="F151" s="267">
        <v>0</v>
      </c>
      <c r="G151" s="267">
        <v>0</v>
      </c>
      <c r="H151" s="267">
        <v>0</v>
      </c>
      <c r="I151" s="267">
        <v>0</v>
      </c>
      <c r="J151" s="267">
        <v>0</v>
      </c>
      <c r="K151" s="267">
        <v>0</v>
      </c>
      <c r="L151" s="267">
        <v>0.9</v>
      </c>
      <c r="M151" s="267">
        <v>0.9</v>
      </c>
      <c r="N151" s="267">
        <v>0.9</v>
      </c>
      <c r="O151" s="267">
        <v>0.9</v>
      </c>
      <c r="P151" s="267">
        <v>0.9</v>
      </c>
      <c r="Q151" s="267">
        <v>0.9</v>
      </c>
      <c r="R151" s="267">
        <v>0.9</v>
      </c>
      <c r="S151" s="267">
        <v>0.9</v>
      </c>
      <c r="T151" s="267">
        <v>0.9</v>
      </c>
      <c r="U151" s="267">
        <v>0.9</v>
      </c>
      <c r="V151" s="267">
        <v>0.9</v>
      </c>
      <c r="W151" s="267">
        <v>0.9</v>
      </c>
      <c r="X151" s="267">
        <v>0.9</v>
      </c>
      <c r="Y151" s="267">
        <v>0.9</v>
      </c>
      <c r="Z151" s="267">
        <v>0.9</v>
      </c>
      <c r="AA151" s="267">
        <v>0.9</v>
      </c>
      <c r="AB151" s="267">
        <v>0.9</v>
      </c>
      <c r="AC151" s="296">
        <v>0.9</v>
      </c>
    </row>
    <row r="152" spans="2:29" hidden="1" x14ac:dyDescent="0.2">
      <c r="B152" s="274" t="s">
        <v>589</v>
      </c>
      <c r="C152" s="260" t="s">
        <v>578</v>
      </c>
      <c r="D152" s="259" t="s">
        <v>80</v>
      </c>
      <c r="E152" s="301" t="s">
        <v>549</v>
      </c>
      <c r="F152" s="267">
        <v>0</v>
      </c>
      <c r="G152" s="267">
        <v>0</v>
      </c>
      <c r="H152" s="267">
        <v>0</v>
      </c>
      <c r="I152" s="267">
        <v>0</v>
      </c>
      <c r="J152" s="267">
        <v>0</v>
      </c>
      <c r="K152" s="267">
        <v>0</v>
      </c>
      <c r="L152" s="267">
        <v>0.9</v>
      </c>
      <c r="M152" s="267">
        <v>0.9</v>
      </c>
      <c r="N152" s="267">
        <v>0.9</v>
      </c>
      <c r="O152" s="267">
        <v>0.9</v>
      </c>
      <c r="P152" s="267">
        <v>0.9</v>
      </c>
      <c r="Q152" s="267">
        <v>0.9</v>
      </c>
      <c r="R152" s="267">
        <v>0.9</v>
      </c>
      <c r="S152" s="267">
        <v>0.9</v>
      </c>
      <c r="T152" s="267">
        <v>0.9</v>
      </c>
      <c r="U152" s="267">
        <v>0.9</v>
      </c>
      <c r="V152" s="267">
        <v>0.9</v>
      </c>
      <c r="W152" s="267">
        <v>0.9</v>
      </c>
      <c r="X152" s="267">
        <v>0.9</v>
      </c>
      <c r="Y152" s="267">
        <v>0.9</v>
      </c>
      <c r="Z152" s="267">
        <v>0.9</v>
      </c>
      <c r="AA152" s="267">
        <v>0.9</v>
      </c>
      <c r="AB152" s="267">
        <v>0.9</v>
      </c>
      <c r="AC152" s="296">
        <v>0.9</v>
      </c>
    </row>
    <row r="153" spans="2:29" hidden="1" x14ac:dyDescent="0.2">
      <c r="B153" s="274" t="s">
        <v>589</v>
      </c>
      <c r="C153" s="260" t="s">
        <v>578</v>
      </c>
      <c r="D153" s="259" t="s">
        <v>80</v>
      </c>
      <c r="E153" s="301" t="s">
        <v>550</v>
      </c>
      <c r="F153" s="267">
        <v>0</v>
      </c>
      <c r="G153" s="267">
        <v>0</v>
      </c>
      <c r="H153" s="267">
        <v>0</v>
      </c>
      <c r="I153" s="267">
        <v>0</v>
      </c>
      <c r="J153" s="267">
        <v>0</v>
      </c>
      <c r="K153" s="267">
        <v>0</v>
      </c>
      <c r="L153" s="267">
        <v>0.9</v>
      </c>
      <c r="M153" s="267">
        <v>0.9</v>
      </c>
      <c r="N153" s="267">
        <v>0.9</v>
      </c>
      <c r="O153" s="267">
        <v>0.9</v>
      </c>
      <c r="P153" s="267">
        <v>0.9</v>
      </c>
      <c r="Q153" s="267">
        <v>0.9</v>
      </c>
      <c r="R153" s="267">
        <v>0.9</v>
      </c>
      <c r="S153" s="267">
        <v>0.9</v>
      </c>
      <c r="T153" s="267">
        <v>0.9</v>
      </c>
      <c r="U153" s="267">
        <v>0.9</v>
      </c>
      <c r="V153" s="267">
        <v>0.9</v>
      </c>
      <c r="W153" s="267">
        <v>0.9</v>
      </c>
      <c r="X153" s="267">
        <v>0.9</v>
      </c>
      <c r="Y153" s="267">
        <v>0.9</v>
      </c>
      <c r="Z153" s="267">
        <v>0.9</v>
      </c>
      <c r="AA153" s="267">
        <v>0.9</v>
      </c>
      <c r="AB153" s="267">
        <v>0.9</v>
      </c>
      <c r="AC153" s="296">
        <v>0.9</v>
      </c>
    </row>
    <row r="154" spans="2:29" hidden="1" x14ac:dyDescent="0.3">
      <c r="B154" s="268" t="s">
        <v>546</v>
      </c>
      <c r="C154" s="269" t="s">
        <v>578</v>
      </c>
      <c r="D154" s="293" t="s">
        <v>100</v>
      </c>
      <c r="E154" s="300" t="s">
        <v>548</v>
      </c>
      <c r="F154" s="271">
        <v>0</v>
      </c>
      <c r="G154" s="271">
        <v>0</v>
      </c>
      <c r="H154" s="271">
        <v>0</v>
      </c>
      <c r="I154" s="271">
        <v>0</v>
      </c>
      <c r="J154" s="271">
        <v>0</v>
      </c>
      <c r="K154" s="271">
        <v>0</v>
      </c>
      <c r="L154" s="271">
        <v>0</v>
      </c>
      <c r="M154" s="271">
        <v>0.25</v>
      </c>
      <c r="N154" s="271">
        <v>0.25</v>
      </c>
      <c r="O154" s="271">
        <v>0.5</v>
      </c>
      <c r="P154" s="271">
        <v>0.5</v>
      </c>
      <c r="Q154" s="271">
        <v>0.5</v>
      </c>
      <c r="R154" s="271">
        <v>0.9</v>
      </c>
      <c r="S154" s="271">
        <v>0.9</v>
      </c>
      <c r="T154" s="271">
        <v>0.5</v>
      </c>
      <c r="U154" s="271">
        <v>0.25</v>
      </c>
      <c r="V154" s="271">
        <v>0.25</v>
      </c>
      <c r="W154" s="271">
        <v>0.25</v>
      </c>
      <c r="X154" s="271">
        <v>0.5</v>
      </c>
      <c r="Y154" s="271">
        <v>0.9</v>
      </c>
      <c r="Z154" s="271">
        <v>0.9</v>
      </c>
      <c r="AA154" s="271">
        <v>0.9</v>
      </c>
      <c r="AB154" s="271">
        <v>0.5</v>
      </c>
      <c r="AC154" s="300">
        <v>0</v>
      </c>
    </row>
    <row r="155" spans="2:29" hidden="1" x14ac:dyDescent="0.3">
      <c r="B155" s="274" t="s">
        <v>546</v>
      </c>
      <c r="C155" s="260" t="s">
        <v>578</v>
      </c>
      <c r="D155" s="259" t="s">
        <v>100</v>
      </c>
      <c r="E155" s="301" t="s">
        <v>549</v>
      </c>
      <c r="F155" s="37">
        <v>0</v>
      </c>
      <c r="G155" s="37">
        <v>0</v>
      </c>
      <c r="H155" s="37">
        <v>0</v>
      </c>
      <c r="I155" s="37">
        <v>0</v>
      </c>
      <c r="J155" s="37">
        <v>0</v>
      </c>
      <c r="K155" s="37">
        <v>0</v>
      </c>
      <c r="L155" s="37">
        <v>0</v>
      </c>
      <c r="M155" s="37">
        <v>0.25</v>
      </c>
      <c r="N155" s="37">
        <v>0.25</v>
      </c>
      <c r="O155" s="37">
        <v>0.5</v>
      </c>
      <c r="P155" s="37">
        <v>0.5</v>
      </c>
      <c r="Q155" s="37">
        <v>0.5</v>
      </c>
      <c r="R155" s="37">
        <v>0.9</v>
      </c>
      <c r="S155" s="37">
        <v>0.9</v>
      </c>
      <c r="T155" s="37">
        <v>0.5</v>
      </c>
      <c r="U155" s="37">
        <v>0.25</v>
      </c>
      <c r="V155" s="37">
        <v>0.25</v>
      </c>
      <c r="W155" s="37">
        <v>0.25</v>
      </c>
      <c r="X155" s="37">
        <v>0.5</v>
      </c>
      <c r="Y155" s="37">
        <v>0.9</v>
      </c>
      <c r="Z155" s="37">
        <v>0.9</v>
      </c>
      <c r="AA155" s="37">
        <v>0.9</v>
      </c>
      <c r="AB155" s="37">
        <v>0.5</v>
      </c>
      <c r="AC155" s="301">
        <v>0</v>
      </c>
    </row>
    <row r="156" spans="2:29" hidden="1" x14ac:dyDescent="0.3">
      <c r="B156" s="276" t="s">
        <v>546</v>
      </c>
      <c r="C156" s="277" t="s">
        <v>578</v>
      </c>
      <c r="D156" s="297" t="s">
        <v>100</v>
      </c>
      <c r="E156" s="302" t="s">
        <v>550</v>
      </c>
      <c r="F156" s="279">
        <v>0</v>
      </c>
      <c r="G156" s="279">
        <v>0</v>
      </c>
      <c r="H156" s="279">
        <v>0</v>
      </c>
      <c r="I156" s="279">
        <v>0</v>
      </c>
      <c r="J156" s="279">
        <v>0</v>
      </c>
      <c r="K156" s="279">
        <v>0</v>
      </c>
      <c r="L156" s="279">
        <v>0</v>
      </c>
      <c r="M156" s="279">
        <v>0.25</v>
      </c>
      <c r="N156" s="279">
        <v>0.25</v>
      </c>
      <c r="O156" s="279">
        <v>0.5</v>
      </c>
      <c r="P156" s="279">
        <v>0.5</v>
      </c>
      <c r="Q156" s="279">
        <v>0.5</v>
      </c>
      <c r="R156" s="279">
        <v>0.9</v>
      </c>
      <c r="S156" s="279">
        <v>0.9</v>
      </c>
      <c r="T156" s="279">
        <v>0.5</v>
      </c>
      <c r="U156" s="279">
        <v>0.25</v>
      </c>
      <c r="V156" s="279">
        <v>0.25</v>
      </c>
      <c r="W156" s="279">
        <v>0.25</v>
      </c>
      <c r="X156" s="279">
        <v>0.5</v>
      </c>
      <c r="Y156" s="279">
        <v>0.9</v>
      </c>
      <c r="Z156" s="279">
        <v>0.9</v>
      </c>
      <c r="AA156" s="279">
        <v>0.9</v>
      </c>
      <c r="AB156" s="279">
        <v>0.5</v>
      </c>
      <c r="AC156" s="302">
        <v>0</v>
      </c>
    </row>
    <row r="157" spans="2:29" hidden="1" x14ac:dyDescent="0.3">
      <c r="B157" s="274" t="s">
        <v>585</v>
      </c>
      <c r="C157" s="260" t="s">
        <v>578</v>
      </c>
      <c r="D157" s="259" t="s">
        <v>100</v>
      </c>
      <c r="E157" s="301" t="s">
        <v>548</v>
      </c>
      <c r="F157" s="37">
        <v>0.05</v>
      </c>
      <c r="G157" s="37">
        <v>0.05</v>
      </c>
      <c r="H157" s="37">
        <v>0.05</v>
      </c>
      <c r="I157" s="37">
        <v>0.05</v>
      </c>
      <c r="J157" s="37">
        <v>0.05</v>
      </c>
      <c r="K157" s="37">
        <v>0.05</v>
      </c>
      <c r="L157" s="37">
        <v>0.05</v>
      </c>
      <c r="M157" s="37">
        <v>0.9</v>
      </c>
      <c r="N157" s="37">
        <v>0.9</v>
      </c>
      <c r="O157" s="37">
        <v>0.9</v>
      </c>
      <c r="P157" s="37">
        <v>0.9</v>
      </c>
      <c r="Q157" s="37">
        <v>0.9</v>
      </c>
      <c r="R157" s="37">
        <v>0.9</v>
      </c>
      <c r="S157" s="37">
        <v>0.9</v>
      </c>
      <c r="T157" s="37">
        <v>0.9</v>
      </c>
      <c r="U157" s="37">
        <v>0.9</v>
      </c>
      <c r="V157" s="37">
        <v>0.9</v>
      </c>
      <c r="W157" s="37">
        <v>0.9</v>
      </c>
      <c r="X157" s="37">
        <v>0.9</v>
      </c>
      <c r="Y157" s="37">
        <v>0.9</v>
      </c>
      <c r="Z157" s="37">
        <v>0.9</v>
      </c>
      <c r="AA157" s="37">
        <v>0.9</v>
      </c>
      <c r="AB157" s="37">
        <v>0.9</v>
      </c>
      <c r="AC157" s="301">
        <v>0.34</v>
      </c>
    </row>
    <row r="158" spans="2:29" hidden="1" x14ac:dyDescent="0.3">
      <c r="B158" s="274" t="s">
        <v>585</v>
      </c>
      <c r="C158" s="260" t="s">
        <v>578</v>
      </c>
      <c r="D158" s="259" t="s">
        <v>100</v>
      </c>
      <c r="E158" s="301" t="s">
        <v>549</v>
      </c>
      <c r="F158" s="37">
        <v>0.05</v>
      </c>
      <c r="G158" s="37">
        <v>0.05</v>
      </c>
      <c r="H158" s="37">
        <v>0.05</v>
      </c>
      <c r="I158" s="37">
        <v>0.05</v>
      </c>
      <c r="J158" s="37">
        <v>0.05</v>
      </c>
      <c r="K158" s="37">
        <v>0.05</v>
      </c>
      <c r="L158" s="37">
        <v>0.05</v>
      </c>
      <c r="M158" s="37">
        <v>0.9</v>
      </c>
      <c r="N158" s="37">
        <v>0.9</v>
      </c>
      <c r="O158" s="37">
        <v>0.9</v>
      </c>
      <c r="P158" s="37">
        <v>0.9</v>
      </c>
      <c r="Q158" s="37">
        <v>0.9</v>
      </c>
      <c r="R158" s="37">
        <v>0.9</v>
      </c>
      <c r="S158" s="37">
        <v>0.9</v>
      </c>
      <c r="T158" s="37">
        <v>0.9</v>
      </c>
      <c r="U158" s="37">
        <v>0.9</v>
      </c>
      <c r="V158" s="37">
        <v>0.9</v>
      </c>
      <c r="W158" s="37">
        <v>0.9</v>
      </c>
      <c r="X158" s="37">
        <v>0.9</v>
      </c>
      <c r="Y158" s="37">
        <v>0.9</v>
      </c>
      <c r="Z158" s="37">
        <v>0.9</v>
      </c>
      <c r="AA158" s="37">
        <v>0.9</v>
      </c>
      <c r="AB158" s="37">
        <v>0.9</v>
      </c>
      <c r="AC158" s="301">
        <v>0.34</v>
      </c>
    </row>
    <row r="159" spans="2:29" hidden="1" x14ac:dyDescent="0.3">
      <c r="B159" s="274" t="s">
        <v>585</v>
      </c>
      <c r="C159" s="260" t="s">
        <v>578</v>
      </c>
      <c r="D159" s="259" t="s">
        <v>100</v>
      </c>
      <c r="E159" s="301" t="s">
        <v>550</v>
      </c>
      <c r="F159" s="37">
        <v>0.05</v>
      </c>
      <c r="G159" s="37">
        <v>0.05</v>
      </c>
      <c r="H159" s="37">
        <v>0.05</v>
      </c>
      <c r="I159" s="37">
        <v>0.05</v>
      </c>
      <c r="J159" s="37">
        <v>0.05</v>
      </c>
      <c r="K159" s="37">
        <v>0.05</v>
      </c>
      <c r="L159" s="37">
        <v>0.05</v>
      </c>
      <c r="M159" s="37">
        <v>0.9</v>
      </c>
      <c r="N159" s="37">
        <v>0.9</v>
      </c>
      <c r="O159" s="37">
        <v>0.9</v>
      </c>
      <c r="P159" s="37">
        <v>0.9</v>
      </c>
      <c r="Q159" s="37">
        <v>0.9</v>
      </c>
      <c r="R159" s="37">
        <v>0.9</v>
      </c>
      <c r="S159" s="37">
        <v>0.9</v>
      </c>
      <c r="T159" s="37">
        <v>0.9</v>
      </c>
      <c r="U159" s="37">
        <v>0.9</v>
      </c>
      <c r="V159" s="37">
        <v>0.9</v>
      </c>
      <c r="W159" s="37">
        <v>0.9</v>
      </c>
      <c r="X159" s="37">
        <v>0.9</v>
      </c>
      <c r="Y159" s="37">
        <v>0.9</v>
      </c>
      <c r="Z159" s="37">
        <v>0.9</v>
      </c>
      <c r="AA159" s="37">
        <v>0.9</v>
      </c>
      <c r="AB159" s="37">
        <v>0.9</v>
      </c>
      <c r="AC159" s="301">
        <v>0.34</v>
      </c>
    </row>
    <row r="160" spans="2:29" hidden="1" x14ac:dyDescent="0.3">
      <c r="B160" s="268" t="s">
        <v>589</v>
      </c>
      <c r="C160" s="269" t="s">
        <v>578</v>
      </c>
      <c r="D160" s="293" t="s">
        <v>100</v>
      </c>
      <c r="E160" s="300" t="s">
        <v>548</v>
      </c>
      <c r="F160" s="271">
        <v>0</v>
      </c>
      <c r="G160" s="271">
        <v>0</v>
      </c>
      <c r="H160" s="271">
        <v>0</v>
      </c>
      <c r="I160" s="271">
        <v>0</v>
      </c>
      <c r="J160" s="271">
        <v>0</v>
      </c>
      <c r="K160" s="271">
        <v>0</v>
      </c>
      <c r="L160" s="271">
        <v>0</v>
      </c>
      <c r="M160" s="271">
        <v>0.9</v>
      </c>
      <c r="N160" s="271">
        <v>0.9</v>
      </c>
      <c r="O160" s="271">
        <v>0.9</v>
      </c>
      <c r="P160" s="271">
        <v>0.9</v>
      </c>
      <c r="Q160" s="271">
        <v>0.9</v>
      </c>
      <c r="R160" s="271">
        <v>0.9</v>
      </c>
      <c r="S160" s="271">
        <v>0.9</v>
      </c>
      <c r="T160" s="271">
        <v>0.9</v>
      </c>
      <c r="U160" s="271">
        <v>0.9</v>
      </c>
      <c r="V160" s="271">
        <v>0.9</v>
      </c>
      <c r="W160" s="271">
        <v>0.9</v>
      </c>
      <c r="X160" s="271">
        <v>0.9</v>
      </c>
      <c r="Y160" s="271">
        <v>0.9</v>
      </c>
      <c r="Z160" s="271">
        <v>0.9</v>
      </c>
      <c r="AA160" s="271">
        <v>0.9</v>
      </c>
      <c r="AB160" s="271">
        <v>0.9</v>
      </c>
      <c r="AC160" s="300">
        <v>0</v>
      </c>
    </row>
    <row r="161" spans="2:29" hidden="1" x14ac:dyDescent="0.3">
      <c r="B161" s="274" t="s">
        <v>589</v>
      </c>
      <c r="C161" s="260" t="s">
        <v>578</v>
      </c>
      <c r="D161" s="259" t="s">
        <v>100</v>
      </c>
      <c r="E161" s="301" t="s">
        <v>549</v>
      </c>
      <c r="F161" s="37">
        <v>0</v>
      </c>
      <c r="G161" s="37">
        <v>0</v>
      </c>
      <c r="H161" s="37">
        <v>0</v>
      </c>
      <c r="I161" s="37">
        <v>0</v>
      </c>
      <c r="J161" s="37">
        <v>0</v>
      </c>
      <c r="K161" s="37">
        <v>0</v>
      </c>
      <c r="L161" s="37">
        <v>0</v>
      </c>
      <c r="M161" s="37">
        <v>0.9</v>
      </c>
      <c r="N161" s="37">
        <v>0.9</v>
      </c>
      <c r="O161" s="37">
        <v>0.9</v>
      </c>
      <c r="P161" s="37">
        <v>0.9</v>
      </c>
      <c r="Q161" s="37">
        <v>0.9</v>
      </c>
      <c r="R161" s="37">
        <v>0.9</v>
      </c>
      <c r="S161" s="37">
        <v>0.9</v>
      </c>
      <c r="T161" s="37">
        <v>0.9</v>
      </c>
      <c r="U161" s="37">
        <v>0.9</v>
      </c>
      <c r="V161" s="37">
        <v>0.9</v>
      </c>
      <c r="W161" s="37">
        <v>0.9</v>
      </c>
      <c r="X161" s="37">
        <v>0.9</v>
      </c>
      <c r="Y161" s="37">
        <v>0.9</v>
      </c>
      <c r="Z161" s="37">
        <v>0.9</v>
      </c>
      <c r="AA161" s="37">
        <v>0.9</v>
      </c>
      <c r="AB161" s="37">
        <v>0.9</v>
      </c>
      <c r="AC161" s="301">
        <v>0</v>
      </c>
    </row>
    <row r="162" spans="2:29" hidden="1" x14ac:dyDescent="0.3">
      <c r="B162" s="276" t="s">
        <v>589</v>
      </c>
      <c r="C162" s="277" t="s">
        <v>578</v>
      </c>
      <c r="D162" s="297" t="s">
        <v>100</v>
      </c>
      <c r="E162" s="302" t="s">
        <v>550</v>
      </c>
      <c r="F162" s="279">
        <v>0</v>
      </c>
      <c r="G162" s="279">
        <v>0</v>
      </c>
      <c r="H162" s="279">
        <v>0</v>
      </c>
      <c r="I162" s="279">
        <v>0</v>
      </c>
      <c r="J162" s="279">
        <v>0</v>
      </c>
      <c r="K162" s="279">
        <v>0</v>
      </c>
      <c r="L162" s="279">
        <v>0</v>
      </c>
      <c r="M162" s="279">
        <v>0.9</v>
      </c>
      <c r="N162" s="279">
        <v>0.9</v>
      </c>
      <c r="O162" s="279">
        <v>0.9</v>
      </c>
      <c r="P162" s="279">
        <v>0.9</v>
      </c>
      <c r="Q162" s="279">
        <v>0.9</v>
      </c>
      <c r="R162" s="279">
        <v>0.9</v>
      </c>
      <c r="S162" s="279">
        <v>0.9</v>
      </c>
      <c r="T162" s="279">
        <v>0.9</v>
      </c>
      <c r="U162" s="279">
        <v>0.9</v>
      </c>
      <c r="V162" s="279">
        <v>0.9</v>
      </c>
      <c r="W162" s="279">
        <v>0.9</v>
      </c>
      <c r="X162" s="279">
        <v>0.9</v>
      </c>
      <c r="Y162" s="279">
        <v>0.9</v>
      </c>
      <c r="Z162" s="279">
        <v>0.9</v>
      </c>
      <c r="AA162" s="279">
        <v>0.9</v>
      </c>
      <c r="AB162" s="279">
        <v>0.9</v>
      </c>
      <c r="AC162" s="302">
        <v>0</v>
      </c>
    </row>
    <row r="163" spans="2:29" hidden="1" x14ac:dyDescent="0.3">
      <c r="B163" s="274" t="s">
        <v>585</v>
      </c>
      <c r="C163" s="260" t="s">
        <v>581</v>
      </c>
      <c r="D163" s="260" t="s">
        <v>586</v>
      </c>
      <c r="E163" s="301" t="s">
        <v>548</v>
      </c>
      <c r="F163" s="37">
        <v>2.9967478499999999E-2</v>
      </c>
      <c r="G163" s="37">
        <v>1.9901450000000001E-2</v>
      </c>
      <c r="H163" s="37">
        <v>2.9852175000000002E-2</v>
      </c>
      <c r="I163" s="37">
        <v>1.9901450000000001E-2</v>
      </c>
      <c r="J163" s="37">
        <v>4.9753625000000003E-2</v>
      </c>
      <c r="K163" s="37">
        <v>0.11986991399999999</v>
      </c>
      <c r="L163" s="37">
        <v>0.12985907350000001</v>
      </c>
      <c r="M163" s="37">
        <v>0.1498373925</v>
      </c>
      <c r="N163" s="37">
        <v>0.179804871</v>
      </c>
      <c r="O163" s="37">
        <v>0.20977234950000001</v>
      </c>
      <c r="P163" s="37">
        <v>0.25971814700000001</v>
      </c>
      <c r="Q163" s="37">
        <v>0.28968562549999999</v>
      </c>
      <c r="R163" s="37">
        <v>0.26970730650000002</v>
      </c>
      <c r="S163" s="37">
        <v>0.2497289875</v>
      </c>
      <c r="T163" s="37">
        <v>0.2297506685</v>
      </c>
      <c r="U163" s="37">
        <v>0.2297506685</v>
      </c>
      <c r="V163" s="37">
        <v>0.25971814700000001</v>
      </c>
      <c r="W163" s="37">
        <v>0.25971814700000001</v>
      </c>
      <c r="X163" s="37">
        <v>0.23973982799999999</v>
      </c>
      <c r="Y163" s="37">
        <v>0.21976150899999999</v>
      </c>
      <c r="Z163" s="37">
        <v>0.19978319</v>
      </c>
      <c r="AA163" s="37">
        <v>0.179804871</v>
      </c>
      <c r="AB163" s="37">
        <v>8.9902435500000002E-2</v>
      </c>
      <c r="AC163" s="301">
        <v>2.9967478499999999E-2</v>
      </c>
    </row>
    <row r="164" spans="2:29" ht="12" hidden="1" customHeight="1" x14ac:dyDescent="0.3">
      <c r="B164" s="274" t="s">
        <v>585</v>
      </c>
      <c r="C164" s="260" t="s">
        <v>581</v>
      </c>
      <c r="D164" s="260" t="s">
        <v>586</v>
      </c>
      <c r="E164" s="301" t="s">
        <v>549</v>
      </c>
      <c r="F164" s="37">
        <v>2.9967478499999999E-2</v>
      </c>
      <c r="G164" s="37">
        <v>1.9901450000000001E-2</v>
      </c>
      <c r="H164" s="37">
        <v>2.9852175000000002E-2</v>
      </c>
      <c r="I164" s="37">
        <v>1.9901450000000001E-2</v>
      </c>
      <c r="J164" s="37">
        <v>4.9753625000000003E-2</v>
      </c>
      <c r="K164" s="37">
        <v>0.11940870000000001</v>
      </c>
      <c r="L164" s="37">
        <v>0.12985907350000001</v>
      </c>
      <c r="M164" s="37">
        <v>0.1498373925</v>
      </c>
      <c r="N164" s="37">
        <v>0.179804871</v>
      </c>
      <c r="O164" s="37">
        <v>0.20977234950000001</v>
      </c>
      <c r="P164" s="37">
        <v>0.25971814700000001</v>
      </c>
      <c r="Q164" s="37">
        <v>0.28968562549999999</v>
      </c>
      <c r="R164" s="37">
        <v>0.26970730650000002</v>
      </c>
      <c r="S164" s="37">
        <v>0.2497289875</v>
      </c>
      <c r="T164" s="37">
        <v>0.2297506685</v>
      </c>
      <c r="U164" s="37">
        <v>0.2297506685</v>
      </c>
      <c r="V164" s="37">
        <v>0.25971814700000001</v>
      </c>
      <c r="W164" s="37">
        <v>0.25971814700000001</v>
      </c>
      <c r="X164" s="37">
        <v>0.23973982799999999</v>
      </c>
      <c r="Y164" s="37">
        <v>0.21976150899999999</v>
      </c>
      <c r="Z164" s="37">
        <v>0.19978319</v>
      </c>
      <c r="AA164" s="37">
        <v>0.179804871</v>
      </c>
      <c r="AB164" s="37">
        <v>8.9902435500000002E-2</v>
      </c>
      <c r="AC164" s="301">
        <v>2.9967478499999999E-2</v>
      </c>
    </row>
    <row r="165" spans="2:29" hidden="1" x14ac:dyDescent="0.3">
      <c r="B165" s="274" t="s">
        <v>585</v>
      </c>
      <c r="C165" s="260" t="s">
        <v>581</v>
      </c>
      <c r="D165" s="260" t="s">
        <v>586</v>
      </c>
      <c r="E165" s="301" t="s">
        <v>550</v>
      </c>
      <c r="F165" s="37">
        <v>2.9967478499999999E-2</v>
      </c>
      <c r="G165" s="37">
        <v>1.9901450000000001E-2</v>
      </c>
      <c r="H165" s="37">
        <v>2.9852175000000002E-2</v>
      </c>
      <c r="I165" s="37">
        <v>1.9901450000000001E-2</v>
      </c>
      <c r="J165" s="37">
        <v>4.9753625000000003E-2</v>
      </c>
      <c r="K165" s="37">
        <v>0.11940870000000001</v>
      </c>
      <c r="L165" s="37">
        <v>0.12985907350000001</v>
      </c>
      <c r="M165" s="37">
        <v>0.1498373925</v>
      </c>
      <c r="N165" s="37">
        <v>0.179804871</v>
      </c>
      <c r="O165" s="37">
        <v>0.20977234950000001</v>
      </c>
      <c r="P165" s="37">
        <v>0.25971814700000001</v>
      </c>
      <c r="Q165" s="37">
        <v>0.28968562549999999</v>
      </c>
      <c r="R165" s="37">
        <v>0.26970730650000002</v>
      </c>
      <c r="S165" s="37">
        <v>0.2497289875</v>
      </c>
      <c r="T165" s="37">
        <v>0.2297506685</v>
      </c>
      <c r="U165" s="37">
        <v>0.2297506685</v>
      </c>
      <c r="V165" s="37">
        <v>0.25971814700000001</v>
      </c>
      <c r="W165" s="37">
        <v>0.25971814700000001</v>
      </c>
      <c r="X165" s="37">
        <v>0.23973982799999999</v>
      </c>
      <c r="Y165" s="37">
        <v>0.21976150899999999</v>
      </c>
      <c r="Z165" s="37">
        <v>0.19978319</v>
      </c>
      <c r="AA165" s="37">
        <v>0.179804871</v>
      </c>
      <c r="AB165" s="37">
        <v>8.9902435500000002E-2</v>
      </c>
      <c r="AC165" s="301">
        <v>2.9967478499999999E-2</v>
      </c>
    </row>
    <row r="166" spans="2:29" hidden="1" x14ac:dyDescent="0.3">
      <c r="B166" s="268" t="s">
        <v>546</v>
      </c>
      <c r="C166" s="269" t="s">
        <v>581</v>
      </c>
      <c r="D166" s="269" t="s">
        <v>586</v>
      </c>
      <c r="E166" s="300" t="s">
        <v>548</v>
      </c>
      <c r="F166" s="271">
        <v>0.05</v>
      </c>
      <c r="G166" s="271">
        <v>0</v>
      </c>
      <c r="H166" s="271">
        <v>0</v>
      </c>
      <c r="I166" s="271">
        <v>0</v>
      </c>
      <c r="J166" s="271">
        <v>0</v>
      </c>
      <c r="K166" s="271">
        <v>0.05</v>
      </c>
      <c r="L166" s="271">
        <v>0.1</v>
      </c>
      <c r="M166" s="271">
        <v>0.4</v>
      </c>
      <c r="N166" s="271">
        <v>0.4</v>
      </c>
      <c r="O166" s="271">
        <v>0.4</v>
      </c>
      <c r="P166" s="271">
        <v>0.2</v>
      </c>
      <c r="Q166" s="271">
        <v>0.5</v>
      </c>
      <c r="R166" s="271">
        <v>0.8</v>
      </c>
      <c r="S166" s="271">
        <v>0.7</v>
      </c>
      <c r="T166" s="271">
        <v>0.4</v>
      </c>
      <c r="U166" s="271">
        <v>0.2</v>
      </c>
      <c r="V166" s="271">
        <v>0.25</v>
      </c>
      <c r="W166" s="271">
        <v>0.5</v>
      </c>
      <c r="X166" s="271">
        <v>0.8</v>
      </c>
      <c r="Y166" s="271">
        <v>0.8</v>
      </c>
      <c r="Z166" s="271">
        <v>0.8</v>
      </c>
      <c r="AA166" s="271">
        <v>0.5</v>
      </c>
      <c r="AB166" s="271">
        <v>0.35</v>
      </c>
      <c r="AC166" s="300">
        <v>0.2</v>
      </c>
    </row>
    <row r="167" spans="2:29" hidden="1" x14ac:dyDescent="0.3">
      <c r="B167" s="274" t="s">
        <v>546</v>
      </c>
      <c r="C167" s="260" t="s">
        <v>581</v>
      </c>
      <c r="D167" s="260" t="s">
        <v>586</v>
      </c>
      <c r="E167" s="301" t="s">
        <v>549</v>
      </c>
      <c r="F167" s="37">
        <v>0.05</v>
      </c>
      <c r="G167" s="37">
        <v>0</v>
      </c>
      <c r="H167" s="37">
        <v>0</v>
      </c>
      <c r="I167" s="37">
        <v>0</v>
      </c>
      <c r="J167" s="37">
        <v>0</v>
      </c>
      <c r="K167" s="37">
        <v>0</v>
      </c>
      <c r="L167" s="37">
        <v>0.05</v>
      </c>
      <c r="M167" s="37">
        <v>0.5</v>
      </c>
      <c r="N167" s="37">
        <v>0.5</v>
      </c>
      <c r="O167" s="37">
        <v>0.4</v>
      </c>
      <c r="P167" s="37">
        <v>0.2</v>
      </c>
      <c r="Q167" s="37">
        <v>0.45</v>
      </c>
      <c r="R167" s="37">
        <v>0.5</v>
      </c>
      <c r="S167" s="37">
        <v>0.5</v>
      </c>
      <c r="T167" s="37">
        <v>0.35</v>
      </c>
      <c r="U167" s="37">
        <v>0.3</v>
      </c>
      <c r="V167" s="37">
        <v>0.3</v>
      </c>
      <c r="W167" s="37">
        <v>0.3</v>
      </c>
      <c r="X167" s="37">
        <v>0.7</v>
      </c>
      <c r="Y167" s="37">
        <v>0.9</v>
      </c>
      <c r="Z167" s="37">
        <v>0.7</v>
      </c>
      <c r="AA167" s="37">
        <v>0.65</v>
      </c>
      <c r="AB167" s="37">
        <v>0.55000000000000004</v>
      </c>
      <c r="AC167" s="301">
        <v>0.35</v>
      </c>
    </row>
    <row r="168" spans="2:29" hidden="1" x14ac:dyDescent="0.3">
      <c r="B168" s="276" t="s">
        <v>546</v>
      </c>
      <c r="C168" s="277" t="s">
        <v>581</v>
      </c>
      <c r="D168" s="277" t="s">
        <v>586</v>
      </c>
      <c r="E168" s="302" t="s">
        <v>550</v>
      </c>
      <c r="F168" s="279">
        <v>0.05</v>
      </c>
      <c r="G168" s="279">
        <v>0</v>
      </c>
      <c r="H168" s="279">
        <v>0</v>
      </c>
      <c r="I168" s="279">
        <v>0</v>
      </c>
      <c r="J168" s="279">
        <v>0</v>
      </c>
      <c r="K168" s="279">
        <v>0</v>
      </c>
      <c r="L168" s="279">
        <v>0.05</v>
      </c>
      <c r="M168" s="279">
        <v>0.5</v>
      </c>
      <c r="N168" s="279">
        <v>0.5</v>
      </c>
      <c r="O168" s="279">
        <v>0.2</v>
      </c>
      <c r="P168" s="279">
        <v>0.2</v>
      </c>
      <c r="Q168" s="279">
        <v>0.3</v>
      </c>
      <c r="R168" s="279">
        <v>0.5</v>
      </c>
      <c r="S168" s="279">
        <v>0.5</v>
      </c>
      <c r="T168" s="279">
        <v>0.3</v>
      </c>
      <c r="U168" s="279">
        <v>0.2</v>
      </c>
      <c r="V168" s="279">
        <v>0.25</v>
      </c>
      <c r="W168" s="279">
        <v>0.35</v>
      </c>
      <c r="X168" s="279">
        <v>0.55000000000000004</v>
      </c>
      <c r="Y168" s="279">
        <v>0.65</v>
      </c>
      <c r="Z168" s="279">
        <v>0.7</v>
      </c>
      <c r="AA168" s="279">
        <v>0.35</v>
      </c>
      <c r="AB168" s="279">
        <v>0.2</v>
      </c>
      <c r="AC168" s="302">
        <v>0.2</v>
      </c>
    </row>
    <row r="169" spans="2:29" hidden="1" x14ac:dyDescent="0.3">
      <c r="B169" s="274" t="s">
        <v>589</v>
      </c>
      <c r="C169" s="260" t="s">
        <v>581</v>
      </c>
      <c r="D169" s="260" t="s">
        <v>586</v>
      </c>
      <c r="E169" s="301" t="s">
        <v>548</v>
      </c>
      <c r="F169" s="37">
        <v>0.13686000000000001</v>
      </c>
      <c r="G169" s="37">
        <v>0.13686000000000001</v>
      </c>
      <c r="H169" s="37">
        <v>0.13686000000000001</v>
      </c>
      <c r="I169" s="37">
        <v>0.13686000000000001</v>
      </c>
      <c r="J169" s="37">
        <v>0.13686000000000001</v>
      </c>
      <c r="K169" s="37">
        <v>0.18248</v>
      </c>
      <c r="L169" s="37">
        <v>0.36496000000000001</v>
      </c>
      <c r="M169" s="37">
        <v>0.36496000000000001</v>
      </c>
      <c r="N169" s="37">
        <v>0.54742999999999997</v>
      </c>
      <c r="O169" s="37">
        <v>0.54742999999999997</v>
      </c>
      <c r="P169" s="37">
        <v>0.82115000000000005</v>
      </c>
      <c r="Q169" s="37">
        <v>0.82115000000000005</v>
      </c>
      <c r="R169" s="37">
        <v>0.82115000000000005</v>
      </c>
      <c r="S169" s="37">
        <v>0.82115000000000005</v>
      </c>
      <c r="T169" s="37">
        <v>0.82115000000000005</v>
      </c>
      <c r="U169" s="37">
        <v>0.82115000000000005</v>
      </c>
      <c r="V169" s="37">
        <v>0.82115000000000005</v>
      </c>
      <c r="W169" s="37">
        <v>0.82115000000000005</v>
      </c>
      <c r="X169" s="37">
        <v>0.82115000000000005</v>
      </c>
      <c r="Y169" s="37">
        <v>0.82115000000000005</v>
      </c>
      <c r="Z169" s="37">
        <v>0.82115000000000005</v>
      </c>
      <c r="AA169" s="37">
        <v>0.82115000000000005</v>
      </c>
      <c r="AB169" s="37">
        <v>0.45619999999999999</v>
      </c>
      <c r="AC169" s="301">
        <v>0.27372000000000002</v>
      </c>
    </row>
    <row r="170" spans="2:29" hidden="1" x14ac:dyDescent="0.3">
      <c r="B170" s="274" t="s">
        <v>589</v>
      </c>
      <c r="C170" s="260" t="s">
        <v>581</v>
      </c>
      <c r="D170" s="260" t="s">
        <v>586</v>
      </c>
      <c r="E170" s="301" t="s">
        <v>549</v>
      </c>
      <c r="F170" s="37">
        <v>0.18248</v>
      </c>
      <c r="G170" s="37">
        <v>0.13686000000000001</v>
      </c>
      <c r="H170" s="37">
        <v>0.13686000000000001</v>
      </c>
      <c r="I170" s="37">
        <v>0.13686000000000001</v>
      </c>
      <c r="J170" s="37">
        <v>0.13686000000000001</v>
      </c>
      <c r="K170" s="37">
        <v>0.13686000000000001</v>
      </c>
      <c r="L170" s="37">
        <v>0.27372000000000002</v>
      </c>
      <c r="M170" s="37">
        <v>0.27372000000000002</v>
      </c>
      <c r="N170" s="37">
        <v>0.54742999999999997</v>
      </c>
      <c r="O170" s="37">
        <v>0.54742999999999997</v>
      </c>
      <c r="P170" s="37">
        <v>0.72990999999999995</v>
      </c>
      <c r="Q170" s="37">
        <v>0.72990999999999995</v>
      </c>
      <c r="R170" s="37">
        <v>0.72990999999999995</v>
      </c>
      <c r="S170" s="37">
        <v>0.72990999999999995</v>
      </c>
      <c r="T170" s="37">
        <v>0.72990999999999995</v>
      </c>
      <c r="U170" s="37">
        <v>0.72990999999999995</v>
      </c>
      <c r="V170" s="37">
        <v>0.72990999999999995</v>
      </c>
      <c r="W170" s="37">
        <v>0.82115000000000005</v>
      </c>
      <c r="X170" s="37">
        <v>0.82115000000000005</v>
      </c>
      <c r="Y170" s="37">
        <v>0.82115000000000005</v>
      </c>
      <c r="Z170" s="37">
        <v>0.82115000000000005</v>
      </c>
      <c r="AA170" s="37">
        <v>0.82115000000000005</v>
      </c>
      <c r="AB170" s="37">
        <v>0.45619999999999999</v>
      </c>
      <c r="AC170" s="301">
        <v>0.27372000000000002</v>
      </c>
    </row>
    <row r="171" spans="2:29" hidden="1" x14ac:dyDescent="0.3">
      <c r="B171" s="274" t="s">
        <v>589</v>
      </c>
      <c r="C171" s="260" t="s">
        <v>581</v>
      </c>
      <c r="D171" s="260" t="s">
        <v>586</v>
      </c>
      <c r="E171" s="301" t="s">
        <v>550</v>
      </c>
      <c r="F171" s="37">
        <v>0.18248</v>
      </c>
      <c r="G171" s="37">
        <v>0.13686000000000001</v>
      </c>
      <c r="H171" s="37">
        <v>0.13686000000000001</v>
      </c>
      <c r="I171" s="37">
        <v>0.13686000000000001</v>
      </c>
      <c r="J171" s="37">
        <v>0.13686000000000001</v>
      </c>
      <c r="K171" s="37">
        <v>0.13686000000000001</v>
      </c>
      <c r="L171" s="37">
        <v>0.27372000000000002</v>
      </c>
      <c r="M171" s="37">
        <v>0.27372000000000002</v>
      </c>
      <c r="N171" s="37">
        <v>0.45619999999999999</v>
      </c>
      <c r="O171" s="37">
        <v>0.45619999999999999</v>
      </c>
      <c r="P171" s="37">
        <v>0.63866999999999996</v>
      </c>
      <c r="Q171" s="37">
        <v>0.63866999999999996</v>
      </c>
      <c r="R171" s="37">
        <v>0.63866999999999996</v>
      </c>
      <c r="S171" s="37">
        <v>0.63866999999999996</v>
      </c>
      <c r="T171" s="37">
        <v>0.63866999999999996</v>
      </c>
      <c r="U171" s="37">
        <v>0.63866999999999996</v>
      </c>
      <c r="V171" s="37">
        <v>0.54742999999999997</v>
      </c>
      <c r="W171" s="37">
        <v>0.54742999999999997</v>
      </c>
      <c r="X171" s="37">
        <v>0.54742999999999997</v>
      </c>
      <c r="Y171" s="37">
        <v>0.54742999999999997</v>
      </c>
      <c r="Z171" s="37">
        <v>0.54742999999999997</v>
      </c>
      <c r="AA171" s="37">
        <v>0.54742999999999997</v>
      </c>
      <c r="AB171" s="37">
        <v>0.45619999999999999</v>
      </c>
      <c r="AC171" s="301">
        <v>0.27372000000000002</v>
      </c>
    </row>
    <row r="172" spans="2:29" hidden="1" x14ac:dyDescent="0.3">
      <c r="B172" s="268" t="s">
        <v>585</v>
      </c>
      <c r="C172" s="269" t="s">
        <v>580</v>
      </c>
      <c r="D172" s="269" t="s">
        <v>100</v>
      </c>
      <c r="E172" s="300" t="s">
        <v>548</v>
      </c>
      <c r="F172" s="271">
        <v>0.15</v>
      </c>
      <c r="G172" s="271">
        <v>0.15</v>
      </c>
      <c r="H172" s="271">
        <v>0.15</v>
      </c>
      <c r="I172" s="271">
        <v>0.15</v>
      </c>
      <c r="J172" s="271">
        <v>0.15</v>
      </c>
      <c r="K172" s="271">
        <v>0.2</v>
      </c>
      <c r="L172" s="271">
        <v>0.4</v>
      </c>
      <c r="M172" s="271">
        <v>0.4</v>
      </c>
      <c r="N172" s="271">
        <v>0.6</v>
      </c>
      <c r="O172" s="271">
        <v>0.6</v>
      </c>
      <c r="P172" s="271">
        <v>0.9</v>
      </c>
      <c r="Q172" s="271">
        <v>0.9</v>
      </c>
      <c r="R172" s="271">
        <v>0.9</v>
      </c>
      <c r="S172" s="271">
        <v>0.9</v>
      </c>
      <c r="T172" s="271">
        <v>0.9</v>
      </c>
      <c r="U172" s="271">
        <v>0.9</v>
      </c>
      <c r="V172" s="271">
        <v>0.9</v>
      </c>
      <c r="W172" s="271">
        <v>0.9</v>
      </c>
      <c r="X172" s="271">
        <v>0.9</v>
      </c>
      <c r="Y172" s="271">
        <v>0.9</v>
      </c>
      <c r="Z172" s="271">
        <v>0.9</v>
      </c>
      <c r="AA172" s="271">
        <v>0.9</v>
      </c>
      <c r="AB172" s="271">
        <v>0.5</v>
      </c>
      <c r="AC172" s="300">
        <v>0.3</v>
      </c>
    </row>
    <row r="173" spans="2:29" hidden="1" x14ac:dyDescent="0.3">
      <c r="B173" s="274" t="s">
        <v>585</v>
      </c>
      <c r="C173" s="260" t="s">
        <v>580</v>
      </c>
      <c r="D173" s="260" t="s">
        <v>100</v>
      </c>
      <c r="E173" s="301" t="s">
        <v>549</v>
      </c>
      <c r="F173" s="37">
        <v>0.2</v>
      </c>
      <c r="G173" s="37">
        <v>0.15</v>
      </c>
      <c r="H173" s="37">
        <v>0.15</v>
      </c>
      <c r="I173" s="37">
        <v>0.15</v>
      </c>
      <c r="J173" s="37">
        <v>0.15</v>
      </c>
      <c r="K173" s="37">
        <v>0.15</v>
      </c>
      <c r="L173" s="37">
        <v>0.3</v>
      </c>
      <c r="M173" s="37">
        <v>0.3</v>
      </c>
      <c r="N173" s="37">
        <v>0.6</v>
      </c>
      <c r="O173" s="37">
        <v>0.6</v>
      </c>
      <c r="P173" s="37">
        <v>0.8</v>
      </c>
      <c r="Q173" s="37">
        <v>0.8</v>
      </c>
      <c r="R173" s="37">
        <v>0.8</v>
      </c>
      <c r="S173" s="37">
        <v>0.8</v>
      </c>
      <c r="T173" s="37">
        <v>0.8</v>
      </c>
      <c r="U173" s="37">
        <v>0.8</v>
      </c>
      <c r="V173" s="37">
        <v>0.8</v>
      </c>
      <c r="W173" s="37">
        <v>0.9</v>
      </c>
      <c r="X173" s="37">
        <v>0.9</v>
      </c>
      <c r="Y173" s="37">
        <v>0.9</v>
      </c>
      <c r="Z173" s="37">
        <v>0.9</v>
      </c>
      <c r="AA173" s="37">
        <v>0.9</v>
      </c>
      <c r="AB173" s="37">
        <v>0.5</v>
      </c>
      <c r="AC173" s="301">
        <v>0.3</v>
      </c>
    </row>
    <row r="174" spans="2:29" hidden="1" x14ac:dyDescent="0.3">
      <c r="B174" s="276" t="s">
        <v>585</v>
      </c>
      <c r="C174" s="277" t="s">
        <v>580</v>
      </c>
      <c r="D174" s="277" t="s">
        <v>100</v>
      </c>
      <c r="E174" s="302" t="s">
        <v>550</v>
      </c>
      <c r="F174" s="279">
        <v>0.2</v>
      </c>
      <c r="G174" s="279">
        <v>0.15</v>
      </c>
      <c r="H174" s="279">
        <v>0.15</v>
      </c>
      <c r="I174" s="279">
        <v>0.15</v>
      </c>
      <c r="J174" s="279">
        <v>0.15</v>
      </c>
      <c r="K174" s="279">
        <v>0.15</v>
      </c>
      <c r="L174" s="279">
        <v>0.3</v>
      </c>
      <c r="M174" s="279">
        <v>0.3</v>
      </c>
      <c r="N174" s="279">
        <v>0.5</v>
      </c>
      <c r="O174" s="279">
        <v>0.5</v>
      </c>
      <c r="P174" s="279">
        <v>0.7</v>
      </c>
      <c r="Q174" s="279">
        <v>0.7</v>
      </c>
      <c r="R174" s="279">
        <v>0.7</v>
      </c>
      <c r="S174" s="279">
        <v>0.7</v>
      </c>
      <c r="T174" s="279">
        <v>0.7</v>
      </c>
      <c r="U174" s="279">
        <v>0.7</v>
      </c>
      <c r="V174" s="279">
        <v>0.6</v>
      </c>
      <c r="W174" s="279">
        <v>0.6</v>
      </c>
      <c r="X174" s="279">
        <v>0.6</v>
      </c>
      <c r="Y174" s="279">
        <v>0.6</v>
      </c>
      <c r="Z174" s="279">
        <v>0.6</v>
      </c>
      <c r="AA174" s="279">
        <v>0.6</v>
      </c>
      <c r="AB174" s="279">
        <v>0.5</v>
      </c>
      <c r="AC174" s="302">
        <v>0.3</v>
      </c>
    </row>
    <row r="175" spans="2:29" hidden="1" x14ac:dyDescent="0.3">
      <c r="B175" s="274" t="s">
        <v>546</v>
      </c>
      <c r="C175" s="260" t="s">
        <v>580</v>
      </c>
      <c r="D175" s="260" t="s">
        <v>100</v>
      </c>
      <c r="E175" s="301" t="s">
        <v>548</v>
      </c>
      <c r="F175" s="37">
        <v>0.15</v>
      </c>
      <c r="G175" s="37">
        <v>0.15</v>
      </c>
      <c r="H175" s="37">
        <v>0.05</v>
      </c>
      <c r="I175" s="37">
        <v>0</v>
      </c>
      <c r="J175" s="37">
        <v>0</v>
      </c>
      <c r="K175" s="37">
        <v>0</v>
      </c>
      <c r="L175" s="37">
        <v>0</v>
      </c>
      <c r="M175" s="37">
        <v>0.05</v>
      </c>
      <c r="N175" s="37">
        <v>0.05</v>
      </c>
      <c r="O175" s="37">
        <v>0.05</v>
      </c>
      <c r="P175" s="37">
        <v>0.2</v>
      </c>
      <c r="Q175" s="37">
        <v>0.5</v>
      </c>
      <c r="R175" s="37">
        <v>0.8</v>
      </c>
      <c r="S175" s="37">
        <v>0.7</v>
      </c>
      <c r="T175" s="37">
        <v>0.4</v>
      </c>
      <c r="U175" s="37">
        <v>0.2</v>
      </c>
      <c r="V175" s="37">
        <v>0.25</v>
      </c>
      <c r="W175" s="37">
        <v>0.5</v>
      </c>
      <c r="X175" s="37">
        <v>0.8</v>
      </c>
      <c r="Y175" s="37">
        <v>0.8</v>
      </c>
      <c r="Z175" s="37">
        <v>0.8</v>
      </c>
      <c r="AA175" s="37">
        <v>0.5</v>
      </c>
      <c r="AB175" s="37">
        <v>0.35</v>
      </c>
      <c r="AC175" s="301">
        <v>0.2</v>
      </c>
    </row>
    <row r="176" spans="2:29" hidden="1" x14ac:dyDescent="0.3">
      <c r="B176" s="274" t="s">
        <v>546</v>
      </c>
      <c r="C176" s="260" t="s">
        <v>580</v>
      </c>
      <c r="D176" s="260" t="s">
        <v>100</v>
      </c>
      <c r="E176" s="301" t="s">
        <v>549</v>
      </c>
      <c r="F176" s="37">
        <v>0.3</v>
      </c>
      <c r="G176" s="37">
        <v>0.25</v>
      </c>
      <c r="H176" s="37">
        <v>0.05</v>
      </c>
      <c r="I176" s="37">
        <v>0</v>
      </c>
      <c r="J176" s="37">
        <v>0</v>
      </c>
      <c r="K176" s="37">
        <v>0</v>
      </c>
      <c r="L176" s="37">
        <v>0</v>
      </c>
      <c r="M176" s="37">
        <v>0</v>
      </c>
      <c r="N176" s="37">
        <v>0</v>
      </c>
      <c r="O176" s="37">
        <v>0.05</v>
      </c>
      <c r="P176" s="37">
        <v>0.2</v>
      </c>
      <c r="Q176" s="37">
        <v>0.45</v>
      </c>
      <c r="R176" s="37">
        <v>0.5</v>
      </c>
      <c r="S176" s="37">
        <v>0.5</v>
      </c>
      <c r="T176" s="37">
        <v>0.35</v>
      </c>
      <c r="U176" s="37">
        <v>0.3</v>
      </c>
      <c r="V176" s="37">
        <v>0.3</v>
      </c>
      <c r="W176" s="37">
        <v>0.3</v>
      </c>
      <c r="X176" s="37">
        <v>0.7</v>
      </c>
      <c r="Y176" s="37">
        <v>0.9</v>
      </c>
      <c r="Z176" s="37">
        <v>0.7</v>
      </c>
      <c r="AA176" s="37">
        <v>0.65</v>
      </c>
      <c r="AB176" s="37">
        <v>0.55000000000000004</v>
      </c>
      <c r="AC176" s="301">
        <v>0.35</v>
      </c>
    </row>
    <row r="177" spans="2:29" hidden="1" x14ac:dyDescent="0.3">
      <c r="B177" s="274" t="s">
        <v>546</v>
      </c>
      <c r="C177" s="260" t="s">
        <v>580</v>
      </c>
      <c r="D177" s="260" t="s">
        <v>100</v>
      </c>
      <c r="E177" s="301" t="s">
        <v>550</v>
      </c>
      <c r="F177" s="37">
        <v>0.2</v>
      </c>
      <c r="G177" s="37">
        <v>0.2</v>
      </c>
      <c r="H177" s="37">
        <v>0.05</v>
      </c>
      <c r="I177" s="37">
        <v>0</v>
      </c>
      <c r="J177" s="37">
        <v>0</v>
      </c>
      <c r="K177" s="37">
        <v>0</v>
      </c>
      <c r="L177" s="37">
        <v>0</v>
      </c>
      <c r="M177" s="37">
        <v>0</v>
      </c>
      <c r="N177" s="37">
        <v>0</v>
      </c>
      <c r="O177" s="37">
        <v>0</v>
      </c>
      <c r="P177" s="37">
        <v>0.1</v>
      </c>
      <c r="Q177" s="37">
        <v>0.2</v>
      </c>
      <c r="R177" s="37">
        <v>0.25</v>
      </c>
      <c r="S177" s="37">
        <v>0.25</v>
      </c>
      <c r="T177" s="37">
        <v>0.15</v>
      </c>
      <c r="U177" s="37">
        <v>0.2</v>
      </c>
      <c r="V177" s="37">
        <v>0.25</v>
      </c>
      <c r="W177" s="37">
        <v>0.35</v>
      </c>
      <c r="X177" s="37">
        <v>0.55000000000000004</v>
      </c>
      <c r="Y177" s="37">
        <v>0.65</v>
      </c>
      <c r="Z177" s="37">
        <v>0.7</v>
      </c>
      <c r="AA177" s="37">
        <v>0.35</v>
      </c>
      <c r="AB177" s="37">
        <v>0.2</v>
      </c>
      <c r="AC177" s="301">
        <v>0.2</v>
      </c>
    </row>
    <row r="178" spans="2:29" hidden="1" x14ac:dyDescent="0.3">
      <c r="B178" s="268" t="s">
        <v>589</v>
      </c>
      <c r="C178" s="269" t="s">
        <v>580</v>
      </c>
      <c r="D178" s="269" t="s">
        <v>100</v>
      </c>
      <c r="E178" s="300" t="s">
        <v>548</v>
      </c>
      <c r="F178" s="271">
        <v>0.15</v>
      </c>
      <c r="G178" s="271">
        <v>0.15</v>
      </c>
      <c r="H178" s="271">
        <v>0.15</v>
      </c>
      <c r="I178" s="271">
        <v>0.15</v>
      </c>
      <c r="J178" s="271">
        <v>0.15</v>
      </c>
      <c r="K178" s="271">
        <v>0.2</v>
      </c>
      <c r="L178" s="271">
        <v>0.35</v>
      </c>
      <c r="M178" s="271">
        <v>0.35</v>
      </c>
      <c r="N178" s="271">
        <v>0.55000000000000004</v>
      </c>
      <c r="O178" s="271">
        <v>0.55000000000000004</v>
      </c>
      <c r="P178" s="271">
        <v>0.85</v>
      </c>
      <c r="Q178" s="271">
        <v>0.85</v>
      </c>
      <c r="R178" s="271">
        <v>0.85</v>
      </c>
      <c r="S178" s="271">
        <v>0.85</v>
      </c>
      <c r="T178" s="271">
        <v>0.85</v>
      </c>
      <c r="U178" s="271">
        <v>0.85</v>
      </c>
      <c r="V178" s="271">
        <v>0.85</v>
      </c>
      <c r="W178" s="271">
        <v>0.85</v>
      </c>
      <c r="X178" s="271">
        <v>0.85</v>
      </c>
      <c r="Y178" s="271">
        <v>0.85</v>
      </c>
      <c r="Z178" s="271">
        <v>0.85</v>
      </c>
      <c r="AA178" s="271">
        <v>0.85</v>
      </c>
      <c r="AB178" s="271">
        <v>0.45</v>
      </c>
      <c r="AC178" s="300">
        <v>0.3</v>
      </c>
    </row>
    <row r="179" spans="2:29" hidden="1" x14ac:dyDescent="0.3">
      <c r="B179" s="274" t="s">
        <v>589</v>
      </c>
      <c r="C179" s="260" t="s">
        <v>580</v>
      </c>
      <c r="D179" s="260" t="s">
        <v>100</v>
      </c>
      <c r="E179" s="301" t="s">
        <v>549</v>
      </c>
      <c r="F179" s="37">
        <v>0.2</v>
      </c>
      <c r="G179" s="37">
        <v>0.15</v>
      </c>
      <c r="H179" s="37">
        <v>0.15</v>
      </c>
      <c r="I179" s="37">
        <v>0.15</v>
      </c>
      <c r="J179" s="37">
        <v>0.15</v>
      </c>
      <c r="K179" s="37">
        <v>0.15</v>
      </c>
      <c r="L179" s="37">
        <v>0.3</v>
      </c>
      <c r="M179" s="37">
        <v>0.3</v>
      </c>
      <c r="N179" s="37">
        <v>0.55000000000000004</v>
      </c>
      <c r="O179" s="37">
        <v>0.55000000000000004</v>
      </c>
      <c r="P179" s="37">
        <v>0.75</v>
      </c>
      <c r="Q179" s="37">
        <v>0.75</v>
      </c>
      <c r="R179" s="37">
        <v>0.75</v>
      </c>
      <c r="S179" s="37">
        <v>0.75</v>
      </c>
      <c r="T179" s="37">
        <v>0.75</v>
      </c>
      <c r="U179" s="37">
        <v>0.75</v>
      </c>
      <c r="V179" s="37">
        <v>0.75</v>
      </c>
      <c r="W179" s="37">
        <v>0.85</v>
      </c>
      <c r="X179" s="37">
        <v>0.85</v>
      </c>
      <c r="Y179" s="37">
        <v>0.85</v>
      </c>
      <c r="Z179" s="37">
        <v>0.85</v>
      </c>
      <c r="AA179" s="37">
        <v>0.85</v>
      </c>
      <c r="AB179" s="37">
        <v>0.45</v>
      </c>
      <c r="AC179" s="301">
        <v>0.3</v>
      </c>
    </row>
    <row r="180" spans="2:29" hidden="1" x14ac:dyDescent="0.3">
      <c r="B180" s="276" t="s">
        <v>589</v>
      </c>
      <c r="C180" s="277" t="s">
        <v>580</v>
      </c>
      <c r="D180" s="277" t="s">
        <v>100</v>
      </c>
      <c r="E180" s="302" t="s">
        <v>550</v>
      </c>
      <c r="F180" s="279">
        <v>0.2</v>
      </c>
      <c r="G180" s="279">
        <v>0.15</v>
      </c>
      <c r="H180" s="279">
        <v>0.15</v>
      </c>
      <c r="I180" s="279">
        <v>0.15</v>
      </c>
      <c r="J180" s="279">
        <v>0.15</v>
      </c>
      <c r="K180" s="279">
        <v>0.15</v>
      </c>
      <c r="L180" s="279">
        <v>0.3</v>
      </c>
      <c r="M180" s="279">
        <v>0.3</v>
      </c>
      <c r="N180" s="279">
        <v>0.45</v>
      </c>
      <c r="O180" s="279">
        <v>0.45</v>
      </c>
      <c r="P180" s="279">
        <v>0.65</v>
      </c>
      <c r="Q180" s="279">
        <v>0.65</v>
      </c>
      <c r="R180" s="279">
        <v>0.65</v>
      </c>
      <c r="S180" s="279">
        <v>0.65</v>
      </c>
      <c r="T180" s="279">
        <v>0.65</v>
      </c>
      <c r="U180" s="279">
        <v>0.65</v>
      </c>
      <c r="V180" s="279">
        <v>0.55000000000000004</v>
      </c>
      <c r="W180" s="279">
        <v>0.55000000000000004</v>
      </c>
      <c r="X180" s="279">
        <v>0.55000000000000004</v>
      </c>
      <c r="Y180" s="279">
        <v>0.55000000000000004</v>
      </c>
      <c r="Z180" s="279">
        <v>0.55000000000000004</v>
      </c>
      <c r="AA180" s="279">
        <v>0.55000000000000004</v>
      </c>
      <c r="AB180" s="279">
        <v>0.45</v>
      </c>
      <c r="AC180" s="302">
        <v>0.3</v>
      </c>
    </row>
    <row r="181" spans="2:29" hidden="1" x14ac:dyDescent="0.3">
      <c r="B181" s="274" t="s">
        <v>585</v>
      </c>
      <c r="C181" s="260" t="s">
        <v>580</v>
      </c>
      <c r="D181" s="260" t="s">
        <v>80</v>
      </c>
      <c r="E181" s="301" t="s">
        <v>548</v>
      </c>
      <c r="F181" s="37">
        <v>0.15</v>
      </c>
      <c r="G181" s="37">
        <v>0.15</v>
      </c>
      <c r="H181" s="37">
        <v>0.15</v>
      </c>
      <c r="I181" s="37">
        <v>0.15</v>
      </c>
      <c r="J181" s="37">
        <v>0.15</v>
      </c>
      <c r="K181" s="37">
        <v>0.2</v>
      </c>
      <c r="L181" s="37">
        <v>0.4</v>
      </c>
      <c r="M181" s="37">
        <v>0.4</v>
      </c>
      <c r="N181" s="37">
        <v>0.6</v>
      </c>
      <c r="O181" s="37">
        <v>0.6</v>
      </c>
      <c r="P181" s="37">
        <v>0.9</v>
      </c>
      <c r="Q181" s="37">
        <v>0.9</v>
      </c>
      <c r="R181" s="37">
        <v>0.9</v>
      </c>
      <c r="S181" s="37">
        <v>0.9</v>
      </c>
      <c r="T181" s="37">
        <v>0.9</v>
      </c>
      <c r="U181" s="37">
        <v>0.9</v>
      </c>
      <c r="V181" s="37">
        <v>0.9</v>
      </c>
      <c r="W181" s="37">
        <v>0.9</v>
      </c>
      <c r="X181" s="37">
        <v>0.9</v>
      </c>
      <c r="Y181" s="37">
        <v>0.9</v>
      </c>
      <c r="Z181" s="37">
        <v>0.9</v>
      </c>
      <c r="AA181" s="37">
        <v>0.9</v>
      </c>
      <c r="AB181" s="37">
        <v>0.5</v>
      </c>
      <c r="AC181" s="301">
        <v>0.3</v>
      </c>
    </row>
    <row r="182" spans="2:29" hidden="1" x14ac:dyDescent="0.3">
      <c r="B182" s="274" t="s">
        <v>585</v>
      </c>
      <c r="C182" s="260" t="s">
        <v>580</v>
      </c>
      <c r="D182" s="260" t="s">
        <v>80</v>
      </c>
      <c r="E182" s="301" t="s">
        <v>549</v>
      </c>
      <c r="F182" s="37">
        <v>0.2</v>
      </c>
      <c r="G182" s="37">
        <v>0.15</v>
      </c>
      <c r="H182" s="37">
        <v>0.15</v>
      </c>
      <c r="I182" s="37">
        <v>0.15</v>
      </c>
      <c r="J182" s="37">
        <v>0.15</v>
      </c>
      <c r="K182" s="37">
        <v>0.15</v>
      </c>
      <c r="L182" s="37">
        <v>0.3</v>
      </c>
      <c r="M182" s="37">
        <v>0.3</v>
      </c>
      <c r="N182" s="37">
        <v>0.6</v>
      </c>
      <c r="O182" s="37">
        <v>0.6</v>
      </c>
      <c r="P182" s="37">
        <v>0.8</v>
      </c>
      <c r="Q182" s="37">
        <v>0.8</v>
      </c>
      <c r="R182" s="37">
        <v>0.8</v>
      </c>
      <c r="S182" s="37">
        <v>0.8</v>
      </c>
      <c r="T182" s="37">
        <v>0.8</v>
      </c>
      <c r="U182" s="37">
        <v>0.8</v>
      </c>
      <c r="V182" s="37">
        <v>0.8</v>
      </c>
      <c r="W182" s="37">
        <v>0.9</v>
      </c>
      <c r="X182" s="37">
        <v>0.9</v>
      </c>
      <c r="Y182" s="37">
        <v>0.9</v>
      </c>
      <c r="Z182" s="37">
        <v>0.9</v>
      </c>
      <c r="AA182" s="37">
        <v>0.9</v>
      </c>
      <c r="AB182" s="37">
        <v>0.5</v>
      </c>
      <c r="AC182" s="301">
        <v>0.3</v>
      </c>
    </row>
    <row r="183" spans="2:29" hidden="1" x14ac:dyDescent="0.3">
      <c r="B183" s="274" t="s">
        <v>585</v>
      </c>
      <c r="C183" s="260" t="s">
        <v>580</v>
      </c>
      <c r="D183" s="260" t="s">
        <v>80</v>
      </c>
      <c r="E183" s="301" t="s">
        <v>550</v>
      </c>
      <c r="F183" s="37">
        <v>0.2</v>
      </c>
      <c r="G183" s="37">
        <v>0.15</v>
      </c>
      <c r="H183" s="37">
        <v>0.15</v>
      </c>
      <c r="I183" s="37">
        <v>0.15</v>
      </c>
      <c r="J183" s="37">
        <v>0.15</v>
      </c>
      <c r="K183" s="37">
        <v>0.15</v>
      </c>
      <c r="L183" s="37">
        <v>0.3</v>
      </c>
      <c r="M183" s="37">
        <v>0.3</v>
      </c>
      <c r="N183" s="37">
        <v>0.5</v>
      </c>
      <c r="O183" s="37">
        <v>0.5</v>
      </c>
      <c r="P183" s="37">
        <v>0.7</v>
      </c>
      <c r="Q183" s="37">
        <v>0.7</v>
      </c>
      <c r="R183" s="37">
        <v>0.7</v>
      </c>
      <c r="S183" s="37">
        <v>0.7</v>
      </c>
      <c r="T183" s="37">
        <v>0.7</v>
      </c>
      <c r="U183" s="37">
        <v>0.7</v>
      </c>
      <c r="V183" s="37">
        <v>0.6</v>
      </c>
      <c r="W183" s="37">
        <v>0.6</v>
      </c>
      <c r="X183" s="37">
        <v>0.6</v>
      </c>
      <c r="Y183" s="37">
        <v>0.6</v>
      </c>
      <c r="Z183" s="37">
        <v>0.6</v>
      </c>
      <c r="AA183" s="37">
        <v>0.6</v>
      </c>
      <c r="AB183" s="37">
        <v>0.5</v>
      </c>
      <c r="AC183" s="301">
        <v>0.3</v>
      </c>
    </row>
    <row r="184" spans="2:29" hidden="1" x14ac:dyDescent="0.3">
      <c r="B184" s="305" t="s">
        <v>546</v>
      </c>
      <c r="C184" s="306" t="s">
        <v>580</v>
      </c>
      <c r="D184" s="306" t="s">
        <v>80</v>
      </c>
      <c r="E184" s="308" t="s">
        <v>548</v>
      </c>
      <c r="F184" s="307">
        <v>0.15</v>
      </c>
      <c r="G184" s="307">
        <v>0.15</v>
      </c>
      <c r="H184" s="307">
        <v>0.05</v>
      </c>
      <c r="I184" s="307">
        <v>0</v>
      </c>
      <c r="J184" s="307">
        <v>0</v>
      </c>
      <c r="K184" s="307">
        <v>0</v>
      </c>
      <c r="L184" s="307">
        <v>0</v>
      </c>
      <c r="M184" s="307">
        <v>0.05</v>
      </c>
      <c r="N184" s="307">
        <v>0.05</v>
      </c>
      <c r="O184" s="307">
        <v>0.05</v>
      </c>
      <c r="P184" s="307">
        <v>0.2</v>
      </c>
      <c r="Q184" s="307">
        <v>0.5</v>
      </c>
      <c r="R184" s="307">
        <v>0.8</v>
      </c>
      <c r="S184" s="307">
        <v>0.7</v>
      </c>
      <c r="T184" s="307">
        <v>0.4</v>
      </c>
      <c r="U184" s="307">
        <v>0.2</v>
      </c>
      <c r="V184" s="307">
        <v>0.25</v>
      </c>
      <c r="W184" s="307">
        <v>0.5</v>
      </c>
      <c r="X184" s="307">
        <v>0.8</v>
      </c>
      <c r="Y184" s="307">
        <v>0.8</v>
      </c>
      <c r="Z184" s="307">
        <v>0.8</v>
      </c>
      <c r="AA184" s="307">
        <v>0.5</v>
      </c>
      <c r="AB184" s="307">
        <v>0.35</v>
      </c>
      <c r="AC184" s="308">
        <v>0.2</v>
      </c>
    </row>
    <row r="185" spans="2:29" hidden="1" x14ac:dyDescent="0.3">
      <c r="B185" s="309" t="s">
        <v>546</v>
      </c>
      <c r="C185" s="303" t="s">
        <v>580</v>
      </c>
      <c r="D185" s="303" t="s">
        <v>80</v>
      </c>
      <c r="E185" s="310" t="s">
        <v>549</v>
      </c>
      <c r="F185" s="304">
        <v>0.3</v>
      </c>
      <c r="G185" s="304">
        <v>0.25</v>
      </c>
      <c r="H185" s="304">
        <v>0.05</v>
      </c>
      <c r="I185" s="304">
        <v>0</v>
      </c>
      <c r="J185" s="304">
        <v>0</v>
      </c>
      <c r="K185" s="304">
        <v>0</v>
      </c>
      <c r="L185" s="304">
        <v>0</v>
      </c>
      <c r="M185" s="304">
        <v>0</v>
      </c>
      <c r="N185" s="304">
        <v>0</v>
      </c>
      <c r="O185" s="304">
        <v>0.05</v>
      </c>
      <c r="P185" s="304">
        <v>0.2</v>
      </c>
      <c r="Q185" s="304">
        <v>0.45</v>
      </c>
      <c r="R185" s="304">
        <v>0.5</v>
      </c>
      <c r="S185" s="304">
        <v>0.5</v>
      </c>
      <c r="T185" s="304">
        <v>0.35</v>
      </c>
      <c r="U185" s="304">
        <v>0.3</v>
      </c>
      <c r="V185" s="304">
        <v>0.3</v>
      </c>
      <c r="W185" s="304">
        <v>0.3</v>
      </c>
      <c r="X185" s="304">
        <v>0.7</v>
      </c>
      <c r="Y185" s="304">
        <v>0.9</v>
      </c>
      <c r="Z185" s="304">
        <v>0.7</v>
      </c>
      <c r="AA185" s="304">
        <v>0.65</v>
      </c>
      <c r="AB185" s="304">
        <v>0.55000000000000004</v>
      </c>
      <c r="AC185" s="310">
        <v>0.35</v>
      </c>
    </row>
    <row r="186" spans="2:29" hidden="1" x14ac:dyDescent="0.3">
      <c r="B186" s="311" t="s">
        <v>546</v>
      </c>
      <c r="C186" s="312" t="s">
        <v>580</v>
      </c>
      <c r="D186" s="312" t="s">
        <v>80</v>
      </c>
      <c r="E186" s="314" t="s">
        <v>550</v>
      </c>
      <c r="F186" s="313">
        <v>0.2</v>
      </c>
      <c r="G186" s="313">
        <v>0.2</v>
      </c>
      <c r="H186" s="313">
        <v>0.05</v>
      </c>
      <c r="I186" s="313">
        <v>0</v>
      </c>
      <c r="J186" s="313">
        <v>0</v>
      </c>
      <c r="K186" s="313">
        <v>0</v>
      </c>
      <c r="L186" s="313">
        <v>0</v>
      </c>
      <c r="M186" s="313">
        <v>0</v>
      </c>
      <c r="N186" s="313">
        <v>0</v>
      </c>
      <c r="O186" s="313">
        <v>0</v>
      </c>
      <c r="P186" s="313">
        <v>0.1</v>
      </c>
      <c r="Q186" s="313">
        <v>0.2</v>
      </c>
      <c r="R186" s="313">
        <v>0.25</v>
      </c>
      <c r="S186" s="313">
        <v>0.25</v>
      </c>
      <c r="T186" s="313">
        <v>0.15</v>
      </c>
      <c r="U186" s="313">
        <v>0.2</v>
      </c>
      <c r="V186" s="313">
        <v>0.25</v>
      </c>
      <c r="W186" s="313">
        <v>0.35</v>
      </c>
      <c r="X186" s="313">
        <v>0.55000000000000004</v>
      </c>
      <c r="Y186" s="313">
        <v>0.65</v>
      </c>
      <c r="Z186" s="313">
        <v>0.7</v>
      </c>
      <c r="AA186" s="313">
        <v>0.35</v>
      </c>
      <c r="AB186" s="313">
        <v>0.2</v>
      </c>
      <c r="AC186" s="314">
        <v>0.2</v>
      </c>
    </row>
    <row r="187" spans="2:29" hidden="1" x14ac:dyDescent="0.3">
      <c r="B187" s="274" t="s">
        <v>589</v>
      </c>
      <c r="C187" s="260" t="s">
        <v>580</v>
      </c>
      <c r="D187" s="260" t="s">
        <v>80</v>
      </c>
      <c r="E187" s="301" t="s">
        <v>548</v>
      </c>
      <c r="F187" s="37">
        <v>0.15</v>
      </c>
      <c r="G187" s="37">
        <v>0.15</v>
      </c>
      <c r="H187" s="37">
        <v>0.15</v>
      </c>
      <c r="I187" s="37">
        <v>0.15</v>
      </c>
      <c r="J187" s="37">
        <v>0.15</v>
      </c>
      <c r="K187" s="37">
        <v>0.2</v>
      </c>
      <c r="L187" s="37">
        <v>0.35</v>
      </c>
      <c r="M187" s="37">
        <v>0.35</v>
      </c>
      <c r="N187" s="37">
        <v>0.55000000000000004</v>
      </c>
      <c r="O187" s="37">
        <v>0.55000000000000004</v>
      </c>
      <c r="P187" s="37">
        <v>0.85</v>
      </c>
      <c r="Q187" s="37">
        <v>0.85</v>
      </c>
      <c r="R187" s="37">
        <v>0.85</v>
      </c>
      <c r="S187" s="37">
        <v>0.85</v>
      </c>
      <c r="T187" s="37">
        <v>0.85</v>
      </c>
      <c r="U187" s="37">
        <v>0.85</v>
      </c>
      <c r="V187" s="37">
        <v>0.85</v>
      </c>
      <c r="W187" s="37">
        <v>0.85</v>
      </c>
      <c r="X187" s="37">
        <v>0.85</v>
      </c>
      <c r="Y187" s="37">
        <v>0.85</v>
      </c>
      <c r="Z187" s="37">
        <v>0.85</v>
      </c>
      <c r="AA187" s="37">
        <v>0.85</v>
      </c>
      <c r="AB187" s="37">
        <v>0.45</v>
      </c>
      <c r="AC187" s="301">
        <v>0.3</v>
      </c>
    </row>
    <row r="188" spans="2:29" hidden="1" x14ac:dyDescent="0.3">
      <c r="B188" s="274" t="s">
        <v>589</v>
      </c>
      <c r="C188" s="260" t="s">
        <v>580</v>
      </c>
      <c r="D188" s="260" t="s">
        <v>80</v>
      </c>
      <c r="E188" s="301" t="s">
        <v>549</v>
      </c>
      <c r="F188" s="37">
        <v>0.2</v>
      </c>
      <c r="G188" s="37">
        <v>0.15</v>
      </c>
      <c r="H188" s="37">
        <v>0.15</v>
      </c>
      <c r="I188" s="37">
        <v>0.15</v>
      </c>
      <c r="J188" s="37">
        <v>0.15</v>
      </c>
      <c r="K188" s="37">
        <v>0.15</v>
      </c>
      <c r="L188" s="37">
        <v>0.3</v>
      </c>
      <c r="M188" s="37">
        <v>0.3</v>
      </c>
      <c r="N188" s="37">
        <v>0.55000000000000004</v>
      </c>
      <c r="O188" s="37">
        <v>0.55000000000000004</v>
      </c>
      <c r="P188" s="37">
        <v>0.75</v>
      </c>
      <c r="Q188" s="37">
        <v>0.75</v>
      </c>
      <c r="R188" s="37">
        <v>0.75</v>
      </c>
      <c r="S188" s="37">
        <v>0.75</v>
      </c>
      <c r="T188" s="37">
        <v>0.75</v>
      </c>
      <c r="U188" s="37">
        <v>0.75</v>
      </c>
      <c r="V188" s="37">
        <v>0.75</v>
      </c>
      <c r="W188" s="37">
        <v>0.85</v>
      </c>
      <c r="X188" s="37">
        <v>0.85</v>
      </c>
      <c r="Y188" s="37">
        <v>0.85</v>
      </c>
      <c r="Z188" s="37">
        <v>0.85</v>
      </c>
      <c r="AA188" s="37">
        <v>0.85</v>
      </c>
      <c r="AB188" s="37">
        <v>0.45</v>
      </c>
      <c r="AC188" s="301">
        <v>0.3</v>
      </c>
    </row>
    <row r="189" spans="2:29" hidden="1" x14ac:dyDescent="0.3">
      <c r="B189" s="276" t="s">
        <v>589</v>
      </c>
      <c r="C189" s="277" t="s">
        <v>580</v>
      </c>
      <c r="D189" s="277" t="s">
        <v>80</v>
      </c>
      <c r="E189" s="302" t="s">
        <v>550</v>
      </c>
      <c r="F189" s="279">
        <v>0.2</v>
      </c>
      <c r="G189" s="279">
        <v>0.15</v>
      </c>
      <c r="H189" s="279">
        <v>0.15</v>
      </c>
      <c r="I189" s="279">
        <v>0.15</v>
      </c>
      <c r="J189" s="279">
        <v>0.15</v>
      </c>
      <c r="K189" s="279">
        <v>0.15</v>
      </c>
      <c r="L189" s="279">
        <v>0.3</v>
      </c>
      <c r="M189" s="279">
        <v>0.3</v>
      </c>
      <c r="N189" s="279">
        <v>0.45</v>
      </c>
      <c r="O189" s="279">
        <v>0.45</v>
      </c>
      <c r="P189" s="279">
        <v>0.65</v>
      </c>
      <c r="Q189" s="279">
        <v>0.65</v>
      </c>
      <c r="R189" s="279">
        <v>0.65</v>
      </c>
      <c r="S189" s="279">
        <v>0.65</v>
      </c>
      <c r="T189" s="279">
        <v>0.65</v>
      </c>
      <c r="U189" s="279">
        <v>0.65</v>
      </c>
      <c r="V189" s="279">
        <v>0.55000000000000004</v>
      </c>
      <c r="W189" s="279">
        <v>0.55000000000000004</v>
      </c>
      <c r="X189" s="279">
        <v>0.55000000000000004</v>
      </c>
      <c r="Y189" s="279">
        <v>0.55000000000000004</v>
      </c>
      <c r="Z189" s="279">
        <v>0.55000000000000004</v>
      </c>
      <c r="AA189" s="279">
        <v>0.55000000000000004</v>
      </c>
      <c r="AB189" s="279">
        <v>0.45</v>
      </c>
      <c r="AC189" s="302">
        <v>0.3</v>
      </c>
    </row>
    <row r="190" spans="2:29" ht="12" hidden="1" thickBot="1" x14ac:dyDescent="0.35"/>
    <row r="191" spans="2:29" hidden="1" x14ac:dyDescent="0.3">
      <c r="B191" s="956" t="s">
        <v>590</v>
      </c>
      <c r="C191" s="959" t="s">
        <v>591</v>
      </c>
      <c r="D191" s="954" t="s">
        <v>586</v>
      </c>
      <c r="E191" s="330" t="s">
        <v>548</v>
      </c>
      <c r="F191" s="331">
        <v>0.15</v>
      </c>
      <c r="G191" s="331">
        <v>0.15</v>
      </c>
      <c r="H191" s="331">
        <v>0.15</v>
      </c>
      <c r="I191" s="331">
        <v>0.15</v>
      </c>
      <c r="J191" s="331">
        <v>0.15</v>
      </c>
      <c r="K191" s="331">
        <v>0.2</v>
      </c>
      <c r="L191" s="331">
        <v>0.4</v>
      </c>
      <c r="M191" s="331">
        <v>0.4</v>
      </c>
      <c r="N191" s="331">
        <v>0.6</v>
      </c>
      <c r="O191" s="331">
        <v>0.6</v>
      </c>
      <c r="P191" s="331">
        <v>0.9</v>
      </c>
      <c r="Q191" s="331">
        <v>0.9</v>
      </c>
      <c r="R191" s="331">
        <v>0.9</v>
      </c>
      <c r="S191" s="331">
        <v>0.9</v>
      </c>
      <c r="T191" s="331">
        <v>0.9</v>
      </c>
      <c r="U191" s="331">
        <v>0.9</v>
      </c>
      <c r="V191" s="331">
        <v>0.9</v>
      </c>
      <c r="W191" s="331">
        <v>0.9</v>
      </c>
      <c r="X191" s="331">
        <v>0.9</v>
      </c>
      <c r="Y191" s="331">
        <v>0.9</v>
      </c>
      <c r="Z191" s="331">
        <v>0.9</v>
      </c>
      <c r="AA191" s="331">
        <v>0.9</v>
      </c>
      <c r="AB191" s="331">
        <v>0.5</v>
      </c>
      <c r="AC191" s="332">
        <v>0.3</v>
      </c>
    </row>
    <row r="192" spans="2:29" hidden="1" x14ac:dyDescent="0.3">
      <c r="B192" s="957"/>
      <c r="C192" s="925"/>
      <c r="D192" s="946"/>
      <c r="E192" s="301" t="s">
        <v>549</v>
      </c>
      <c r="F192" s="262">
        <v>0.2</v>
      </c>
      <c r="G192" s="262">
        <v>0.15</v>
      </c>
      <c r="H192" s="262">
        <v>0.15</v>
      </c>
      <c r="I192" s="262">
        <v>0.15</v>
      </c>
      <c r="J192" s="262">
        <v>0.15</v>
      </c>
      <c r="K192" s="262">
        <v>0.15</v>
      </c>
      <c r="L192" s="262">
        <v>0.3</v>
      </c>
      <c r="M192" s="262">
        <v>0.3</v>
      </c>
      <c r="N192" s="262">
        <v>0.6</v>
      </c>
      <c r="O192" s="262">
        <v>0.6</v>
      </c>
      <c r="P192" s="262">
        <v>0.8</v>
      </c>
      <c r="Q192" s="262">
        <v>0.8</v>
      </c>
      <c r="R192" s="262">
        <v>0.8</v>
      </c>
      <c r="S192" s="262">
        <v>0.8</v>
      </c>
      <c r="T192" s="262">
        <v>0.8</v>
      </c>
      <c r="U192" s="262">
        <v>0.8</v>
      </c>
      <c r="V192" s="262">
        <v>0.8</v>
      </c>
      <c r="W192" s="262">
        <v>0.9</v>
      </c>
      <c r="X192" s="262">
        <v>0.9</v>
      </c>
      <c r="Y192" s="262">
        <v>0.9</v>
      </c>
      <c r="Z192" s="262">
        <v>0.9</v>
      </c>
      <c r="AA192" s="262">
        <v>0.9</v>
      </c>
      <c r="AB192" s="262">
        <v>0.5</v>
      </c>
      <c r="AC192" s="333">
        <v>0.3</v>
      </c>
    </row>
    <row r="193" spans="2:33" ht="12" hidden="1" thickBot="1" x14ac:dyDescent="0.35">
      <c r="B193" s="958"/>
      <c r="C193" s="960"/>
      <c r="D193" s="955"/>
      <c r="E193" s="334" t="s">
        <v>550</v>
      </c>
      <c r="F193" s="335">
        <v>0.2</v>
      </c>
      <c r="G193" s="335">
        <v>0.15</v>
      </c>
      <c r="H193" s="335">
        <v>0.15</v>
      </c>
      <c r="I193" s="335">
        <v>0.15</v>
      </c>
      <c r="J193" s="335">
        <v>0.15</v>
      </c>
      <c r="K193" s="335">
        <v>0.15</v>
      </c>
      <c r="L193" s="335">
        <v>0.3</v>
      </c>
      <c r="M193" s="335">
        <v>0.3</v>
      </c>
      <c r="N193" s="335">
        <v>0.5</v>
      </c>
      <c r="O193" s="335">
        <v>0.5</v>
      </c>
      <c r="P193" s="335">
        <v>0.7</v>
      </c>
      <c r="Q193" s="335">
        <v>0.7</v>
      </c>
      <c r="R193" s="335">
        <v>0.7</v>
      </c>
      <c r="S193" s="335">
        <v>0.7</v>
      </c>
      <c r="T193" s="335">
        <v>0.7</v>
      </c>
      <c r="U193" s="335">
        <v>0.7</v>
      </c>
      <c r="V193" s="335">
        <v>0.6</v>
      </c>
      <c r="W193" s="335">
        <v>0.6</v>
      </c>
      <c r="X193" s="335">
        <v>0.6</v>
      </c>
      <c r="Y193" s="335">
        <v>0.6</v>
      </c>
      <c r="Z193" s="335">
        <v>0.6</v>
      </c>
      <c r="AA193" s="335">
        <v>0.6</v>
      </c>
      <c r="AB193" s="335">
        <v>0.5</v>
      </c>
      <c r="AC193" s="336">
        <v>0.3</v>
      </c>
    </row>
    <row r="194" spans="2:33" hidden="1" x14ac:dyDescent="0.3">
      <c r="B194" s="956" t="s">
        <v>592</v>
      </c>
      <c r="C194" s="959" t="s">
        <v>591</v>
      </c>
      <c r="D194" s="954" t="s">
        <v>586</v>
      </c>
      <c r="E194" s="330" t="s">
        <v>548</v>
      </c>
      <c r="F194" s="337">
        <v>0.15</v>
      </c>
      <c r="G194" s="337">
        <v>0.15</v>
      </c>
      <c r="H194" s="337">
        <v>0.05</v>
      </c>
      <c r="I194" s="337">
        <v>0</v>
      </c>
      <c r="J194" s="337">
        <v>0</v>
      </c>
      <c r="K194" s="337">
        <v>0</v>
      </c>
      <c r="L194" s="338">
        <v>0</v>
      </c>
      <c r="M194" s="338">
        <v>0.05</v>
      </c>
      <c r="N194" s="338">
        <v>0.05</v>
      </c>
      <c r="O194" s="338">
        <v>0.05</v>
      </c>
      <c r="P194" s="338">
        <v>0.2</v>
      </c>
      <c r="Q194" s="337">
        <v>0.5</v>
      </c>
      <c r="R194" s="337">
        <v>0.8</v>
      </c>
      <c r="S194" s="337">
        <v>0.7</v>
      </c>
      <c r="T194" s="337">
        <v>0.4</v>
      </c>
      <c r="U194" s="337">
        <v>0.2</v>
      </c>
      <c r="V194" s="337">
        <v>0.25</v>
      </c>
      <c r="W194" s="337">
        <v>0.5</v>
      </c>
      <c r="X194" s="337">
        <v>0.8</v>
      </c>
      <c r="Y194" s="337">
        <v>0.8</v>
      </c>
      <c r="Z194" s="337">
        <v>0.8</v>
      </c>
      <c r="AA194" s="337">
        <v>0.5</v>
      </c>
      <c r="AB194" s="337">
        <v>0.35</v>
      </c>
      <c r="AC194" s="339">
        <v>0.2</v>
      </c>
    </row>
    <row r="195" spans="2:33" hidden="1" x14ac:dyDescent="0.3">
      <c r="B195" s="957"/>
      <c r="C195" s="925"/>
      <c r="D195" s="946"/>
      <c r="E195" s="301" t="s">
        <v>549</v>
      </c>
      <c r="F195" s="263">
        <v>0.3</v>
      </c>
      <c r="G195" s="263">
        <v>0.25</v>
      </c>
      <c r="H195" s="263">
        <v>0.05</v>
      </c>
      <c r="I195" s="263">
        <v>0</v>
      </c>
      <c r="J195" s="263">
        <v>0</v>
      </c>
      <c r="K195" s="263">
        <v>0</v>
      </c>
      <c r="L195" s="264">
        <v>0</v>
      </c>
      <c r="M195" s="264">
        <v>0</v>
      </c>
      <c r="N195" s="264">
        <v>0</v>
      </c>
      <c r="O195" s="264">
        <v>0.05</v>
      </c>
      <c r="P195" s="264">
        <v>0.2</v>
      </c>
      <c r="Q195" s="264">
        <v>0.45</v>
      </c>
      <c r="R195" s="264">
        <v>0.5</v>
      </c>
      <c r="S195" s="264">
        <v>0.5</v>
      </c>
      <c r="T195" s="264">
        <v>0.35</v>
      </c>
      <c r="U195" s="264">
        <v>0.3</v>
      </c>
      <c r="V195" s="264">
        <v>0.3</v>
      </c>
      <c r="W195" s="264">
        <v>0.3</v>
      </c>
      <c r="X195" s="264">
        <v>0.7</v>
      </c>
      <c r="Y195" s="264">
        <v>0.9</v>
      </c>
      <c r="Z195" s="264">
        <v>0.7</v>
      </c>
      <c r="AA195" s="263">
        <v>0.65</v>
      </c>
      <c r="AB195" s="263">
        <v>0.55000000000000004</v>
      </c>
      <c r="AC195" s="340">
        <v>0.35</v>
      </c>
    </row>
    <row r="196" spans="2:33" ht="12" hidden="1" thickBot="1" x14ac:dyDescent="0.35">
      <c r="B196" s="958"/>
      <c r="C196" s="960"/>
      <c r="D196" s="955"/>
      <c r="E196" s="334" t="s">
        <v>550</v>
      </c>
      <c r="F196" s="341">
        <v>0.2</v>
      </c>
      <c r="G196" s="341">
        <v>0.2</v>
      </c>
      <c r="H196" s="341">
        <v>0.05</v>
      </c>
      <c r="I196" s="341">
        <v>0</v>
      </c>
      <c r="J196" s="341">
        <v>0</v>
      </c>
      <c r="K196" s="341">
        <v>0</v>
      </c>
      <c r="L196" s="342">
        <v>0</v>
      </c>
      <c r="M196" s="342">
        <v>0</v>
      </c>
      <c r="N196" s="342">
        <v>0</v>
      </c>
      <c r="O196" s="342">
        <v>0</v>
      </c>
      <c r="P196" s="342">
        <v>0.1</v>
      </c>
      <c r="Q196" s="342">
        <v>0.2</v>
      </c>
      <c r="R196" s="342">
        <v>0.25</v>
      </c>
      <c r="S196" s="342">
        <v>0.25</v>
      </c>
      <c r="T196" s="342">
        <v>0.15</v>
      </c>
      <c r="U196" s="342">
        <v>0.2</v>
      </c>
      <c r="V196" s="342">
        <v>0.25</v>
      </c>
      <c r="W196" s="342">
        <v>0.35</v>
      </c>
      <c r="X196" s="342">
        <v>0.55000000000000004</v>
      </c>
      <c r="Y196" s="342">
        <v>0.65</v>
      </c>
      <c r="Z196" s="342">
        <v>0.7</v>
      </c>
      <c r="AA196" s="341">
        <v>0.35</v>
      </c>
      <c r="AB196" s="341">
        <v>0.2</v>
      </c>
      <c r="AC196" s="343">
        <v>0.2</v>
      </c>
    </row>
    <row r="197" spans="2:33" hidden="1" x14ac:dyDescent="0.3">
      <c r="B197" s="956" t="s">
        <v>593</v>
      </c>
      <c r="C197" s="959" t="s">
        <v>591</v>
      </c>
      <c r="D197" s="954" t="s">
        <v>586</v>
      </c>
      <c r="E197" s="330" t="s">
        <v>548</v>
      </c>
      <c r="F197" s="331">
        <v>0.15</v>
      </c>
      <c r="G197" s="331">
        <v>0.15</v>
      </c>
      <c r="H197" s="331">
        <v>0.15</v>
      </c>
      <c r="I197" s="331">
        <v>0.15</v>
      </c>
      <c r="J197" s="331">
        <v>0.15</v>
      </c>
      <c r="K197" s="331">
        <v>0.2</v>
      </c>
      <c r="L197" s="331">
        <v>0.35</v>
      </c>
      <c r="M197" s="331">
        <v>0.35</v>
      </c>
      <c r="N197" s="331">
        <v>0.55000000000000004</v>
      </c>
      <c r="O197" s="331">
        <v>0.55000000000000004</v>
      </c>
      <c r="P197" s="331">
        <v>0.85</v>
      </c>
      <c r="Q197" s="331">
        <v>0.85</v>
      </c>
      <c r="R197" s="331">
        <v>0.85</v>
      </c>
      <c r="S197" s="331">
        <v>0.85</v>
      </c>
      <c r="T197" s="331">
        <v>0.85</v>
      </c>
      <c r="U197" s="331">
        <v>0.85</v>
      </c>
      <c r="V197" s="331">
        <v>0.85</v>
      </c>
      <c r="W197" s="331">
        <v>0.85</v>
      </c>
      <c r="X197" s="331">
        <v>0.85</v>
      </c>
      <c r="Y197" s="331">
        <v>0.85</v>
      </c>
      <c r="Z197" s="331">
        <v>0.85</v>
      </c>
      <c r="AA197" s="331">
        <v>0.85</v>
      </c>
      <c r="AB197" s="331">
        <v>0.45</v>
      </c>
      <c r="AC197" s="332">
        <v>0.3</v>
      </c>
    </row>
    <row r="198" spans="2:33" hidden="1" x14ac:dyDescent="0.3">
      <c r="B198" s="957"/>
      <c r="C198" s="925"/>
      <c r="D198" s="946"/>
      <c r="E198" s="301" t="s">
        <v>549</v>
      </c>
      <c r="F198" s="262">
        <v>0.2</v>
      </c>
      <c r="G198" s="262">
        <v>0.15</v>
      </c>
      <c r="H198" s="262">
        <v>0.15</v>
      </c>
      <c r="I198" s="262">
        <v>0.15</v>
      </c>
      <c r="J198" s="262">
        <v>0.15</v>
      </c>
      <c r="K198" s="262">
        <v>0.15</v>
      </c>
      <c r="L198" s="262">
        <v>0.3</v>
      </c>
      <c r="M198" s="262">
        <v>0.3</v>
      </c>
      <c r="N198" s="262">
        <v>0.55000000000000004</v>
      </c>
      <c r="O198" s="262">
        <v>0.55000000000000004</v>
      </c>
      <c r="P198" s="262">
        <v>0.75</v>
      </c>
      <c r="Q198" s="262">
        <v>0.75</v>
      </c>
      <c r="R198" s="262">
        <v>0.75</v>
      </c>
      <c r="S198" s="262">
        <v>0.75</v>
      </c>
      <c r="T198" s="262">
        <v>0.75</v>
      </c>
      <c r="U198" s="262">
        <v>0.75</v>
      </c>
      <c r="V198" s="262">
        <v>0.75</v>
      </c>
      <c r="W198" s="262">
        <v>0.85</v>
      </c>
      <c r="X198" s="262">
        <v>0.85</v>
      </c>
      <c r="Y198" s="262">
        <v>0.85</v>
      </c>
      <c r="Z198" s="262">
        <v>0.85</v>
      </c>
      <c r="AA198" s="262">
        <v>0.85</v>
      </c>
      <c r="AB198" s="262">
        <v>0.45</v>
      </c>
      <c r="AC198" s="333">
        <v>0.3</v>
      </c>
    </row>
    <row r="199" spans="2:33" ht="12" hidden="1" thickBot="1" x14ac:dyDescent="0.35">
      <c r="B199" s="958"/>
      <c r="C199" s="960"/>
      <c r="D199" s="955"/>
      <c r="E199" s="334" t="s">
        <v>550</v>
      </c>
      <c r="F199" s="335">
        <v>0.2</v>
      </c>
      <c r="G199" s="335">
        <v>0.15</v>
      </c>
      <c r="H199" s="335">
        <v>0.15</v>
      </c>
      <c r="I199" s="335">
        <v>0.15</v>
      </c>
      <c r="J199" s="335">
        <v>0.15</v>
      </c>
      <c r="K199" s="335">
        <v>0.15</v>
      </c>
      <c r="L199" s="335">
        <v>0.3</v>
      </c>
      <c r="M199" s="335">
        <v>0.3</v>
      </c>
      <c r="N199" s="335">
        <v>0.45</v>
      </c>
      <c r="O199" s="335">
        <v>0.45</v>
      </c>
      <c r="P199" s="335">
        <v>0.65</v>
      </c>
      <c r="Q199" s="335">
        <v>0.65</v>
      </c>
      <c r="R199" s="335">
        <v>0.65</v>
      </c>
      <c r="S199" s="335">
        <v>0.65</v>
      </c>
      <c r="T199" s="335">
        <v>0.65</v>
      </c>
      <c r="U199" s="335">
        <v>0.65</v>
      </c>
      <c r="V199" s="335">
        <v>0.55000000000000004</v>
      </c>
      <c r="W199" s="335">
        <v>0.55000000000000004</v>
      </c>
      <c r="X199" s="335">
        <v>0.55000000000000004</v>
      </c>
      <c r="Y199" s="335">
        <v>0.55000000000000004</v>
      </c>
      <c r="Z199" s="335">
        <v>0.55000000000000004</v>
      </c>
      <c r="AA199" s="335">
        <v>0.55000000000000004</v>
      </c>
      <c r="AB199" s="335">
        <v>0.45</v>
      </c>
      <c r="AC199" s="336">
        <v>0.3</v>
      </c>
    </row>
    <row r="200" spans="2:33" ht="15.6" hidden="1" x14ac:dyDescent="0.3">
      <c r="B200" s="948" t="s">
        <v>594</v>
      </c>
      <c r="C200" s="952" t="s">
        <v>591</v>
      </c>
      <c r="D200" s="953" t="s">
        <v>586</v>
      </c>
      <c r="E200" s="95" t="s">
        <v>548</v>
      </c>
      <c r="F200" s="96">
        <v>1</v>
      </c>
      <c r="G200" s="96">
        <v>1</v>
      </c>
      <c r="H200" s="96">
        <v>1</v>
      </c>
      <c r="I200" s="96">
        <v>0</v>
      </c>
      <c r="J200" s="96">
        <v>0</v>
      </c>
      <c r="K200" s="96">
        <v>0</v>
      </c>
      <c r="L200" s="96">
        <v>1</v>
      </c>
      <c r="M200" s="96">
        <v>1</v>
      </c>
      <c r="N200" s="96">
        <v>1</v>
      </c>
      <c r="O200" s="96">
        <v>1</v>
      </c>
      <c r="P200" s="96">
        <v>1</v>
      </c>
      <c r="Q200" s="96">
        <v>1</v>
      </c>
      <c r="R200" s="96">
        <v>1</v>
      </c>
      <c r="S200" s="96">
        <v>1</v>
      </c>
      <c r="T200" s="96">
        <v>1</v>
      </c>
      <c r="U200" s="96">
        <v>1</v>
      </c>
      <c r="V200" s="96">
        <v>1</v>
      </c>
      <c r="W200" s="96">
        <v>1</v>
      </c>
      <c r="X200" s="96">
        <v>1</v>
      </c>
      <c r="Y200" s="96">
        <v>1</v>
      </c>
      <c r="Z200" s="96">
        <v>1</v>
      </c>
      <c r="AA200" s="96">
        <v>1</v>
      </c>
      <c r="AB200" s="96">
        <v>1</v>
      </c>
      <c r="AC200" s="97">
        <v>1</v>
      </c>
      <c r="AD200" s="251"/>
      <c r="AE200" s="251"/>
      <c r="AF200" s="251"/>
      <c r="AG200" s="251"/>
    </row>
    <row r="201" spans="2:33" ht="15.6" hidden="1" x14ac:dyDescent="0.3">
      <c r="B201" s="922"/>
      <c r="C201" s="925"/>
      <c r="D201" s="946"/>
      <c r="E201" s="86" t="s">
        <v>549</v>
      </c>
      <c r="F201" s="87">
        <v>1</v>
      </c>
      <c r="G201" s="87">
        <v>1</v>
      </c>
      <c r="H201" s="87">
        <v>1</v>
      </c>
      <c r="I201" s="87">
        <v>0</v>
      </c>
      <c r="J201" s="87">
        <v>0</v>
      </c>
      <c r="K201" s="87">
        <v>0</v>
      </c>
      <c r="L201" s="87">
        <v>0</v>
      </c>
      <c r="M201" s="87">
        <v>0</v>
      </c>
      <c r="N201" s="87">
        <v>1</v>
      </c>
      <c r="O201" s="87">
        <v>1</v>
      </c>
      <c r="P201" s="87">
        <v>1</v>
      </c>
      <c r="Q201" s="87">
        <v>1</v>
      </c>
      <c r="R201" s="87">
        <v>1</v>
      </c>
      <c r="S201" s="87">
        <v>1</v>
      </c>
      <c r="T201" s="87">
        <v>1</v>
      </c>
      <c r="U201" s="87">
        <v>1</v>
      </c>
      <c r="V201" s="87">
        <v>1</v>
      </c>
      <c r="W201" s="87">
        <v>1</v>
      </c>
      <c r="X201" s="87">
        <v>1</v>
      </c>
      <c r="Y201" s="87">
        <v>1</v>
      </c>
      <c r="Z201" s="87">
        <v>1</v>
      </c>
      <c r="AA201" s="87">
        <v>1</v>
      </c>
      <c r="AB201" s="87">
        <v>1</v>
      </c>
      <c r="AC201" s="88">
        <v>1</v>
      </c>
      <c r="AD201" s="251"/>
      <c r="AE201" s="251"/>
      <c r="AF201" s="251"/>
      <c r="AG201" s="251"/>
    </row>
    <row r="202" spans="2:33" ht="16.2" hidden="1" thickBot="1" x14ac:dyDescent="0.35">
      <c r="B202" s="923"/>
      <c r="C202" s="950"/>
      <c r="D202" s="947"/>
      <c r="E202" s="92" t="s">
        <v>550</v>
      </c>
      <c r="F202" s="93">
        <v>1</v>
      </c>
      <c r="G202" s="93">
        <v>1</v>
      </c>
      <c r="H202" s="93">
        <v>1</v>
      </c>
      <c r="I202" s="93">
        <v>0</v>
      </c>
      <c r="J202" s="93">
        <v>0</v>
      </c>
      <c r="K202" s="93">
        <v>0</v>
      </c>
      <c r="L202" s="93">
        <v>0</v>
      </c>
      <c r="M202" s="93">
        <v>0</v>
      </c>
      <c r="N202" s="93">
        <v>0</v>
      </c>
      <c r="O202" s="93">
        <v>1</v>
      </c>
      <c r="P202" s="93">
        <v>1</v>
      </c>
      <c r="Q202" s="93">
        <v>1</v>
      </c>
      <c r="R202" s="93">
        <v>1</v>
      </c>
      <c r="S202" s="93">
        <v>1</v>
      </c>
      <c r="T202" s="93">
        <v>1</v>
      </c>
      <c r="U202" s="93">
        <v>1</v>
      </c>
      <c r="V202" s="93">
        <v>1</v>
      </c>
      <c r="W202" s="93">
        <v>1</v>
      </c>
      <c r="X202" s="93">
        <v>1</v>
      </c>
      <c r="Y202" s="93">
        <v>1</v>
      </c>
      <c r="Z202" s="93">
        <v>1</v>
      </c>
      <c r="AA202" s="93">
        <v>1</v>
      </c>
      <c r="AB202" s="93">
        <v>1</v>
      </c>
      <c r="AC202" s="94">
        <v>1</v>
      </c>
      <c r="AD202" s="251"/>
      <c r="AE202" s="251"/>
      <c r="AF202" s="251"/>
      <c r="AG202" s="251"/>
    </row>
    <row r="203" spans="2:33" ht="15.6" hidden="1" x14ac:dyDescent="0.3">
      <c r="B203" s="948" t="s">
        <v>595</v>
      </c>
      <c r="C203" s="924" t="s">
        <v>591</v>
      </c>
      <c r="D203" s="931" t="s">
        <v>80</v>
      </c>
      <c r="E203" s="95" t="s">
        <v>548</v>
      </c>
      <c r="F203" s="96">
        <v>0.2</v>
      </c>
      <c r="G203" s="96">
        <v>0.15</v>
      </c>
      <c r="H203" s="96">
        <v>0.15</v>
      </c>
      <c r="I203" s="96">
        <v>0</v>
      </c>
      <c r="J203" s="96">
        <v>0</v>
      </c>
      <c r="K203" s="96">
        <v>0</v>
      </c>
      <c r="L203" s="96">
        <v>0</v>
      </c>
      <c r="M203" s="96">
        <v>0.6</v>
      </c>
      <c r="N203" s="96">
        <v>0.55000000000000004</v>
      </c>
      <c r="O203" s="96">
        <v>0.45</v>
      </c>
      <c r="P203" s="96">
        <v>0.4</v>
      </c>
      <c r="Q203" s="96">
        <v>0.45</v>
      </c>
      <c r="R203" s="96">
        <v>0.4</v>
      </c>
      <c r="S203" s="96">
        <v>0.35</v>
      </c>
      <c r="T203" s="96">
        <v>0.3</v>
      </c>
      <c r="U203" s="96">
        <v>0.3</v>
      </c>
      <c r="V203" s="96">
        <v>0.3</v>
      </c>
      <c r="W203" s="96">
        <v>0.4</v>
      </c>
      <c r="X203" s="96">
        <v>0.55000000000000004</v>
      </c>
      <c r="Y203" s="96">
        <v>0.6</v>
      </c>
      <c r="Z203" s="96">
        <v>0.5</v>
      </c>
      <c r="AA203" s="96">
        <v>0.55000000000000004</v>
      </c>
      <c r="AB203" s="96">
        <v>0.45</v>
      </c>
      <c r="AC203" s="97">
        <v>0.25</v>
      </c>
      <c r="AD203" s="251"/>
      <c r="AE203" s="251"/>
      <c r="AF203" s="251"/>
      <c r="AG203" s="251"/>
    </row>
    <row r="204" spans="2:33" ht="15.6" hidden="1" x14ac:dyDescent="0.3">
      <c r="B204" s="922"/>
      <c r="C204" s="925"/>
      <c r="D204" s="932"/>
      <c r="E204" s="86" t="s">
        <v>549</v>
      </c>
      <c r="F204" s="87">
        <v>0.2</v>
      </c>
      <c r="G204" s="87">
        <v>0.15</v>
      </c>
      <c r="H204" s="87">
        <v>0.15</v>
      </c>
      <c r="I204" s="87">
        <v>0</v>
      </c>
      <c r="J204" s="87">
        <v>0</v>
      </c>
      <c r="K204" s="87">
        <v>0</v>
      </c>
      <c r="L204" s="87">
        <v>0</v>
      </c>
      <c r="M204" s="87">
        <v>0</v>
      </c>
      <c r="N204" s="87">
        <v>0</v>
      </c>
      <c r="O204" s="87">
        <v>0.5</v>
      </c>
      <c r="P204" s="87">
        <v>0.45</v>
      </c>
      <c r="Q204" s="87">
        <v>0.5</v>
      </c>
      <c r="R204" s="87">
        <v>0.5</v>
      </c>
      <c r="S204" s="87">
        <v>0.45</v>
      </c>
      <c r="T204" s="87">
        <v>0.4</v>
      </c>
      <c r="U204" s="87">
        <v>0.4</v>
      </c>
      <c r="V204" s="87">
        <v>0.35</v>
      </c>
      <c r="W204" s="87">
        <v>0.4</v>
      </c>
      <c r="X204" s="87">
        <v>0.55000000000000004</v>
      </c>
      <c r="Y204" s="87">
        <v>0.55000000000000004</v>
      </c>
      <c r="Z204" s="87">
        <v>0.5</v>
      </c>
      <c r="AA204" s="87">
        <v>0.55000000000000004</v>
      </c>
      <c r="AB204" s="87">
        <v>0.4</v>
      </c>
      <c r="AC204" s="88">
        <v>0.3</v>
      </c>
      <c r="AD204" s="251"/>
      <c r="AE204" s="251"/>
      <c r="AF204" s="251"/>
      <c r="AG204" s="251"/>
    </row>
    <row r="205" spans="2:33" ht="16.2" hidden="1" thickBot="1" x14ac:dyDescent="0.35">
      <c r="B205" s="949"/>
      <c r="C205" s="950"/>
      <c r="D205" s="933"/>
      <c r="E205" s="89" t="s">
        <v>550</v>
      </c>
      <c r="F205" s="90">
        <v>0.25</v>
      </c>
      <c r="G205" s="90">
        <v>0.2</v>
      </c>
      <c r="H205" s="90">
        <v>0.2</v>
      </c>
      <c r="I205" s="90">
        <v>0</v>
      </c>
      <c r="J205" s="90">
        <v>0</v>
      </c>
      <c r="K205" s="90">
        <v>0</v>
      </c>
      <c r="L205" s="90">
        <v>0</v>
      </c>
      <c r="M205" s="90">
        <v>0</v>
      </c>
      <c r="N205" s="90">
        <v>0</v>
      </c>
      <c r="O205" s="90">
        <v>0</v>
      </c>
      <c r="P205" s="90">
        <v>0.5</v>
      </c>
      <c r="Q205" s="90">
        <v>0.5</v>
      </c>
      <c r="R205" s="90">
        <v>0.4</v>
      </c>
      <c r="S205" s="90">
        <v>0.4</v>
      </c>
      <c r="T205" s="90">
        <v>0.3</v>
      </c>
      <c r="U205" s="90">
        <v>0.3</v>
      </c>
      <c r="V205" s="90">
        <v>0.3</v>
      </c>
      <c r="W205" s="90">
        <v>0.4</v>
      </c>
      <c r="X205" s="90">
        <v>0.5</v>
      </c>
      <c r="Y205" s="90">
        <v>0.5</v>
      </c>
      <c r="Z205" s="90">
        <v>0.4</v>
      </c>
      <c r="AA205" s="90">
        <v>0.5</v>
      </c>
      <c r="AB205" s="90">
        <v>0.4</v>
      </c>
      <c r="AC205" s="91">
        <v>0.2</v>
      </c>
      <c r="AD205" s="251"/>
      <c r="AE205" s="251"/>
      <c r="AF205" s="251"/>
      <c r="AG205" s="251"/>
    </row>
    <row r="206" spans="2:33" ht="15.6" hidden="1" x14ac:dyDescent="0.3">
      <c r="B206" s="921" t="s">
        <v>596</v>
      </c>
      <c r="C206" s="924" t="s">
        <v>591</v>
      </c>
      <c r="D206" s="945" t="s">
        <v>586</v>
      </c>
      <c r="E206" s="83" t="s">
        <v>548</v>
      </c>
      <c r="F206" s="178">
        <v>0.25</v>
      </c>
      <c r="G206" s="178">
        <v>0.25</v>
      </c>
      <c r="H206" s="178">
        <v>0.25</v>
      </c>
      <c r="I206" s="84">
        <v>1</v>
      </c>
      <c r="J206" s="84">
        <v>1</v>
      </c>
      <c r="K206" s="84">
        <v>1</v>
      </c>
      <c r="L206" s="84">
        <v>0.25</v>
      </c>
      <c r="M206" s="84">
        <v>0.25</v>
      </c>
      <c r="N206" s="84">
        <v>0.25</v>
      </c>
      <c r="O206" s="84">
        <v>0.25</v>
      </c>
      <c r="P206" s="84">
        <v>0.25</v>
      </c>
      <c r="Q206" s="84">
        <v>0.25</v>
      </c>
      <c r="R206" s="84">
        <v>0.25</v>
      </c>
      <c r="S206" s="84">
        <v>0.25</v>
      </c>
      <c r="T206" s="84">
        <v>0.25</v>
      </c>
      <c r="U206" s="84">
        <v>0.25</v>
      </c>
      <c r="V206" s="127">
        <v>0.25</v>
      </c>
      <c r="W206" s="84">
        <v>0.25</v>
      </c>
      <c r="X206" s="84">
        <v>0.25</v>
      </c>
      <c r="Y206" s="84">
        <v>0.25</v>
      </c>
      <c r="Z206" s="84">
        <v>0.25</v>
      </c>
      <c r="AA206" s="84">
        <v>0.25</v>
      </c>
      <c r="AB206" s="84">
        <v>0.25</v>
      </c>
      <c r="AC206" s="85">
        <v>0.25</v>
      </c>
      <c r="AD206" s="251"/>
      <c r="AE206" s="251"/>
      <c r="AF206" s="251"/>
      <c r="AG206" s="251"/>
    </row>
    <row r="207" spans="2:33" ht="15.6" hidden="1" x14ac:dyDescent="0.3">
      <c r="B207" s="922"/>
      <c r="C207" s="925"/>
      <c r="D207" s="946"/>
      <c r="E207" s="86" t="s">
        <v>549</v>
      </c>
      <c r="F207" s="179">
        <v>0.25</v>
      </c>
      <c r="G207" s="179">
        <v>0.25</v>
      </c>
      <c r="H207" s="179">
        <v>0.25</v>
      </c>
      <c r="I207" s="87">
        <v>1</v>
      </c>
      <c r="J207" s="87">
        <v>1</v>
      </c>
      <c r="K207" s="87">
        <v>1</v>
      </c>
      <c r="L207" s="87">
        <v>1</v>
      </c>
      <c r="M207" s="87">
        <v>1</v>
      </c>
      <c r="N207" s="87">
        <v>0.25</v>
      </c>
      <c r="O207" s="87">
        <v>0.25</v>
      </c>
      <c r="P207" s="87">
        <v>0.25</v>
      </c>
      <c r="Q207" s="87">
        <v>0.25</v>
      </c>
      <c r="R207" s="87">
        <v>0.25</v>
      </c>
      <c r="S207" s="87">
        <v>0.25</v>
      </c>
      <c r="T207" s="87">
        <v>0.25</v>
      </c>
      <c r="U207" s="87">
        <v>0.25</v>
      </c>
      <c r="V207" s="87">
        <v>0.25</v>
      </c>
      <c r="W207" s="87">
        <v>0.25</v>
      </c>
      <c r="X207" s="87">
        <v>0.25</v>
      </c>
      <c r="Y207" s="87">
        <v>0.25</v>
      </c>
      <c r="Z207" s="87">
        <v>0.25</v>
      </c>
      <c r="AA207" s="87">
        <v>0.25</v>
      </c>
      <c r="AB207" s="87">
        <v>0.25</v>
      </c>
      <c r="AC207" s="88">
        <v>0.25</v>
      </c>
      <c r="AD207" s="251"/>
      <c r="AE207" s="251"/>
      <c r="AF207" s="251"/>
      <c r="AG207" s="251"/>
    </row>
    <row r="208" spans="2:33" ht="16.2" hidden="1" thickBot="1" x14ac:dyDescent="0.35">
      <c r="B208" s="923"/>
      <c r="C208" s="926"/>
      <c r="D208" s="947"/>
      <c r="E208" s="92" t="s">
        <v>550</v>
      </c>
      <c r="F208" s="180">
        <v>0.25</v>
      </c>
      <c r="G208" s="180">
        <v>0.25</v>
      </c>
      <c r="H208" s="180">
        <v>0.25</v>
      </c>
      <c r="I208" s="93">
        <v>1</v>
      </c>
      <c r="J208" s="93">
        <v>1</v>
      </c>
      <c r="K208" s="93">
        <v>1</v>
      </c>
      <c r="L208" s="93">
        <v>1</v>
      </c>
      <c r="M208" s="93">
        <v>1</v>
      </c>
      <c r="N208" s="93">
        <v>1</v>
      </c>
      <c r="O208" s="93">
        <v>0.25</v>
      </c>
      <c r="P208" s="93">
        <v>0.25</v>
      </c>
      <c r="Q208" s="93">
        <v>0.25</v>
      </c>
      <c r="R208" s="93">
        <v>0.25</v>
      </c>
      <c r="S208" s="93">
        <v>0.25</v>
      </c>
      <c r="T208" s="93">
        <v>0.25</v>
      </c>
      <c r="U208" s="93">
        <v>0.25</v>
      </c>
      <c r="V208" s="93">
        <v>0.25</v>
      </c>
      <c r="W208" s="93">
        <v>0.25</v>
      </c>
      <c r="X208" s="93">
        <v>0.25</v>
      </c>
      <c r="Y208" s="93">
        <v>0.25</v>
      </c>
      <c r="Z208" s="93">
        <v>0.25</v>
      </c>
      <c r="AA208" s="93">
        <v>0.25</v>
      </c>
      <c r="AB208" s="93">
        <v>0.25</v>
      </c>
      <c r="AC208" s="94">
        <v>0.25</v>
      </c>
      <c r="AD208" s="251"/>
      <c r="AE208" s="251"/>
      <c r="AF208" s="251"/>
      <c r="AG208" s="251"/>
    </row>
    <row r="209" spans="2:29" hidden="1" x14ac:dyDescent="0.3">
      <c r="B209" s="891" t="s">
        <v>597</v>
      </c>
      <c r="C209" s="900" t="s">
        <v>338</v>
      </c>
      <c r="D209" s="931" t="s">
        <v>80</v>
      </c>
      <c r="E209" s="98" t="s">
        <v>548</v>
      </c>
      <c r="F209" s="99">
        <v>0</v>
      </c>
      <c r="G209" s="99">
        <v>0</v>
      </c>
      <c r="H209" s="99">
        <v>0</v>
      </c>
      <c r="I209" s="99">
        <v>0</v>
      </c>
      <c r="J209" s="317">
        <v>0</v>
      </c>
      <c r="K209" s="317">
        <v>0</v>
      </c>
      <c r="L209" s="317">
        <v>1</v>
      </c>
      <c r="M209" s="317">
        <v>1</v>
      </c>
      <c r="N209" s="317">
        <v>1</v>
      </c>
      <c r="O209" s="99">
        <v>1</v>
      </c>
      <c r="P209" s="99">
        <v>1</v>
      </c>
      <c r="Q209" s="99">
        <v>1</v>
      </c>
      <c r="R209" s="99">
        <v>1</v>
      </c>
      <c r="S209" s="99">
        <v>1</v>
      </c>
      <c r="T209" s="99">
        <v>1</v>
      </c>
      <c r="U209" s="99">
        <v>1</v>
      </c>
      <c r="V209" s="99">
        <v>1</v>
      </c>
      <c r="W209" s="99">
        <v>1</v>
      </c>
      <c r="X209" s="99">
        <v>1</v>
      </c>
      <c r="Y209" s="99">
        <v>0</v>
      </c>
      <c r="Z209" s="99">
        <v>0</v>
      </c>
      <c r="AA209" s="99">
        <v>0</v>
      </c>
      <c r="AB209" s="99">
        <v>0</v>
      </c>
      <c r="AC209" s="100">
        <v>0</v>
      </c>
    </row>
    <row r="210" spans="2:29" hidden="1" x14ac:dyDescent="0.3">
      <c r="B210" s="892"/>
      <c r="C210" s="901"/>
      <c r="D210" s="932"/>
      <c r="E210" s="101" t="s">
        <v>549</v>
      </c>
      <c r="F210" s="102">
        <v>0</v>
      </c>
      <c r="G210" s="102">
        <v>0</v>
      </c>
      <c r="H210" s="102">
        <v>0</v>
      </c>
      <c r="I210" s="102">
        <v>0</v>
      </c>
      <c r="J210" s="318">
        <v>0</v>
      </c>
      <c r="K210" s="318">
        <v>0</v>
      </c>
      <c r="L210" s="318">
        <v>0</v>
      </c>
      <c r="M210" s="318">
        <v>0</v>
      </c>
      <c r="N210" s="318">
        <v>1</v>
      </c>
      <c r="O210" s="102">
        <v>1</v>
      </c>
      <c r="P210" s="102">
        <v>1</v>
      </c>
      <c r="Q210" s="102">
        <v>1</v>
      </c>
      <c r="R210" s="102">
        <v>1</v>
      </c>
      <c r="S210" s="102">
        <v>1</v>
      </c>
      <c r="T210" s="102">
        <v>1</v>
      </c>
      <c r="U210" s="102">
        <v>1</v>
      </c>
      <c r="V210" s="102">
        <v>1</v>
      </c>
      <c r="W210" s="102">
        <v>1</v>
      </c>
      <c r="X210" s="102">
        <v>1</v>
      </c>
      <c r="Y210" s="102">
        <v>0</v>
      </c>
      <c r="Z210" s="102">
        <v>0</v>
      </c>
      <c r="AA210" s="102">
        <v>0</v>
      </c>
      <c r="AB210" s="102">
        <v>0</v>
      </c>
      <c r="AC210" s="103">
        <v>0</v>
      </c>
    </row>
    <row r="211" spans="2:29" ht="12" hidden="1" thickBot="1" x14ac:dyDescent="0.35">
      <c r="B211" s="927"/>
      <c r="C211" s="944"/>
      <c r="D211" s="933"/>
      <c r="E211" s="104" t="s">
        <v>550</v>
      </c>
      <c r="F211" s="105">
        <v>0</v>
      </c>
      <c r="G211" s="105">
        <v>0</v>
      </c>
      <c r="H211" s="105">
        <v>0</v>
      </c>
      <c r="I211" s="105">
        <v>0</v>
      </c>
      <c r="J211" s="319">
        <v>0</v>
      </c>
      <c r="K211" s="319">
        <v>0</v>
      </c>
      <c r="L211" s="319">
        <v>0</v>
      </c>
      <c r="M211" s="319">
        <v>0</v>
      </c>
      <c r="N211" s="319">
        <v>0</v>
      </c>
      <c r="O211" s="105">
        <v>1</v>
      </c>
      <c r="P211" s="105">
        <v>1</v>
      </c>
      <c r="Q211" s="105">
        <v>1</v>
      </c>
      <c r="R211" s="105">
        <v>1</v>
      </c>
      <c r="S211" s="105">
        <v>1</v>
      </c>
      <c r="T211" s="105">
        <v>1</v>
      </c>
      <c r="U211" s="105">
        <v>1</v>
      </c>
      <c r="V211" s="105">
        <v>1</v>
      </c>
      <c r="W211" s="105">
        <v>1</v>
      </c>
      <c r="X211" s="105">
        <v>1</v>
      </c>
      <c r="Y211" s="105">
        <v>0</v>
      </c>
      <c r="Z211" s="105">
        <v>0</v>
      </c>
      <c r="AA211" s="105">
        <v>0</v>
      </c>
      <c r="AB211" s="105">
        <v>0</v>
      </c>
      <c r="AC211" s="106">
        <v>0</v>
      </c>
    </row>
    <row r="212" spans="2:29" hidden="1" x14ac:dyDescent="0.3">
      <c r="B212" s="921" t="s">
        <v>598</v>
      </c>
      <c r="C212" s="900" t="s">
        <v>338</v>
      </c>
      <c r="D212" s="931" t="s">
        <v>80</v>
      </c>
      <c r="E212" s="83" t="s">
        <v>548</v>
      </c>
      <c r="F212" s="170">
        <v>0</v>
      </c>
      <c r="G212" s="170">
        <v>0</v>
      </c>
      <c r="H212" s="170">
        <v>0</v>
      </c>
      <c r="I212" s="170">
        <v>0</v>
      </c>
      <c r="J212" s="170">
        <v>0</v>
      </c>
      <c r="K212" s="170">
        <v>0</v>
      </c>
      <c r="L212" s="170">
        <v>0.5</v>
      </c>
      <c r="M212" s="170">
        <v>0.5</v>
      </c>
      <c r="N212" s="170">
        <v>0.5</v>
      </c>
      <c r="O212" s="170">
        <v>1</v>
      </c>
      <c r="P212" s="170">
        <v>0.5</v>
      </c>
      <c r="Q212" s="170">
        <v>1</v>
      </c>
      <c r="R212" s="170">
        <v>0.5</v>
      </c>
      <c r="S212" s="170">
        <v>1</v>
      </c>
      <c r="T212" s="170">
        <v>0.5</v>
      </c>
      <c r="U212" s="170">
        <v>1</v>
      </c>
      <c r="V212" s="170">
        <v>0.5</v>
      </c>
      <c r="W212" s="170">
        <v>1</v>
      </c>
      <c r="X212" s="170">
        <v>0.5</v>
      </c>
      <c r="Y212" s="170">
        <v>0</v>
      </c>
      <c r="Z212" s="170">
        <v>0</v>
      </c>
      <c r="AA212" s="170">
        <v>0</v>
      </c>
      <c r="AB212" s="170">
        <v>0</v>
      </c>
      <c r="AC212" s="171">
        <v>0</v>
      </c>
    </row>
    <row r="213" spans="2:29" hidden="1" x14ac:dyDescent="0.3">
      <c r="B213" s="922"/>
      <c r="C213" s="901"/>
      <c r="D213" s="932"/>
      <c r="E213" s="86" t="s">
        <v>549</v>
      </c>
      <c r="F213" s="172">
        <v>0</v>
      </c>
      <c r="G213" s="172">
        <v>0</v>
      </c>
      <c r="H213" s="172">
        <v>0</v>
      </c>
      <c r="I213" s="172">
        <v>0</v>
      </c>
      <c r="J213" s="172">
        <v>0</v>
      </c>
      <c r="K213" s="172">
        <v>0</v>
      </c>
      <c r="L213" s="172">
        <v>0</v>
      </c>
      <c r="M213" s="172">
        <v>0</v>
      </c>
      <c r="N213" s="172">
        <v>0.5</v>
      </c>
      <c r="O213" s="172">
        <v>1</v>
      </c>
      <c r="P213" s="172">
        <v>0.5</v>
      </c>
      <c r="Q213" s="172">
        <v>1</v>
      </c>
      <c r="R213" s="172">
        <v>0.5</v>
      </c>
      <c r="S213" s="172">
        <v>1</v>
      </c>
      <c r="T213" s="172">
        <v>0.5</v>
      </c>
      <c r="U213" s="172">
        <v>1</v>
      </c>
      <c r="V213" s="172">
        <v>0.5</v>
      </c>
      <c r="W213" s="172">
        <v>1</v>
      </c>
      <c r="X213" s="172">
        <v>0.5</v>
      </c>
      <c r="Y213" s="172">
        <v>0</v>
      </c>
      <c r="Z213" s="172">
        <v>0</v>
      </c>
      <c r="AA213" s="172">
        <v>0</v>
      </c>
      <c r="AB213" s="172">
        <v>0</v>
      </c>
      <c r="AC213" s="173">
        <v>0</v>
      </c>
    </row>
    <row r="214" spans="2:29" ht="12" hidden="1" thickBot="1" x14ac:dyDescent="0.35">
      <c r="B214" s="923"/>
      <c r="C214" s="944"/>
      <c r="D214" s="933"/>
      <c r="E214" s="92" t="s">
        <v>550</v>
      </c>
      <c r="F214" s="176">
        <v>0</v>
      </c>
      <c r="G214" s="176">
        <v>0</v>
      </c>
      <c r="H214" s="176">
        <v>0</v>
      </c>
      <c r="I214" s="176">
        <v>0</v>
      </c>
      <c r="J214" s="176">
        <v>0</v>
      </c>
      <c r="K214" s="176">
        <v>0</v>
      </c>
      <c r="L214" s="176">
        <v>0</v>
      </c>
      <c r="M214" s="176">
        <v>0</v>
      </c>
      <c r="N214" s="176">
        <v>0</v>
      </c>
      <c r="O214" s="176">
        <v>1</v>
      </c>
      <c r="P214" s="176">
        <v>0.5</v>
      </c>
      <c r="Q214" s="176">
        <v>1</v>
      </c>
      <c r="R214" s="176">
        <v>0.5</v>
      </c>
      <c r="S214" s="176">
        <v>1</v>
      </c>
      <c r="T214" s="176">
        <v>0.5</v>
      </c>
      <c r="U214" s="176">
        <v>1</v>
      </c>
      <c r="V214" s="176">
        <v>0.5</v>
      </c>
      <c r="W214" s="176">
        <v>1</v>
      </c>
      <c r="X214" s="176">
        <v>0.5</v>
      </c>
      <c r="Y214" s="176">
        <v>0</v>
      </c>
      <c r="Z214" s="176">
        <v>0</v>
      </c>
      <c r="AA214" s="176">
        <v>0</v>
      </c>
      <c r="AB214" s="176">
        <v>0</v>
      </c>
      <c r="AC214" s="177">
        <v>0</v>
      </c>
    </row>
    <row r="215" spans="2:29" hidden="1" x14ac:dyDescent="0.3">
      <c r="B215" s="891" t="s">
        <v>560</v>
      </c>
      <c r="C215" s="900" t="s">
        <v>338</v>
      </c>
      <c r="D215" s="931" t="s">
        <v>80</v>
      </c>
      <c r="E215" s="98" t="s">
        <v>548</v>
      </c>
      <c r="F215" s="99">
        <v>0.9</v>
      </c>
      <c r="G215" s="99">
        <v>0.9</v>
      </c>
      <c r="H215" s="99">
        <v>0.9</v>
      </c>
      <c r="I215" s="99">
        <v>0.9</v>
      </c>
      <c r="J215" s="99">
        <v>0.9</v>
      </c>
      <c r="K215" s="99">
        <v>0.9</v>
      </c>
      <c r="L215" s="99">
        <v>0.9</v>
      </c>
      <c r="M215" s="99">
        <v>0.9</v>
      </c>
      <c r="N215" s="99">
        <v>0.9</v>
      </c>
      <c r="O215" s="99">
        <v>0.9</v>
      </c>
      <c r="P215" s="99">
        <v>0.9</v>
      </c>
      <c r="Q215" s="99">
        <v>0.9</v>
      </c>
      <c r="R215" s="99">
        <v>0.9</v>
      </c>
      <c r="S215" s="99">
        <v>0.9</v>
      </c>
      <c r="T215" s="99">
        <v>0.9</v>
      </c>
      <c r="U215" s="99">
        <v>0.9</v>
      </c>
      <c r="V215" s="99">
        <v>0.9</v>
      </c>
      <c r="W215" s="99">
        <v>0.9</v>
      </c>
      <c r="X215" s="99">
        <v>0.9</v>
      </c>
      <c r="Y215" s="99">
        <v>0.9</v>
      </c>
      <c r="Z215" s="99">
        <v>0.9</v>
      </c>
      <c r="AA215" s="99">
        <v>0.9</v>
      </c>
      <c r="AB215" s="99">
        <v>0.9</v>
      </c>
      <c r="AC215" s="100">
        <v>0.9</v>
      </c>
    </row>
    <row r="216" spans="2:29" hidden="1" x14ac:dyDescent="0.3">
      <c r="B216" s="892"/>
      <c r="C216" s="901"/>
      <c r="D216" s="932"/>
      <c r="E216" s="101" t="s">
        <v>549</v>
      </c>
      <c r="F216" s="102">
        <v>0.9</v>
      </c>
      <c r="G216" s="102">
        <v>0.9</v>
      </c>
      <c r="H216" s="102">
        <v>0.9</v>
      </c>
      <c r="I216" s="102">
        <v>0.9</v>
      </c>
      <c r="J216" s="102">
        <v>0.9</v>
      </c>
      <c r="K216" s="102">
        <v>0.9</v>
      </c>
      <c r="L216" s="102">
        <v>0.9</v>
      </c>
      <c r="M216" s="102">
        <v>0.9</v>
      </c>
      <c r="N216" s="102">
        <v>0.9</v>
      </c>
      <c r="O216" s="102">
        <v>0.9</v>
      </c>
      <c r="P216" s="102">
        <v>0.9</v>
      </c>
      <c r="Q216" s="102">
        <v>0.9</v>
      </c>
      <c r="R216" s="102">
        <v>0.9</v>
      </c>
      <c r="S216" s="102">
        <v>0.9</v>
      </c>
      <c r="T216" s="102">
        <v>0.9</v>
      </c>
      <c r="U216" s="102">
        <v>0.9</v>
      </c>
      <c r="V216" s="102">
        <v>0.9</v>
      </c>
      <c r="W216" s="102">
        <v>0.9</v>
      </c>
      <c r="X216" s="102">
        <v>0.9</v>
      </c>
      <c r="Y216" s="102">
        <v>0.9</v>
      </c>
      <c r="Z216" s="102">
        <v>0.9</v>
      </c>
      <c r="AA216" s="102">
        <v>0.9</v>
      </c>
      <c r="AB216" s="102">
        <v>0.9</v>
      </c>
      <c r="AC216" s="103">
        <v>0.9</v>
      </c>
    </row>
    <row r="217" spans="2:29" ht="12" hidden="1" thickBot="1" x14ac:dyDescent="0.35">
      <c r="B217" s="893"/>
      <c r="C217" s="902"/>
      <c r="D217" s="933"/>
      <c r="E217" s="107" t="s">
        <v>550</v>
      </c>
      <c r="F217" s="108">
        <v>0.9</v>
      </c>
      <c r="G217" s="108">
        <v>0.9</v>
      </c>
      <c r="H217" s="108">
        <v>0.9</v>
      </c>
      <c r="I217" s="108">
        <v>0.9</v>
      </c>
      <c r="J217" s="108">
        <v>0.9</v>
      </c>
      <c r="K217" s="108">
        <v>0.9</v>
      </c>
      <c r="L217" s="108">
        <v>0.9</v>
      </c>
      <c r="M217" s="108">
        <v>0.9</v>
      </c>
      <c r="N217" s="108">
        <v>0.9</v>
      </c>
      <c r="O217" s="108">
        <v>0.9</v>
      </c>
      <c r="P217" s="108">
        <v>0.9</v>
      </c>
      <c r="Q217" s="108">
        <v>0.9</v>
      </c>
      <c r="R217" s="108">
        <v>0.9</v>
      </c>
      <c r="S217" s="108">
        <v>0.9</v>
      </c>
      <c r="T217" s="108">
        <v>0.9</v>
      </c>
      <c r="U217" s="108">
        <v>0.9</v>
      </c>
      <c r="V217" s="108">
        <v>0.9</v>
      </c>
      <c r="W217" s="108">
        <v>0.9</v>
      </c>
      <c r="X217" s="108">
        <v>0.9</v>
      </c>
      <c r="Y217" s="108">
        <v>0.9</v>
      </c>
      <c r="Z217" s="108">
        <v>0.9</v>
      </c>
      <c r="AA217" s="108">
        <v>0.9</v>
      </c>
      <c r="AB217" s="108">
        <v>0.9</v>
      </c>
      <c r="AC217" s="109">
        <v>0.9</v>
      </c>
    </row>
    <row r="218" spans="2:29" hidden="1" x14ac:dyDescent="0.3">
      <c r="B218" s="920" t="s">
        <v>599</v>
      </c>
      <c r="C218" s="903" t="s">
        <v>338</v>
      </c>
      <c r="D218" s="931" t="s">
        <v>80</v>
      </c>
      <c r="E218" s="110" t="s">
        <v>548</v>
      </c>
      <c r="F218" s="111">
        <v>0.5</v>
      </c>
      <c r="G218" s="111">
        <v>0</v>
      </c>
      <c r="H218" s="111">
        <v>0</v>
      </c>
      <c r="I218" s="111">
        <v>0</v>
      </c>
      <c r="J218" s="111">
        <v>0</v>
      </c>
      <c r="K218" s="111">
        <v>0</v>
      </c>
      <c r="L218" s="111">
        <v>0</v>
      </c>
      <c r="M218" s="111">
        <v>0.5</v>
      </c>
      <c r="N218" s="111">
        <v>0.5</v>
      </c>
      <c r="O218" s="111">
        <v>0.5</v>
      </c>
      <c r="P218" s="111">
        <v>0.9</v>
      </c>
      <c r="Q218" s="111">
        <v>0.9</v>
      </c>
      <c r="R218" s="111">
        <v>0.9</v>
      </c>
      <c r="S218" s="111">
        <v>0.9</v>
      </c>
      <c r="T218" s="111">
        <v>0.75</v>
      </c>
      <c r="U218" s="111">
        <v>0.75</v>
      </c>
      <c r="V218" s="111">
        <v>0.75</v>
      </c>
      <c r="W218" s="111">
        <v>0.9</v>
      </c>
      <c r="X218" s="111">
        <v>0.9</v>
      </c>
      <c r="Y218" s="111">
        <v>0.9</v>
      </c>
      <c r="Z218" s="111">
        <v>0.9</v>
      </c>
      <c r="AA218" s="111">
        <v>0.75</v>
      </c>
      <c r="AB218" s="111">
        <v>0.5</v>
      </c>
      <c r="AC218" s="112">
        <v>0.5</v>
      </c>
    </row>
    <row r="219" spans="2:29" hidden="1" x14ac:dyDescent="0.3">
      <c r="B219" s="892"/>
      <c r="C219" s="901"/>
      <c r="D219" s="932"/>
      <c r="E219" s="101" t="s">
        <v>549</v>
      </c>
      <c r="F219" s="102">
        <v>0.5</v>
      </c>
      <c r="G219" s="102">
        <v>0</v>
      </c>
      <c r="H219" s="102">
        <v>0</v>
      </c>
      <c r="I219" s="102">
        <v>0</v>
      </c>
      <c r="J219" s="102">
        <v>0</v>
      </c>
      <c r="K219" s="102">
        <v>0</v>
      </c>
      <c r="L219" s="102">
        <v>0</v>
      </c>
      <c r="M219" s="102">
        <v>0</v>
      </c>
      <c r="N219" s="102">
        <v>0.5</v>
      </c>
      <c r="O219" s="102">
        <v>0.5</v>
      </c>
      <c r="P219" s="102">
        <v>0.9</v>
      </c>
      <c r="Q219" s="102">
        <v>0.9</v>
      </c>
      <c r="R219" s="102">
        <v>0.9</v>
      </c>
      <c r="S219" s="102">
        <v>0.9</v>
      </c>
      <c r="T219" s="102">
        <v>0.75</v>
      </c>
      <c r="U219" s="102">
        <v>0.75</v>
      </c>
      <c r="V219" s="102">
        <v>0.75</v>
      </c>
      <c r="W219" s="102">
        <v>0.9</v>
      </c>
      <c r="X219" s="102">
        <v>0.9</v>
      </c>
      <c r="Y219" s="102">
        <v>0.9</v>
      </c>
      <c r="Z219" s="102">
        <v>0.9</v>
      </c>
      <c r="AA219" s="102">
        <v>0.75</v>
      </c>
      <c r="AB219" s="102">
        <v>0.75</v>
      </c>
      <c r="AC219" s="103">
        <v>0.5</v>
      </c>
    </row>
    <row r="220" spans="2:29" ht="12" hidden="1" thickBot="1" x14ac:dyDescent="0.35">
      <c r="B220" s="893"/>
      <c r="C220" s="902"/>
      <c r="D220" s="933"/>
      <c r="E220" s="107" t="s">
        <v>550</v>
      </c>
      <c r="F220" s="108">
        <v>0.5</v>
      </c>
      <c r="G220" s="108">
        <v>0</v>
      </c>
      <c r="H220" s="108">
        <v>0</v>
      </c>
      <c r="I220" s="108">
        <v>0</v>
      </c>
      <c r="J220" s="108">
        <v>0</v>
      </c>
      <c r="K220" s="108">
        <v>0</v>
      </c>
      <c r="L220" s="108">
        <v>0</v>
      </c>
      <c r="M220" s="108">
        <v>0</v>
      </c>
      <c r="N220" s="108">
        <v>0</v>
      </c>
      <c r="O220" s="108">
        <v>0.5</v>
      </c>
      <c r="P220" s="108">
        <v>0.9</v>
      </c>
      <c r="Q220" s="108">
        <v>0.9</v>
      </c>
      <c r="R220" s="108">
        <v>0.9</v>
      </c>
      <c r="S220" s="108">
        <v>0.9</v>
      </c>
      <c r="T220" s="108">
        <v>0.75</v>
      </c>
      <c r="U220" s="108">
        <v>0.75</v>
      </c>
      <c r="V220" s="108">
        <v>0.75</v>
      </c>
      <c r="W220" s="108">
        <v>0.9</v>
      </c>
      <c r="X220" s="108">
        <v>0.9</v>
      </c>
      <c r="Y220" s="108">
        <v>0.9</v>
      </c>
      <c r="Z220" s="108">
        <v>0.9</v>
      </c>
      <c r="AA220" s="108">
        <v>0.75</v>
      </c>
      <c r="AB220" s="108">
        <v>0.5</v>
      </c>
      <c r="AC220" s="109">
        <v>0.5</v>
      </c>
    </row>
    <row r="221" spans="2:29" hidden="1" x14ac:dyDescent="0.3"/>
    <row r="10204" spans="6:6" x14ac:dyDescent="0.3">
      <c r="F10204" s="37" t="s">
        <v>600</v>
      </c>
    </row>
  </sheetData>
  <dataConsolidate/>
  <mergeCells count="142">
    <mergeCell ref="D206:D208"/>
    <mergeCell ref="B203:B205"/>
    <mergeCell ref="C203:C205"/>
    <mergeCell ref="D203:D205"/>
    <mergeCell ref="B93:B98"/>
    <mergeCell ref="D93:D98"/>
    <mergeCell ref="E93:E98"/>
    <mergeCell ref="B200:B202"/>
    <mergeCell ref="C200:C202"/>
    <mergeCell ref="D200:D202"/>
    <mergeCell ref="D191:D193"/>
    <mergeCell ref="D194:D196"/>
    <mergeCell ref="D197:D199"/>
    <mergeCell ref="B191:B193"/>
    <mergeCell ref="B194:B196"/>
    <mergeCell ref="B197:B199"/>
    <mergeCell ref="C191:C193"/>
    <mergeCell ref="C194:C196"/>
    <mergeCell ref="C197:C199"/>
    <mergeCell ref="D212:D214"/>
    <mergeCell ref="B35:B37"/>
    <mergeCell ref="C35:C37"/>
    <mergeCell ref="D35:D37"/>
    <mergeCell ref="B16:B18"/>
    <mergeCell ref="C16:C18"/>
    <mergeCell ref="D16:D18"/>
    <mergeCell ref="B19:B21"/>
    <mergeCell ref="C19:C21"/>
    <mergeCell ref="D19:D21"/>
    <mergeCell ref="A31:AC31"/>
    <mergeCell ref="D28:D30"/>
    <mergeCell ref="B41:B43"/>
    <mergeCell ref="C41:C43"/>
    <mergeCell ref="D41:D43"/>
    <mergeCell ref="B50:B52"/>
    <mergeCell ref="C50:C52"/>
    <mergeCell ref="D50:D52"/>
    <mergeCell ref="B44:B46"/>
    <mergeCell ref="C44:C46"/>
    <mergeCell ref="D44:D46"/>
    <mergeCell ref="B32:B34"/>
    <mergeCell ref="C32:C34"/>
    <mergeCell ref="D32:D34"/>
    <mergeCell ref="D215:D217"/>
    <mergeCell ref="B218:B220"/>
    <mergeCell ref="C218:C220"/>
    <mergeCell ref="D218:D220"/>
    <mergeCell ref="B38:B40"/>
    <mergeCell ref="C38:C40"/>
    <mergeCell ref="D38:D40"/>
    <mergeCell ref="B4:B6"/>
    <mergeCell ref="C4:C6"/>
    <mergeCell ref="D4:D6"/>
    <mergeCell ref="B7:B9"/>
    <mergeCell ref="C7:C9"/>
    <mergeCell ref="D7:D9"/>
    <mergeCell ref="B13:B15"/>
    <mergeCell ref="C13:C15"/>
    <mergeCell ref="D13:D15"/>
    <mergeCell ref="B10:B12"/>
    <mergeCell ref="C10:C12"/>
    <mergeCell ref="D10:D12"/>
    <mergeCell ref="B209:B211"/>
    <mergeCell ref="C209:C211"/>
    <mergeCell ref="D209:D211"/>
    <mergeCell ref="B212:B214"/>
    <mergeCell ref="C212:C214"/>
    <mergeCell ref="A28:A30"/>
    <mergeCell ref="B28:B30"/>
    <mergeCell ref="C28:C30"/>
    <mergeCell ref="A35:A37"/>
    <mergeCell ref="A38:A40"/>
    <mergeCell ref="A41:A43"/>
    <mergeCell ref="A44:A46"/>
    <mergeCell ref="A32:A34"/>
    <mergeCell ref="B215:B217"/>
    <mergeCell ref="C215:C217"/>
    <mergeCell ref="B47:B49"/>
    <mergeCell ref="C47:C49"/>
    <mergeCell ref="B206:B208"/>
    <mergeCell ref="C206:C208"/>
    <mergeCell ref="B62:B64"/>
    <mergeCell ref="C62:C64"/>
    <mergeCell ref="A75:A77"/>
    <mergeCell ref="B75:B77"/>
    <mergeCell ref="C75:C77"/>
    <mergeCell ref="A2:A3"/>
    <mergeCell ref="A1:AC1"/>
    <mergeCell ref="A4:A6"/>
    <mergeCell ref="A7:A9"/>
    <mergeCell ref="A10:A12"/>
    <mergeCell ref="A13:A15"/>
    <mergeCell ref="A16:A18"/>
    <mergeCell ref="A19:A21"/>
    <mergeCell ref="A25:A27"/>
    <mergeCell ref="B25:B27"/>
    <mergeCell ref="C25:C27"/>
    <mergeCell ref="D25:D27"/>
    <mergeCell ref="B2:B3"/>
    <mergeCell ref="C2:C3"/>
    <mergeCell ref="D2:D3"/>
    <mergeCell ref="E2:E3"/>
    <mergeCell ref="F2:AC2"/>
    <mergeCell ref="A22:A24"/>
    <mergeCell ref="B22:B24"/>
    <mergeCell ref="C22:C24"/>
    <mergeCell ref="D22:D24"/>
    <mergeCell ref="D62:D64"/>
    <mergeCell ref="A65:A67"/>
    <mergeCell ref="B65:B67"/>
    <mergeCell ref="C65:C67"/>
    <mergeCell ref="D65:D67"/>
    <mergeCell ref="A68:AC68"/>
    <mergeCell ref="A47:A49"/>
    <mergeCell ref="A50:A52"/>
    <mergeCell ref="A53:A55"/>
    <mergeCell ref="B53:B55"/>
    <mergeCell ref="C53:C55"/>
    <mergeCell ref="D53:D55"/>
    <mergeCell ref="A56:A58"/>
    <mergeCell ref="B56:B58"/>
    <mergeCell ref="C56:C58"/>
    <mergeCell ref="D56:D58"/>
    <mergeCell ref="A59:A61"/>
    <mergeCell ref="B59:B61"/>
    <mergeCell ref="C59:C61"/>
    <mergeCell ref="D59:D61"/>
    <mergeCell ref="A62:A64"/>
    <mergeCell ref="D47:D49"/>
    <mergeCell ref="D75:D77"/>
    <mergeCell ref="A78:A80"/>
    <mergeCell ref="B78:B80"/>
    <mergeCell ref="C78:C80"/>
    <mergeCell ref="D78:D80"/>
    <mergeCell ref="A69:A71"/>
    <mergeCell ref="B69:B71"/>
    <mergeCell ref="C69:C71"/>
    <mergeCell ref="D69:D71"/>
    <mergeCell ref="A72:A74"/>
    <mergeCell ref="B72:B74"/>
    <mergeCell ref="C72:C74"/>
    <mergeCell ref="D72:D74"/>
  </mergeCells>
  <phoneticPr fontId="5" type="noConversion"/>
  <dataValidations disablePrompts="1" count="3">
    <dataValidation type="list" allowBlank="1" showInputMessage="1" showErrorMessage="1" sqref="B93" xr:uid="{0B8ED8D6-A7ED-449C-AAEB-3B6573DA70F8}">
      <formula1>$B$133:$B$141</formula1>
    </dataValidation>
    <dataValidation type="list" allowBlank="1" showInputMessage="1" showErrorMessage="1" sqref="E93" xr:uid="{9E0A7D03-DAED-4AD9-BF59-DB3DFC492693}">
      <formula1>$E$154:$E$156</formula1>
    </dataValidation>
    <dataValidation type="list" allowBlank="1" showInputMessage="1" showErrorMessage="1" sqref="D93" xr:uid="{240BC8F2-1B0C-45C9-9C22-9171F0A56C9B}">
      <formula1>$D$151:$D$156</formula1>
    </dataValidation>
  </dataValidations>
  <hyperlinks>
    <hyperlink ref="B123" r:id="rId1" location="L162" display="https://github.com/pnnl/COMNET/blob/master/Building_Space_Specific_Loads/dining__cafeteria_fast_food/kitchen/space_specific_schedules.json - L162" xr:uid="{2CD4BBDD-7819-4CF8-A4F7-9BF80DECB41E}"/>
    <hyperlink ref="S123" r:id="rId2" display="https://github.com/pnnl/COMNET/blob/master/Building_Space_Specific_Loads/dining__cafeteria_fast_food/dining_cafeteria_fast_food/space_specific_schedules.json" xr:uid="{0AC7F684-315F-42DC-8A17-970CD62CE751}"/>
  </hyperlinks>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X148"/>
  <sheetViews>
    <sheetView topLeftCell="A2" zoomScaleNormal="100" workbookViewId="0">
      <selection sqref="A1:H1"/>
    </sheetView>
  </sheetViews>
  <sheetFormatPr defaultColWidth="8.6640625" defaultRowHeight="13.2" x14ac:dyDescent="0.25"/>
  <cols>
    <col min="1" max="1" width="8.6640625" style="5" customWidth="1"/>
    <col min="2" max="2" width="8.6640625" style="5"/>
    <col min="3" max="5" width="14.33203125" style="5" customWidth="1"/>
    <col min="6" max="8" width="17.109375" style="5" customWidth="1"/>
    <col min="9" max="11" width="14.33203125" style="5" customWidth="1"/>
    <col min="12" max="12" width="16.44140625" style="5" customWidth="1"/>
    <col min="13" max="13" width="14.33203125" style="5" customWidth="1"/>
    <col min="14" max="14" width="10.44140625" style="5" customWidth="1"/>
    <col min="15" max="15" width="8.33203125" style="5" customWidth="1"/>
    <col min="16" max="18" width="17.109375" style="5" customWidth="1"/>
    <col min="19" max="19" width="14.6640625" style="5" customWidth="1"/>
    <col min="20" max="20" width="13.88671875" style="5" customWidth="1"/>
    <col min="21" max="22" width="13.5546875" style="5" customWidth="1"/>
    <col min="23" max="25" width="13.6640625" style="5" customWidth="1"/>
    <col min="26" max="26" width="10.6640625" style="5" customWidth="1"/>
    <col min="27" max="28" width="8.6640625" style="5"/>
    <col min="29" max="29" width="13.6640625" style="5" customWidth="1"/>
    <col min="30" max="32" width="8.6640625" style="5"/>
    <col min="33" max="33" width="12.44140625" style="5" customWidth="1"/>
    <col min="34" max="16384" width="8.6640625" style="5"/>
  </cols>
  <sheetData>
    <row r="1" spans="1:22" ht="27" customHeight="1" thickBot="1" x14ac:dyDescent="0.3">
      <c r="A1" s="967" t="str">
        <f>"CalBEM Energy Consumption - "&amp;Prototype!A2</f>
        <v>CalBEM Energy Consumption - RestaurantSitDown</v>
      </c>
      <c r="B1" s="968"/>
      <c r="C1" s="968"/>
      <c r="D1" s="968"/>
      <c r="E1" s="968"/>
      <c r="F1" s="968"/>
      <c r="G1" s="968"/>
      <c r="H1" s="968"/>
      <c r="I1" s="968" t="s">
        <v>514</v>
      </c>
      <c r="J1" s="968"/>
      <c r="K1" s="968"/>
      <c r="L1" s="968"/>
      <c r="M1" s="533"/>
      <c r="N1" s="966" t="s">
        <v>515</v>
      </c>
      <c r="O1" s="738"/>
      <c r="P1" s="738"/>
      <c r="Q1" s="738"/>
      <c r="R1" s="738"/>
      <c r="S1" s="738"/>
      <c r="T1" s="738"/>
      <c r="U1" s="738"/>
      <c r="V1" s="738"/>
    </row>
    <row r="2" spans="1:22" ht="39.6" customHeight="1" x14ac:dyDescent="0.25">
      <c r="A2" s="524" t="s">
        <v>7</v>
      </c>
      <c r="B2" s="525" t="s">
        <v>516</v>
      </c>
      <c r="C2" s="526" t="s">
        <v>517</v>
      </c>
      <c r="D2" s="527" t="s">
        <v>518</v>
      </c>
      <c r="E2" s="528" t="s">
        <v>519</v>
      </c>
      <c r="F2" s="526" t="s">
        <v>520</v>
      </c>
      <c r="G2" s="529" t="s">
        <v>521</v>
      </c>
      <c r="H2" s="539" t="s">
        <v>522</v>
      </c>
      <c r="I2" s="541" t="s">
        <v>523</v>
      </c>
      <c r="J2" s="542" t="s">
        <v>524</v>
      </c>
      <c r="K2" s="542" t="s">
        <v>525</v>
      </c>
      <c r="L2" s="543" t="s">
        <v>526</v>
      </c>
      <c r="M2" s="540"/>
      <c r="N2" s="36" t="s">
        <v>7</v>
      </c>
      <c r="O2" s="41" t="s">
        <v>516</v>
      </c>
      <c r="P2" s="535" t="s">
        <v>527</v>
      </c>
      <c r="Q2" s="535" t="s">
        <v>528</v>
      </c>
      <c r="R2" s="535" t="s">
        <v>529</v>
      </c>
      <c r="S2" s="535" t="s">
        <v>530</v>
      </c>
      <c r="T2" s="535" t="s">
        <v>524</v>
      </c>
      <c r="U2" s="535" t="s">
        <v>525</v>
      </c>
      <c r="V2" s="535" t="s">
        <v>531</v>
      </c>
    </row>
    <row r="3" spans="1:22" ht="19.2" customHeight="1" x14ac:dyDescent="0.3">
      <c r="A3" s="964" t="s">
        <v>532</v>
      </c>
      <c r="B3" s="530">
        <v>1</v>
      </c>
      <c r="C3" s="556"/>
      <c r="D3" s="557"/>
      <c r="E3" s="558"/>
      <c r="F3" s="2"/>
      <c r="G3" s="2"/>
      <c r="H3" s="2"/>
      <c r="I3" s="544">
        <v>286.5</v>
      </c>
      <c r="J3" s="531">
        <f>I3*1.25</f>
        <v>358.125</v>
      </c>
      <c r="K3" s="62">
        <f>0.75*I3</f>
        <v>214.875</v>
      </c>
      <c r="L3" s="545">
        <f>J3-K3</f>
        <v>143.25</v>
      </c>
      <c r="M3" s="534"/>
      <c r="N3" s="961" t="s">
        <v>77</v>
      </c>
      <c r="O3" s="35">
        <v>1</v>
      </c>
      <c r="P3" s="191">
        <v>2670.2480256623271</v>
      </c>
      <c r="Q3" s="538">
        <v>140.21338150362919</v>
      </c>
      <c r="R3" s="538">
        <v>188.39676346573083</v>
      </c>
      <c r="S3" s="536">
        <f>Q3+R3</f>
        <v>328.61014496936002</v>
      </c>
      <c r="T3" s="536">
        <f>S3*1.25</f>
        <v>410.76268121170006</v>
      </c>
      <c r="U3" s="536">
        <f>S3*0.75</f>
        <v>246.45760872702002</v>
      </c>
      <c r="V3" s="536">
        <f>T3-U3</f>
        <v>164.30507248468004</v>
      </c>
    </row>
    <row r="4" spans="1:22" ht="19.2" customHeight="1" x14ac:dyDescent="0.3">
      <c r="A4" s="964"/>
      <c r="B4" s="530">
        <v>2</v>
      </c>
      <c r="C4" s="556"/>
      <c r="D4" s="557"/>
      <c r="E4" s="558"/>
      <c r="F4" s="2"/>
      <c r="G4" s="2"/>
      <c r="H4" s="2"/>
      <c r="I4" s="544">
        <v>286.5</v>
      </c>
      <c r="J4" s="531">
        <f t="shared" ref="J4:J18" si="0">I4*1.25</f>
        <v>358.125</v>
      </c>
      <c r="K4" s="62">
        <f t="shared" ref="K4:K18" si="1">0.75*I4</f>
        <v>214.875</v>
      </c>
      <c r="L4" s="545">
        <f t="shared" ref="L4:L18" si="2">J4-K4</f>
        <v>143.25</v>
      </c>
      <c r="M4" s="534"/>
      <c r="N4" s="962"/>
      <c r="O4" s="35">
        <v>2</v>
      </c>
      <c r="P4" s="191">
        <v>4962.8202372006817</v>
      </c>
      <c r="Q4" s="538">
        <v>115.43441558226802</v>
      </c>
      <c r="R4" s="538">
        <v>178.59593571391775</v>
      </c>
      <c r="S4" s="536">
        <f t="shared" ref="S4:S18" si="3">Q4+R4</f>
        <v>294.03035129618576</v>
      </c>
      <c r="T4" s="536">
        <f t="shared" ref="T4:T18" si="4">S4*1.25</f>
        <v>367.53793912023218</v>
      </c>
      <c r="U4" s="536">
        <f t="shared" ref="U4:U18" si="5">S4*0.75</f>
        <v>220.52276347213933</v>
      </c>
      <c r="V4" s="536">
        <f t="shared" ref="V4:V18" si="6">T4-U4</f>
        <v>147.01517564809285</v>
      </c>
    </row>
    <row r="5" spans="1:22" ht="19.2" customHeight="1" x14ac:dyDescent="0.3">
      <c r="A5" s="964"/>
      <c r="B5" s="530">
        <v>3</v>
      </c>
      <c r="C5" s="556"/>
      <c r="D5" s="557"/>
      <c r="E5" s="558"/>
      <c r="F5" s="2"/>
      <c r="G5" s="2"/>
      <c r="H5" s="2"/>
      <c r="I5" s="544">
        <v>286.5</v>
      </c>
      <c r="J5" s="531">
        <f t="shared" si="0"/>
        <v>358.125</v>
      </c>
      <c r="K5" s="62">
        <f t="shared" si="1"/>
        <v>214.875</v>
      </c>
      <c r="L5" s="545">
        <f t="shared" si="2"/>
        <v>143.25</v>
      </c>
      <c r="M5" s="534"/>
      <c r="N5" s="962"/>
      <c r="O5" s="35">
        <v>3</v>
      </c>
      <c r="P5" s="191">
        <v>23016.188800795153</v>
      </c>
      <c r="Q5" s="538">
        <v>121.68254521688108</v>
      </c>
      <c r="R5" s="538">
        <v>177.66531929741396</v>
      </c>
      <c r="S5" s="536">
        <f t="shared" si="3"/>
        <v>299.34786451429505</v>
      </c>
      <c r="T5" s="536">
        <f t="shared" si="4"/>
        <v>374.1848306428688</v>
      </c>
      <c r="U5" s="536">
        <f t="shared" si="5"/>
        <v>224.5108983857213</v>
      </c>
      <c r="V5" s="536">
        <f t="shared" si="6"/>
        <v>149.6739322571475</v>
      </c>
    </row>
    <row r="6" spans="1:22" ht="19.2" customHeight="1" x14ac:dyDescent="0.3">
      <c r="A6" s="964"/>
      <c r="B6" s="530">
        <v>4</v>
      </c>
      <c r="C6" s="556"/>
      <c r="D6" s="557"/>
      <c r="E6" s="558"/>
      <c r="F6" s="2"/>
      <c r="G6" s="2"/>
      <c r="H6" s="2"/>
      <c r="I6" s="544">
        <v>286.5</v>
      </c>
      <c r="J6" s="531">
        <f t="shared" si="0"/>
        <v>358.125</v>
      </c>
      <c r="K6" s="62">
        <f t="shared" si="1"/>
        <v>214.875</v>
      </c>
      <c r="L6" s="545">
        <f t="shared" si="2"/>
        <v>143.25</v>
      </c>
      <c r="M6" s="534"/>
      <c r="N6" s="962"/>
      <c r="O6" s="35">
        <v>4</v>
      </c>
      <c r="P6" s="191">
        <v>11906.950094339501</v>
      </c>
      <c r="Q6" s="538">
        <v>121.67946974211769</v>
      </c>
      <c r="R6" s="538">
        <v>177.22979612539538</v>
      </c>
      <c r="S6" s="536">
        <f t="shared" si="3"/>
        <v>298.90926586751306</v>
      </c>
      <c r="T6" s="536">
        <f t="shared" si="4"/>
        <v>373.63658233439133</v>
      </c>
      <c r="U6" s="536">
        <f t="shared" si="5"/>
        <v>224.18194940063478</v>
      </c>
      <c r="V6" s="536">
        <f t="shared" si="6"/>
        <v>149.45463293375656</v>
      </c>
    </row>
    <row r="7" spans="1:22" ht="19.2" customHeight="1" x14ac:dyDescent="0.3">
      <c r="A7" s="964"/>
      <c r="B7" s="530">
        <v>5</v>
      </c>
      <c r="C7" s="556"/>
      <c r="D7" s="557"/>
      <c r="E7" s="558"/>
      <c r="F7" s="2"/>
      <c r="G7" s="2"/>
      <c r="H7" s="2"/>
      <c r="I7" s="544">
        <v>286.5</v>
      </c>
      <c r="J7" s="531">
        <f t="shared" si="0"/>
        <v>358.125</v>
      </c>
      <c r="K7" s="62">
        <f t="shared" si="1"/>
        <v>214.875</v>
      </c>
      <c r="L7" s="545">
        <f t="shared" si="2"/>
        <v>143.25</v>
      </c>
      <c r="M7" s="534"/>
      <c r="N7" s="962"/>
      <c r="O7" s="35">
        <v>5</v>
      </c>
      <c r="P7" s="191">
        <v>2232.1751752228543</v>
      </c>
      <c r="Q7" s="538">
        <v>116.89706808804395</v>
      </c>
      <c r="R7" s="538">
        <v>182.67997772737826</v>
      </c>
      <c r="S7" s="536">
        <f t="shared" si="3"/>
        <v>299.5770458154222</v>
      </c>
      <c r="T7" s="536">
        <f t="shared" si="4"/>
        <v>374.47130726927776</v>
      </c>
      <c r="U7" s="536">
        <f t="shared" si="5"/>
        <v>224.68278436156663</v>
      </c>
      <c r="V7" s="536">
        <f t="shared" si="6"/>
        <v>149.78852290771113</v>
      </c>
    </row>
    <row r="8" spans="1:22" ht="19.2" customHeight="1" x14ac:dyDescent="0.3">
      <c r="A8" s="964"/>
      <c r="B8" s="530">
        <v>6</v>
      </c>
      <c r="C8" s="556"/>
      <c r="D8" s="557"/>
      <c r="E8" s="558"/>
      <c r="F8" s="2"/>
      <c r="G8" s="2"/>
      <c r="H8" s="2"/>
      <c r="I8" s="544">
        <v>286.5</v>
      </c>
      <c r="J8" s="531">
        <f t="shared" si="0"/>
        <v>358.125</v>
      </c>
      <c r="K8" s="62">
        <f t="shared" si="1"/>
        <v>214.875</v>
      </c>
      <c r="L8" s="545">
        <f t="shared" si="2"/>
        <v>143.25</v>
      </c>
      <c r="M8" s="534"/>
      <c r="N8" s="962"/>
      <c r="O8" s="35">
        <v>6</v>
      </c>
      <c r="P8" s="191">
        <v>19264.557709840425</v>
      </c>
      <c r="Q8" s="538">
        <v>114.30760646839242</v>
      </c>
      <c r="R8" s="538">
        <v>210.8626210635226</v>
      </c>
      <c r="S8" s="536">
        <f t="shared" si="3"/>
        <v>325.17022753191503</v>
      </c>
      <c r="T8" s="536">
        <f t="shared" si="4"/>
        <v>406.4627844148938</v>
      </c>
      <c r="U8" s="536">
        <f t="shared" si="5"/>
        <v>243.87767064893626</v>
      </c>
      <c r="V8" s="536">
        <f t="shared" si="6"/>
        <v>162.58511376595754</v>
      </c>
    </row>
    <row r="9" spans="1:22" ht="19.2" customHeight="1" x14ac:dyDescent="0.3">
      <c r="A9" s="964"/>
      <c r="B9" s="530">
        <v>7</v>
      </c>
      <c r="C9" s="556"/>
      <c r="D9" s="557"/>
      <c r="E9" s="558"/>
      <c r="F9" s="2"/>
      <c r="G9" s="2"/>
      <c r="H9" s="2"/>
      <c r="I9" s="544">
        <v>286.5</v>
      </c>
      <c r="J9" s="531">
        <f t="shared" si="0"/>
        <v>358.125</v>
      </c>
      <c r="K9" s="62">
        <f t="shared" si="1"/>
        <v>214.875</v>
      </c>
      <c r="L9" s="545">
        <f t="shared" si="2"/>
        <v>143.25</v>
      </c>
      <c r="M9" s="534"/>
      <c r="N9" s="962"/>
      <c r="O9" s="35">
        <v>7</v>
      </c>
      <c r="P9" s="191">
        <v>11474.843705067249</v>
      </c>
      <c r="Q9" s="538">
        <v>139.92699069303819</v>
      </c>
      <c r="R9" s="538">
        <v>228.2706023973343</v>
      </c>
      <c r="S9" s="536">
        <f t="shared" si="3"/>
        <v>368.19759309037249</v>
      </c>
      <c r="T9" s="536">
        <f t="shared" si="4"/>
        <v>460.24699136296562</v>
      </c>
      <c r="U9" s="536">
        <f t="shared" si="5"/>
        <v>276.14819481777937</v>
      </c>
      <c r="V9" s="536">
        <f t="shared" si="6"/>
        <v>184.09879654518625</v>
      </c>
    </row>
    <row r="10" spans="1:22" ht="19.2" customHeight="1" x14ac:dyDescent="0.3">
      <c r="A10" s="964"/>
      <c r="B10" s="530">
        <v>8</v>
      </c>
      <c r="C10" s="556"/>
      <c r="D10" s="557"/>
      <c r="E10" s="558"/>
      <c r="F10" s="2"/>
      <c r="G10" s="2"/>
      <c r="H10" s="2"/>
      <c r="I10" s="544">
        <v>286.5</v>
      </c>
      <c r="J10" s="531">
        <f t="shared" si="0"/>
        <v>358.125</v>
      </c>
      <c r="K10" s="62">
        <f t="shared" si="1"/>
        <v>214.875</v>
      </c>
      <c r="L10" s="545">
        <f t="shared" si="2"/>
        <v>143.25</v>
      </c>
      <c r="M10" s="534"/>
      <c r="N10" s="962"/>
      <c r="O10" s="35">
        <v>8</v>
      </c>
      <c r="P10" s="191">
        <v>29165.646847720276</v>
      </c>
      <c r="Q10" s="538">
        <v>124.09734330449336</v>
      </c>
      <c r="R10" s="538">
        <v>226.01400300671699</v>
      </c>
      <c r="S10" s="536">
        <f t="shared" si="3"/>
        <v>350.11134631121035</v>
      </c>
      <c r="T10" s="536">
        <f t="shared" si="4"/>
        <v>437.63918288901294</v>
      </c>
      <c r="U10" s="536">
        <f t="shared" si="5"/>
        <v>262.58350973340777</v>
      </c>
      <c r="V10" s="536">
        <f t="shared" si="6"/>
        <v>175.05567315560518</v>
      </c>
    </row>
    <row r="11" spans="1:22" ht="19.2" customHeight="1" x14ac:dyDescent="0.3">
      <c r="A11" s="964"/>
      <c r="B11" s="530">
        <v>9</v>
      </c>
      <c r="C11" s="556"/>
      <c r="D11" s="557"/>
      <c r="E11" s="558"/>
      <c r="F11" s="2"/>
      <c r="G11" s="2"/>
      <c r="H11" s="2"/>
      <c r="I11" s="544">
        <v>286.5</v>
      </c>
      <c r="J11" s="531">
        <f t="shared" si="0"/>
        <v>358.125</v>
      </c>
      <c r="K11" s="62">
        <f t="shared" si="1"/>
        <v>214.875</v>
      </c>
      <c r="L11" s="545">
        <f t="shared" si="2"/>
        <v>143.25</v>
      </c>
      <c r="M11" s="534"/>
      <c r="N11" s="962"/>
      <c r="O11" s="35">
        <v>9</v>
      </c>
      <c r="P11" s="191">
        <v>44906.607163572553</v>
      </c>
      <c r="Q11" s="538">
        <v>111.94888584545326</v>
      </c>
      <c r="R11" s="538">
        <v>217.895288890361</v>
      </c>
      <c r="S11" s="536">
        <f t="shared" si="3"/>
        <v>329.84417473581425</v>
      </c>
      <c r="T11" s="536">
        <f t="shared" si="4"/>
        <v>412.30521841976781</v>
      </c>
      <c r="U11" s="536">
        <f t="shared" si="5"/>
        <v>247.38313105186069</v>
      </c>
      <c r="V11" s="536">
        <f t="shared" si="6"/>
        <v>164.92208736790712</v>
      </c>
    </row>
    <row r="12" spans="1:22" ht="19.2" customHeight="1" x14ac:dyDescent="0.3">
      <c r="A12" s="964"/>
      <c r="B12" s="530">
        <v>10</v>
      </c>
      <c r="C12" s="556"/>
      <c r="D12" s="557"/>
      <c r="E12" s="558"/>
      <c r="F12" s="2"/>
      <c r="G12" s="2"/>
      <c r="H12" s="2"/>
      <c r="I12" s="544">
        <v>286.5</v>
      </c>
      <c r="J12" s="531">
        <f t="shared" si="0"/>
        <v>358.125</v>
      </c>
      <c r="K12" s="62">
        <f t="shared" si="1"/>
        <v>214.875</v>
      </c>
      <c r="L12" s="545">
        <f t="shared" si="2"/>
        <v>143.25</v>
      </c>
      <c r="M12" s="534"/>
      <c r="N12" s="962"/>
      <c r="O12" s="35">
        <v>10</v>
      </c>
      <c r="P12" s="191">
        <v>24025.703324145445</v>
      </c>
      <c r="Q12" s="538">
        <v>129.08381432015861</v>
      </c>
      <c r="R12" s="538">
        <v>231.92373420740969</v>
      </c>
      <c r="S12" s="536">
        <f t="shared" si="3"/>
        <v>361.0075485275683</v>
      </c>
      <c r="T12" s="536">
        <f t="shared" si="4"/>
        <v>451.25943565946039</v>
      </c>
      <c r="U12" s="536">
        <f t="shared" si="5"/>
        <v>270.75566139567621</v>
      </c>
      <c r="V12" s="536">
        <f t="shared" si="6"/>
        <v>180.50377426378418</v>
      </c>
    </row>
    <row r="13" spans="1:22" ht="19.2" customHeight="1" x14ac:dyDescent="0.3">
      <c r="A13" s="964"/>
      <c r="B13" s="530">
        <v>11</v>
      </c>
      <c r="C13" s="556"/>
      <c r="D13" s="557"/>
      <c r="E13" s="558"/>
      <c r="F13" s="2"/>
      <c r="G13" s="2"/>
      <c r="H13" s="2"/>
      <c r="I13" s="544">
        <v>286.5</v>
      </c>
      <c r="J13" s="531">
        <f t="shared" si="0"/>
        <v>358.125</v>
      </c>
      <c r="K13" s="62">
        <f t="shared" si="1"/>
        <v>214.875</v>
      </c>
      <c r="L13" s="545">
        <f t="shared" si="2"/>
        <v>143.25</v>
      </c>
      <c r="M13" s="534"/>
      <c r="N13" s="962"/>
      <c r="O13" s="35">
        <v>11</v>
      </c>
      <c r="P13" s="191">
        <v>8514.5666141905203</v>
      </c>
      <c r="Q13" s="538">
        <v>141.13316598515738</v>
      </c>
      <c r="R13" s="538">
        <v>172.39687990856154</v>
      </c>
      <c r="S13" s="536">
        <f t="shared" si="3"/>
        <v>313.53004589371892</v>
      </c>
      <c r="T13" s="536">
        <f t="shared" si="4"/>
        <v>391.91255736714868</v>
      </c>
      <c r="U13" s="536">
        <f t="shared" si="5"/>
        <v>235.14753442028919</v>
      </c>
      <c r="V13" s="536">
        <f t="shared" si="6"/>
        <v>156.76502294685949</v>
      </c>
    </row>
    <row r="14" spans="1:22" ht="19.2" customHeight="1" x14ac:dyDescent="0.3">
      <c r="A14" s="964"/>
      <c r="B14" s="530">
        <v>12</v>
      </c>
      <c r="C14" s="556"/>
      <c r="D14" s="557"/>
      <c r="E14" s="558"/>
      <c r="F14" s="2"/>
      <c r="G14" s="2"/>
      <c r="H14" s="2"/>
      <c r="I14" s="544">
        <v>286.5</v>
      </c>
      <c r="J14" s="531">
        <f t="shared" si="0"/>
        <v>358.125</v>
      </c>
      <c r="K14" s="62">
        <f t="shared" si="1"/>
        <v>214.875</v>
      </c>
      <c r="L14" s="545">
        <f t="shared" si="2"/>
        <v>143.25</v>
      </c>
      <c r="M14" s="534"/>
      <c r="N14" s="962"/>
      <c r="O14" s="35">
        <v>12</v>
      </c>
      <c r="P14" s="191">
        <v>37639.220350511998</v>
      </c>
      <c r="Q14" s="538">
        <v>145.52445498182462</v>
      </c>
      <c r="R14" s="538">
        <v>191.73773864813649</v>
      </c>
      <c r="S14" s="536">
        <f t="shared" si="3"/>
        <v>337.26219362996108</v>
      </c>
      <c r="T14" s="536">
        <f t="shared" si="4"/>
        <v>421.57774203745134</v>
      </c>
      <c r="U14" s="536">
        <f t="shared" si="5"/>
        <v>252.94664522247081</v>
      </c>
      <c r="V14" s="536">
        <f t="shared" si="6"/>
        <v>168.63109681498054</v>
      </c>
    </row>
    <row r="15" spans="1:22" ht="19.2" customHeight="1" x14ac:dyDescent="0.3">
      <c r="A15" s="964"/>
      <c r="B15" s="530">
        <v>13</v>
      </c>
      <c r="C15" s="556"/>
      <c r="D15" s="557"/>
      <c r="E15" s="558"/>
      <c r="F15" s="2"/>
      <c r="G15" s="2"/>
      <c r="H15" s="2"/>
      <c r="I15" s="544">
        <v>286.5</v>
      </c>
      <c r="J15" s="531">
        <f t="shared" si="0"/>
        <v>358.125</v>
      </c>
      <c r="K15" s="62">
        <f t="shared" si="1"/>
        <v>214.875</v>
      </c>
      <c r="L15" s="545">
        <f t="shared" si="2"/>
        <v>143.25</v>
      </c>
      <c r="M15" s="534"/>
      <c r="N15" s="962"/>
      <c r="O15" s="35">
        <v>13</v>
      </c>
      <c r="P15" s="191">
        <v>12120.121471824446</v>
      </c>
      <c r="Q15" s="538">
        <v>147.93231721130871</v>
      </c>
      <c r="R15" s="538">
        <v>194.1850066127044</v>
      </c>
      <c r="S15" s="536">
        <f t="shared" si="3"/>
        <v>342.11732382401311</v>
      </c>
      <c r="T15" s="536">
        <f t="shared" si="4"/>
        <v>427.64665478001638</v>
      </c>
      <c r="U15" s="536">
        <f t="shared" si="5"/>
        <v>256.58799286800985</v>
      </c>
      <c r="V15" s="536">
        <f t="shared" si="6"/>
        <v>171.05866191200653</v>
      </c>
    </row>
    <row r="16" spans="1:22" ht="19.2" customHeight="1" x14ac:dyDescent="0.3">
      <c r="A16" s="964"/>
      <c r="B16" s="530">
        <v>14</v>
      </c>
      <c r="C16" s="556"/>
      <c r="D16" s="557"/>
      <c r="E16" s="558"/>
      <c r="F16" s="2"/>
      <c r="G16" s="2"/>
      <c r="H16" s="2"/>
      <c r="I16" s="544">
        <v>286.5</v>
      </c>
      <c r="J16" s="531">
        <f t="shared" si="0"/>
        <v>358.125</v>
      </c>
      <c r="K16" s="62">
        <f t="shared" si="1"/>
        <v>214.875</v>
      </c>
      <c r="L16" s="545">
        <f t="shared" si="2"/>
        <v>143.25</v>
      </c>
      <c r="M16" s="534"/>
      <c r="N16" s="962"/>
      <c r="O16" s="35">
        <v>14</v>
      </c>
      <c r="P16" s="191">
        <v>6251.7396423401924</v>
      </c>
      <c r="Q16" s="538">
        <v>119.76581800490224</v>
      </c>
      <c r="R16" s="538">
        <v>215.32540861567716</v>
      </c>
      <c r="S16" s="536">
        <f t="shared" si="3"/>
        <v>335.09122662057939</v>
      </c>
      <c r="T16" s="536">
        <f t="shared" si="4"/>
        <v>418.86403327572424</v>
      </c>
      <c r="U16" s="536">
        <f t="shared" si="5"/>
        <v>251.31841996543454</v>
      </c>
      <c r="V16" s="536">
        <f t="shared" si="6"/>
        <v>167.5456133102897</v>
      </c>
    </row>
    <row r="17" spans="1:22" ht="19.2" customHeight="1" x14ac:dyDescent="0.3">
      <c r="A17" s="964"/>
      <c r="B17" s="530">
        <v>15</v>
      </c>
      <c r="C17" s="556"/>
      <c r="D17" s="557"/>
      <c r="E17" s="558"/>
      <c r="F17" s="2"/>
      <c r="G17" s="2"/>
      <c r="H17" s="2"/>
      <c r="I17" s="544">
        <v>286.5</v>
      </c>
      <c r="J17" s="531">
        <f t="shared" si="0"/>
        <v>358.125</v>
      </c>
      <c r="K17" s="62">
        <f t="shared" si="1"/>
        <v>214.875</v>
      </c>
      <c r="L17" s="545">
        <f t="shared" si="2"/>
        <v>143.25</v>
      </c>
      <c r="M17" s="534"/>
      <c r="N17" s="962"/>
      <c r="O17" s="35">
        <v>15</v>
      </c>
      <c r="P17" s="191">
        <v>12622.504869331902</v>
      </c>
      <c r="Q17" s="538">
        <v>139.19634494603389</v>
      </c>
      <c r="R17" s="538">
        <v>260.79219260027367</v>
      </c>
      <c r="S17" s="536">
        <f t="shared" si="3"/>
        <v>399.98853754630755</v>
      </c>
      <c r="T17" s="536">
        <f t="shared" si="4"/>
        <v>499.98567193288443</v>
      </c>
      <c r="U17" s="536">
        <f t="shared" si="5"/>
        <v>299.99140315973068</v>
      </c>
      <c r="V17" s="536">
        <f t="shared" si="6"/>
        <v>199.99426877315375</v>
      </c>
    </row>
    <row r="18" spans="1:22" ht="19.2" customHeight="1" x14ac:dyDescent="0.3">
      <c r="A18" s="965"/>
      <c r="B18" s="532">
        <v>16</v>
      </c>
      <c r="C18" s="559"/>
      <c r="D18" s="560"/>
      <c r="E18" s="561"/>
      <c r="F18" s="562"/>
      <c r="G18" s="562"/>
      <c r="H18" s="562"/>
      <c r="I18" s="546">
        <v>286.5</v>
      </c>
      <c r="J18" s="547">
        <f t="shared" si="0"/>
        <v>358.125</v>
      </c>
      <c r="K18" s="548">
        <f t="shared" si="1"/>
        <v>214.875</v>
      </c>
      <c r="L18" s="549">
        <f t="shared" si="2"/>
        <v>143.25</v>
      </c>
      <c r="M18" s="534"/>
      <c r="N18" s="963"/>
      <c r="O18" s="35">
        <v>16</v>
      </c>
      <c r="P18" s="191">
        <v>23693.285258809548</v>
      </c>
      <c r="Q18" s="538">
        <v>127.46411521096162</v>
      </c>
      <c r="R18" s="538">
        <v>198.83728167839649</v>
      </c>
      <c r="S18" s="536">
        <f t="shared" si="3"/>
        <v>326.3013968893581</v>
      </c>
      <c r="T18" s="536">
        <f t="shared" si="4"/>
        <v>407.87674611169763</v>
      </c>
      <c r="U18" s="536">
        <f t="shared" si="5"/>
        <v>244.72604766701858</v>
      </c>
      <c r="V18" s="536">
        <f t="shared" si="6"/>
        <v>163.15069844467905</v>
      </c>
    </row>
    <row r="19" spans="1:22" x14ac:dyDescent="0.25">
      <c r="I19" s="5" t="s">
        <v>533</v>
      </c>
      <c r="P19" s="67"/>
    </row>
    <row r="20" spans="1:22" x14ac:dyDescent="0.25">
      <c r="N20" s="5" t="s">
        <v>534</v>
      </c>
    </row>
    <row r="21" spans="1:22" ht="14.4" x14ac:dyDescent="0.3">
      <c r="N21" s="5" t="s">
        <v>535</v>
      </c>
      <c r="Q21" s="537"/>
      <c r="R21" s="1"/>
    </row>
    <row r="22" spans="1:22" ht="14.4" x14ac:dyDescent="0.3">
      <c r="N22" s="5" t="s">
        <v>536</v>
      </c>
      <c r="Q22" s="537"/>
      <c r="R22" s="1"/>
    </row>
    <row r="23" spans="1:22" ht="14.4" x14ac:dyDescent="0.3">
      <c r="Q23" s="537"/>
      <c r="R23" s="1"/>
    </row>
    <row r="24" spans="1:22" ht="14.4" x14ac:dyDescent="0.3">
      <c r="B24"/>
      <c r="Q24" s="537"/>
      <c r="R24" s="1"/>
    </row>
    <row r="25" spans="1:22" ht="14.4" x14ac:dyDescent="0.3">
      <c r="Q25" s="537"/>
      <c r="R25" s="1"/>
    </row>
    <row r="26" spans="1:22" ht="14.4" x14ac:dyDescent="0.3">
      <c r="Q26" s="537"/>
      <c r="R26" s="1"/>
    </row>
    <row r="27" spans="1:22" ht="14.4" x14ac:dyDescent="0.3">
      <c r="Q27" s="537"/>
      <c r="R27" s="1"/>
    </row>
    <row r="28" spans="1:22" ht="14.4" x14ac:dyDescent="0.3">
      <c r="Q28" s="537"/>
      <c r="R28" s="1"/>
    </row>
    <row r="29" spans="1:22" ht="14.4" x14ac:dyDescent="0.3">
      <c r="Q29" s="537"/>
      <c r="R29" s="1"/>
    </row>
    <row r="30" spans="1:22" ht="14.4" x14ac:dyDescent="0.3">
      <c r="Q30" s="537"/>
      <c r="R30" s="1"/>
    </row>
    <row r="31" spans="1:22" ht="14.4" x14ac:dyDescent="0.3">
      <c r="Q31" s="537"/>
      <c r="R31" s="1"/>
    </row>
    <row r="32" spans="1:22" ht="14.4" x14ac:dyDescent="0.3">
      <c r="Q32" s="537"/>
      <c r="R32" s="1"/>
    </row>
    <row r="33" spans="17:18" ht="14.4" x14ac:dyDescent="0.3">
      <c r="Q33" s="537"/>
      <c r="R33" s="1"/>
    </row>
    <row r="34" spans="17:18" ht="14.4" x14ac:dyDescent="0.3">
      <c r="Q34" s="537"/>
      <c r="R34" s="1"/>
    </row>
    <row r="35" spans="17:18" ht="14.4" x14ac:dyDescent="0.3">
      <c r="Q35" s="537"/>
      <c r="R35" s="1"/>
    </row>
    <row r="36" spans="17:18" ht="14.4" x14ac:dyDescent="0.3">
      <c r="Q36" s="537"/>
      <c r="R36" s="1"/>
    </row>
    <row r="54" spans="1:24" s="23" customFormat="1" hidden="1" x14ac:dyDescent="0.25">
      <c r="A54" s="23" t="s">
        <v>81</v>
      </c>
      <c r="R54" s="24"/>
      <c r="S54" s="24"/>
      <c r="T54" s="24"/>
      <c r="U54" s="24"/>
      <c r="V54" s="24"/>
      <c r="W54" s="25"/>
      <c r="X54" s="26"/>
    </row>
    <row r="55" spans="1:24" s="6" customFormat="1" hidden="1" x14ac:dyDescent="0.25">
      <c r="R55" s="186"/>
      <c r="S55" s="186"/>
      <c r="T55" s="186"/>
      <c r="U55" s="186"/>
      <c r="V55" s="186"/>
      <c r="W55" s="187"/>
      <c r="X55" s="188"/>
    </row>
    <row r="56" spans="1:24" s="6" customFormat="1" ht="14.4" hidden="1" x14ac:dyDescent="0.3">
      <c r="N56" s="6" t="s">
        <v>537</v>
      </c>
      <c r="O56" s="122" t="s">
        <v>44</v>
      </c>
      <c r="P56" s="5"/>
      <c r="Q56" s="5"/>
      <c r="R56" s="186"/>
      <c r="S56" s="186"/>
      <c r="T56" s="186"/>
      <c r="U56" s="186"/>
      <c r="V56" s="186"/>
      <c r="W56" s="187"/>
      <c r="X56" s="188"/>
    </row>
    <row r="57" spans="1:24" hidden="1" x14ac:dyDescent="0.25">
      <c r="B57" s="5" t="s">
        <v>538</v>
      </c>
    </row>
    <row r="58" spans="1:24" hidden="1" x14ac:dyDescent="0.25">
      <c r="B58" s="5" t="s">
        <v>539</v>
      </c>
    </row>
    <row r="59" spans="1:24" hidden="1" x14ac:dyDescent="0.25"/>
    <row r="60" spans="1:24" hidden="1" x14ac:dyDescent="0.25">
      <c r="C60" s="6" t="s">
        <v>540</v>
      </c>
    </row>
    <row r="61" spans="1:24" ht="14.4" hidden="1" x14ac:dyDescent="0.3">
      <c r="C61" s="122" t="s">
        <v>541</v>
      </c>
    </row>
    <row r="62" spans="1:24" hidden="1" x14ac:dyDescent="0.25"/>
    <row r="63" spans="1:24" hidden="1" x14ac:dyDescent="0.25"/>
    <row r="64" spans="1:24"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sheetData>
  <mergeCells count="5">
    <mergeCell ref="N3:N18"/>
    <mergeCell ref="A3:A18"/>
    <mergeCell ref="N1:V1"/>
    <mergeCell ref="A1:H1"/>
    <mergeCell ref="I1:L1"/>
  </mergeCells>
  <hyperlinks>
    <hyperlink ref="O56" r:id="rId1" display="https://www.eia.gov/consumption/commercial/pba/food-service.php" xr:uid="{9069EF0D-67DD-43E6-B31B-C965F6A51904}"/>
    <hyperlink ref="C61" r:id="rId2" display="https://portfoliomanager.energystar.gov/pm/targetFinder?execution=e1s1" xr:uid="{AE44D662-19D0-43D5-BB7F-86D354ADD147}"/>
  </hyperlinks>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54"/>
  <sheetViews>
    <sheetView zoomScaleNormal="100" workbookViewId="0">
      <selection activeCell="C4" sqref="C4:F20"/>
    </sheetView>
  </sheetViews>
  <sheetFormatPr defaultColWidth="8.6640625" defaultRowHeight="13.2" x14ac:dyDescent="0.25"/>
  <cols>
    <col min="1" max="1" width="13.33203125" style="5" customWidth="1"/>
    <col min="2" max="2" width="12" style="5" customWidth="1"/>
    <col min="3" max="6" width="13.6640625" style="5" customWidth="1"/>
    <col min="7" max="7" width="13.33203125" style="5" customWidth="1"/>
    <col min="8" max="8" width="12.6640625" style="5" bestFit="1" customWidth="1"/>
    <col min="9" max="9" width="8.6640625" style="5"/>
    <col min="10" max="10" width="19" style="5" customWidth="1"/>
    <col min="11" max="11" width="14.109375" style="5" customWidth="1"/>
    <col min="12" max="12" width="10.33203125" style="5" customWidth="1"/>
    <col min="13" max="27" width="5.6640625" style="5" customWidth="1"/>
    <col min="28" max="16384" width="8.6640625" style="5"/>
  </cols>
  <sheetData>
    <row r="1" spans="1:28" ht="28.95" customHeight="1" x14ac:dyDescent="0.25">
      <c r="A1" s="772" t="str">
        <f>"% of Floor Area per CZ and Vintage Bin - Restaurant"</f>
        <v>% of Floor Area per CZ and Vintage Bin - Restaurant</v>
      </c>
      <c r="B1" s="772"/>
      <c r="C1" s="772"/>
      <c r="D1" s="772"/>
      <c r="E1" s="772"/>
      <c r="F1" s="772"/>
      <c r="G1" s="772"/>
      <c r="J1" s="772" t="str">
        <f>"% of Floor Area per CZ and Vintage Bin - Restaurant"</f>
        <v>% of Floor Area per CZ and Vintage Bin - Restaurant</v>
      </c>
      <c r="K1" s="772"/>
      <c r="L1" s="772"/>
      <c r="M1" s="772"/>
      <c r="N1" s="772"/>
      <c r="O1" s="772"/>
      <c r="P1" s="772"/>
      <c r="Q1" s="772"/>
      <c r="R1" s="772"/>
      <c r="S1" s="772"/>
      <c r="T1" s="772"/>
      <c r="U1" s="772"/>
      <c r="V1" s="772"/>
      <c r="W1" s="772"/>
      <c r="X1" s="772"/>
      <c r="Y1" s="772"/>
      <c r="Z1" s="772"/>
      <c r="AA1" s="772"/>
    </row>
    <row r="2" spans="1:28" ht="21" customHeight="1" x14ac:dyDescent="0.25">
      <c r="A2" s="970" t="s">
        <v>7</v>
      </c>
      <c r="B2" s="970" t="s">
        <v>516</v>
      </c>
      <c r="C2" s="970" t="s">
        <v>601</v>
      </c>
      <c r="D2" s="970"/>
      <c r="E2" s="970"/>
      <c r="F2" s="970"/>
      <c r="G2" s="970"/>
      <c r="J2" s="970" t="s">
        <v>7</v>
      </c>
      <c r="K2" s="970" t="s">
        <v>601</v>
      </c>
      <c r="L2" s="970" t="s">
        <v>516</v>
      </c>
      <c r="M2" s="970"/>
      <c r="N2" s="970"/>
      <c r="O2" s="970"/>
      <c r="P2" s="970"/>
      <c r="Q2" s="970"/>
      <c r="R2" s="970"/>
      <c r="S2" s="970"/>
      <c r="T2" s="970"/>
      <c r="U2" s="970"/>
      <c r="V2" s="970"/>
      <c r="W2" s="970"/>
      <c r="X2" s="970"/>
      <c r="Y2" s="970"/>
      <c r="Z2" s="970"/>
      <c r="AA2" s="970"/>
    </row>
    <row r="3" spans="1:28" ht="21" customHeight="1" x14ac:dyDescent="0.25">
      <c r="A3" s="970"/>
      <c r="B3" s="970"/>
      <c r="C3" s="716" t="s">
        <v>602</v>
      </c>
      <c r="D3" s="716" t="s">
        <v>214</v>
      </c>
      <c r="E3" s="716" t="s">
        <v>217</v>
      </c>
      <c r="F3" s="716" t="s">
        <v>219</v>
      </c>
      <c r="G3" s="716"/>
      <c r="J3" s="970"/>
      <c r="K3" s="970"/>
      <c r="L3" s="716">
        <v>1</v>
      </c>
      <c r="M3" s="716">
        <v>2</v>
      </c>
      <c r="N3" s="716">
        <v>3</v>
      </c>
      <c r="O3" s="716">
        <v>4</v>
      </c>
      <c r="P3" s="716">
        <v>5</v>
      </c>
      <c r="Q3" s="716">
        <v>6</v>
      </c>
      <c r="R3" s="716">
        <v>7</v>
      </c>
      <c r="S3" s="716">
        <v>8</v>
      </c>
      <c r="T3" s="716">
        <v>9</v>
      </c>
      <c r="U3" s="716">
        <v>10</v>
      </c>
      <c r="V3" s="716">
        <v>11</v>
      </c>
      <c r="W3" s="716">
        <v>12</v>
      </c>
      <c r="X3" s="716">
        <v>13</v>
      </c>
      <c r="Y3" s="716">
        <v>14</v>
      </c>
      <c r="Z3" s="716">
        <v>15</v>
      </c>
      <c r="AA3" s="716">
        <v>16</v>
      </c>
    </row>
    <row r="4" spans="1:28" ht="16.95" customHeight="1" x14ac:dyDescent="0.25">
      <c r="A4" s="769" t="s">
        <v>77</v>
      </c>
      <c r="B4" s="153">
        <v>1</v>
      </c>
      <c r="C4" s="189">
        <v>0.37753360000000002</v>
      </c>
      <c r="D4" s="189">
        <v>0.35271279999999999</v>
      </c>
      <c r="E4" s="189">
        <v>0.15225559999999999</v>
      </c>
      <c r="F4" s="189">
        <v>0.11749800000000001</v>
      </c>
      <c r="G4" s="190"/>
      <c r="H4" s="60">
        <f>SUM(C4:F4)</f>
        <v>0.99999999999999989</v>
      </c>
      <c r="J4" s="969" t="s">
        <v>77</v>
      </c>
      <c r="K4" s="715" t="s">
        <v>602</v>
      </c>
      <c r="L4" s="715">
        <v>8.9029999999999995E-3</v>
      </c>
      <c r="M4" s="715">
        <v>2.3602000000000001E-2</v>
      </c>
      <c r="N4" s="715">
        <v>0.103035</v>
      </c>
      <c r="O4" s="715">
        <v>5.425E-2</v>
      </c>
      <c r="P4" s="715">
        <v>8.6070000000000001E-3</v>
      </c>
      <c r="Q4" s="715">
        <v>8.5982000000000003E-2</v>
      </c>
      <c r="R4" s="715">
        <v>4.0126000000000002E-2</v>
      </c>
      <c r="S4" s="715">
        <v>0.14440900000000001</v>
      </c>
      <c r="T4" s="715">
        <v>0.21362500000000001</v>
      </c>
      <c r="U4" s="715">
        <v>5.0506000000000002E-2</v>
      </c>
      <c r="V4" s="715">
        <v>2.8199999999999999E-2</v>
      </c>
      <c r="W4" s="715">
        <v>0.11300300000000001</v>
      </c>
      <c r="X4" s="715">
        <v>3.3251999999999997E-2</v>
      </c>
      <c r="Y4" s="715">
        <v>1.9747000000000001E-2</v>
      </c>
      <c r="Z4" s="715">
        <v>2.0094000000000001E-2</v>
      </c>
      <c r="AA4" s="715">
        <v>5.2659999999999998E-2</v>
      </c>
      <c r="AB4" s="60">
        <f t="shared" ref="AB4:AB9" si="0">SUM(L4:AA4)</f>
        <v>1.0000009999999999</v>
      </c>
    </row>
    <row r="5" spans="1:28" ht="16.95" customHeight="1" x14ac:dyDescent="0.25">
      <c r="A5" s="769"/>
      <c r="B5" s="153">
        <v>2</v>
      </c>
      <c r="C5" s="189">
        <v>0.53636680000000003</v>
      </c>
      <c r="D5" s="189">
        <v>0.31957249999999998</v>
      </c>
      <c r="E5" s="189">
        <v>8.5685899999999995E-2</v>
      </c>
      <c r="F5" s="189">
        <v>5.83749E-2</v>
      </c>
      <c r="G5" s="190"/>
      <c r="H5" s="60">
        <f t="shared" ref="H5:H20" si="1">SUM(C5:F5)</f>
        <v>1.0000000999999998</v>
      </c>
      <c r="J5" s="969"/>
      <c r="K5" s="715" t="s">
        <v>214</v>
      </c>
      <c r="L5" s="715">
        <v>9.0709999999999992E-3</v>
      </c>
      <c r="M5" s="715">
        <v>1.5337E-2</v>
      </c>
      <c r="N5" s="715">
        <v>6.8728999999999998E-2</v>
      </c>
      <c r="O5" s="715">
        <v>3.5491000000000002E-2</v>
      </c>
      <c r="P5" s="715">
        <v>6.8300000000000001E-3</v>
      </c>
      <c r="Q5" s="715">
        <v>7.0438000000000001E-2</v>
      </c>
      <c r="R5" s="715">
        <v>4.9234E-2</v>
      </c>
      <c r="S5" s="715">
        <v>8.6548E-2</v>
      </c>
      <c r="T5" s="715">
        <v>0.155668</v>
      </c>
      <c r="U5" s="715">
        <v>0.115924</v>
      </c>
      <c r="V5" s="715">
        <v>2.6335000000000001E-2</v>
      </c>
      <c r="W5" s="715">
        <v>0.12640399999999999</v>
      </c>
      <c r="X5" s="715">
        <v>4.2784999999999997E-2</v>
      </c>
      <c r="Y5" s="715">
        <v>2.4534E-2</v>
      </c>
      <c r="Z5" s="715">
        <v>6.6007999999999997E-2</v>
      </c>
      <c r="AA5" s="715">
        <v>0.100664</v>
      </c>
      <c r="AB5" s="60">
        <f t="shared" si="0"/>
        <v>0.99999999999999978</v>
      </c>
    </row>
    <row r="6" spans="1:28" ht="16.95" customHeight="1" x14ac:dyDescent="0.25">
      <c r="A6" s="769"/>
      <c r="B6" s="153">
        <v>3</v>
      </c>
      <c r="C6" s="189">
        <v>0.50609800000000005</v>
      </c>
      <c r="D6" s="189">
        <v>0.30953900000000001</v>
      </c>
      <c r="E6" s="189">
        <v>0.12964619999999999</v>
      </c>
      <c r="F6" s="189">
        <v>5.4716899999999999E-2</v>
      </c>
      <c r="G6" s="190"/>
      <c r="H6" s="60">
        <f t="shared" si="1"/>
        <v>1.0000001000000001</v>
      </c>
      <c r="J6" s="969"/>
      <c r="K6" s="715" t="s">
        <v>217</v>
      </c>
      <c r="L6" s="715">
        <v>1.0980999999999999E-2</v>
      </c>
      <c r="M6" s="715">
        <v>1.1531E-2</v>
      </c>
      <c r="N6" s="715">
        <v>8.0721000000000001E-2</v>
      </c>
      <c r="O6" s="715">
        <v>3.9545999999999998E-2</v>
      </c>
      <c r="P6" s="715">
        <v>1.1198E-2</v>
      </c>
      <c r="Q6" s="715">
        <v>3.9255999999999999E-2</v>
      </c>
      <c r="R6" s="715">
        <v>3.0136E-2</v>
      </c>
      <c r="S6" s="715">
        <v>6.6118999999999997E-2</v>
      </c>
      <c r="T6" s="715">
        <v>8.2392999999999994E-2</v>
      </c>
      <c r="U6" s="715">
        <v>0.110919</v>
      </c>
      <c r="V6" s="715">
        <v>4.5296000000000003E-2</v>
      </c>
      <c r="W6" s="715">
        <v>0.202293</v>
      </c>
      <c r="X6" s="715">
        <v>5.7915000000000001E-2</v>
      </c>
      <c r="Y6" s="715">
        <v>2.6738999999999999E-2</v>
      </c>
      <c r="Z6" s="715">
        <v>5.7223999999999997E-2</v>
      </c>
      <c r="AA6" s="715">
        <v>0.12773200000000001</v>
      </c>
      <c r="AB6" s="60">
        <f t="shared" si="0"/>
        <v>0.99999899999999986</v>
      </c>
    </row>
    <row r="7" spans="1:28" ht="16.95" customHeight="1" x14ac:dyDescent="0.25">
      <c r="A7" s="769"/>
      <c r="B7" s="153">
        <v>4</v>
      </c>
      <c r="C7" s="189">
        <v>0.51500570000000001</v>
      </c>
      <c r="D7" s="189">
        <v>0.30893310000000002</v>
      </c>
      <c r="E7" s="189">
        <v>0.12275519999999999</v>
      </c>
      <c r="F7" s="189">
        <v>5.3305999999999999E-2</v>
      </c>
      <c r="G7" s="190"/>
      <c r="H7" s="60">
        <f t="shared" si="1"/>
        <v>1</v>
      </c>
      <c r="J7" s="969"/>
      <c r="K7" s="715" t="s">
        <v>219</v>
      </c>
      <c r="L7" s="715">
        <v>1.5402000000000001E-2</v>
      </c>
      <c r="M7" s="715">
        <v>1.4278000000000001E-2</v>
      </c>
      <c r="N7" s="715">
        <v>6.1920000000000003E-2</v>
      </c>
      <c r="O7" s="715">
        <v>3.1212E-2</v>
      </c>
      <c r="P7" s="715">
        <v>6.5680000000000001E-3</v>
      </c>
      <c r="Q7" s="715">
        <v>3.866E-2</v>
      </c>
      <c r="R7" s="715">
        <v>3.4412999999999999E-2</v>
      </c>
      <c r="S7" s="715">
        <v>6.9058999999999995E-2</v>
      </c>
      <c r="T7" s="715">
        <v>7.3751999999999998E-2</v>
      </c>
      <c r="U7" s="715">
        <v>0.104492</v>
      </c>
      <c r="V7" s="715">
        <v>4.4385000000000001E-2</v>
      </c>
      <c r="W7" s="715">
        <v>0.206736</v>
      </c>
      <c r="X7" s="715">
        <v>8.5815000000000002E-2</v>
      </c>
      <c r="Y7" s="715">
        <v>2.3557999999999999E-2</v>
      </c>
      <c r="Z7" s="715">
        <v>6.4837000000000006E-2</v>
      </c>
      <c r="AA7" s="715">
        <v>0.124913</v>
      </c>
      <c r="AB7" s="60">
        <f t="shared" si="0"/>
        <v>1</v>
      </c>
    </row>
    <row r="8" spans="1:28" ht="16.95" customHeight="1" x14ac:dyDescent="0.25">
      <c r="A8" s="769"/>
      <c r="B8" s="153">
        <v>5</v>
      </c>
      <c r="C8" s="189">
        <v>0.4366293</v>
      </c>
      <c r="D8" s="189">
        <v>0.31768249999999998</v>
      </c>
      <c r="E8" s="189">
        <v>0.18575120000000001</v>
      </c>
      <c r="F8" s="189">
        <v>5.99371E-2</v>
      </c>
      <c r="G8" s="190"/>
      <c r="H8" s="60">
        <f t="shared" si="1"/>
        <v>1.0000001000000001</v>
      </c>
      <c r="J8" s="969"/>
      <c r="K8" s="715"/>
      <c r="L8" s="715"/>
      <c r="M8" s="715"/>
      <c r="N8" s="715"/>
      <c r="O8" s="715"/>
      <c r="P8" s="715"/>
      <c r="Q8" s="715"/>
      <c r="R8" s="715"/>
      <c r="S8" s="715"/>
      <c r="T8" s="715"/>
      <c r="U8" s="715"/>
      <c r="V8" s="715"/>
      <c r="W8" s="715"/>
      <c r="X8" s="715"/>
      <c r="Y8" s="715"/>
      <c r="Z8" s="715"/>
      <c r="AA8" s="715"/>
      <c r="AB8" s="60"/>
    </row>
    <row r="9" spans="1:28" ht="16.95" customHeight="1" x14ac:dyDescent="0.25">
      <c r="A9" s="769"/>
      <c r="B9" s="153">
        <v>6</v>
      </c>
      <c r="C9" s="189">
        <v>0.50471220000000006</v>
      </c>
      <c r="D9" s="189">
        <v>0.3791136</v>
      </c>
      <c r="E9" s="189">
        <v>7.5347999999999998E-2</v>
      </c>
      <c r="F9" s="189">
        <v>4.0826300000000003E-2</v>
      </c>
      <c r="G9" s="190"/>
      <c r="H9" s="60">
        <f t="shared" si="1"/>
        <v>1.0000001000000001</v>
      </c>
      <c r="J9" s="969"/>
      <c r="K9" s="715" t="s">
        <v>90</v>
      </c>
      <c r="L9" s="715">
        <v>9.7289999999999998E-3</v>
      </c>
      <c r="M9" s="715">
        <v>1.8155000000000001E-2</v>
      </c>
      <c r="N9" s="715">
        <v>8.3995E-2</v>
      </c>
      <c r="O9" s="715">
        <v>4.3459999999999999E-2</v>
      </c>
      <c r="P9" s="715">
        <v>8.1329999999999996E-3</v>
      </c>
      <c r="Q9" s="715">
        <v>7.0286000000000001E-2</v>
      </c>
      <c r="R9" s="715">
        <v>4.1799999999999997E-2</v>
      </c>
      <c r="S9" s="715">
        <v>0.106366</v>
      </c>
      <c r="T9" s="715">
        <v>0.16361400000000001</v>
      </c>
      <c r="U9" s="715">
        <v>8.7410000000000002E-2</v>
      </c>
      <c r="V9" s="715">
        <v>3.1001999999999998E-2</v>
      </c>
      <c r="W9" s="715">
        <v>0.137076</v>
      </c>
      <c r="X9" s="715">
        <v>4.4087000000000001E-2</v>
      </c>
      <c r="Y9" s="715">
        <v>2.2783999999999999E-2</v>
      </c>
      <c r="Z9" s="715">
        <v>4.5793E-2</v>
      </c>
      <c r="AA9" s="715">
        <v>8.6309999999999998E-2</v>
      </c>
      <c r="AB9" s="60">
        <f t="shared" si="0"/>
        <v>1</v>
      </c>
    </row>
    <row r="10" spans="1:28" ht="16.95" customHeight="1" x14ac:dyDescent="0.25">
      <c r="A10" s="769"/>
      <c r="B10" s="153">
        <v>7</v>
      </c>
      <c r="C10" s="189">
        <v>0.39605800000000002</v>
      </c>
      <c r="D10" s="189">
        <v>0.44557380000000002</v>
      </c>
      <c r="E10" s="189">
        <v>9.7261100000000003E-2</v>
      </c>
      <c r="F10" s="189">
        <v>6.1107099999999998E-2</v>
      </c>
      <c r="G10" s="190"/>
      <c r="H10" s="60">
        <f t="shared" si="1"/>
        <v>1</v>
      </c>
      <c r="J10" s="8"/>
      <c r="K10" s="58"/>
      <c r="L10" s="27"/>
      <c r="M10" s="27"/>
      <c r="N10" s="27"/>
      <c r="O10" s="27"/>
      <c r="P10" s="59"/>
    </row>
    <row r="11" spans="1:28" ht="16.95" customHeight="1" x14ac:dyDescent="0.25">
      <c r="A11" s="769"/>
      <c r="B11" s="153">
        <v>8</v>
      </c>
      <c r="C11" s="189">
        <v>0.5601389</v>
      </c>
      <c r="D11" s="189">
        <v>0.30781059999999999</v>
      </c>
      <c r="E11" s="189">
        <v>8.3860000000000004E-2</v>
      </c>
      <c r="F11" s="189">
        <v>4.8190400000000001E-2</v>
      </c>
      <c r="G11" s="190"/>
      <c r="H11" s="60">
        <f t="shared" si="1"/>
        <v>0.99999989999999994</v>
      </c>
      <c r="J11" s="8"/>
      <c r="K11" s="58"/>
      <c r="L11" s="27"/>
      <c r="M11" s="27"/>
      <c r="N11" s="27"/>
      <c r="O11" s="27"/>
      <c r="P11" s="59"/>
    </row>
    <row r="12" spans="1:28" ht="16.95" customHeight="1" x14ac:dyDescent="0.25">
      <c r="A12" s="769"/>
      <c r="B12" s="153">
        <v>9</v>
      </c>
      <c r="C12" s="189">
        <v>0.53868439999999995</v>
      </c>
      <c r="D12" s="189">
        <v>0.35992180000000001</v>
      </c>
      <c r="E12" s="189">
        <v>6.7936099999999999E-2</v>
      </c>
      <c r="F12" s="189">
        <v>3.34577E-2</v>
      </c>
      <c r="G12" s="190"/>
      <c r="H12" s="60">
        <f t="shared" si="1"/>
        <v>1</v>
      </c>
      <c r="J12" s="8"/>
      <c r="K12" s="695"/>
      <c r="L12" s="27"/>
      <c r="M12" s="27"/>
      <c r="N12" s="27"/>
      <c r="O12" s="27"/>
      <c r="P12" s="59"/>
      <c r="Q12" s="696"/>
      <c r="R12" s="696"/>
      <c r="S12" s="696"/>
      <c r="T12" s="696"/>
      <c r="U12" s="696"/>
      <c r="V12" s="696"/>
      <c r="W12" s="696"/>
      <c r="X12" s="696"/>
      <c r="Y12" s="696"/>
      <c r="Z12" s="696"/>
      <c r="AA12" s="696"/>
    </row>
    <row r="13" spans="1:28" ht="16.95" customHeight="1" x14ac:dyDescent="0.25">
      <c r="A13" s="769"/>
      <c r="B13" s="153">
        <v>10</v>
      </c>
      <c r="C13" s="189">
        <v>0.2383874</v>
      </c>
      <c r="D13" s="189">
        <v>0.50169560000000002</v>
      </c>
      <c r="E13" s="189">
        <v>0.17118829999999999</v>
      </c>
      <c r="F13" s="189">
        <v>8.8728699999999994E-2</v>
      </c>
      <c r="G13" s="190"/>
      <c r="H13" s="60">
        <f t="shared" si="1"/>
        <v>1</v>
      </c>
      <c r="J13" s="8"/>
      <c r="K13" s="695"/>
      <c r="L13" s="27"/>
      <c r="M13" s="27"/>
      <c r="N13" s="27"/>
      <c r="O13" s="27"/>
      <c r="P13" s="59"/>
      <c r="Q13" s="696"/>
      <c r="R13" s="696"/>
      <c r="S13" s="696"/>
      <c r="T13" s="696"/>
      <c r="U13" s="696"/>
      <c r="V13" s="696"/>
      <c r="W13" s="696"/>
      <c r="X13" s="696"/>
      <c r="Y13" s="696"/>
      <c r="Z13" s="696"/>
      <c r="AA13" s="696"/>
    </row>
    <row r="14" spans="1:28" ht="16.95" customHeight="1" x14ac:dyDescent="0.25">
      <c r="A14" s="769"/>
      <c r="B14" s="153">
        <v>11</v>
      </c>
      <c r="C14" s="189">
        <v>0.37528800000000001</v>
      </c>
      <c r="D14" s="189">
        <v>0.32134430000000003</v>
      </c>
      <c r="E14" s="189">
        <v>0.1971031</v>
      </c>
      <c r="F14" s="189">
        <v>0.1062646</v>
      </c>
      <c r="G14" s="190"/>
      <c r="H14" s="60">
        <f t="shared" si="1"/>
        <v>1</v>
      </c>
      <c r="J14" s="8"/>
      <c r="K14" s="695"/>
      <c r="L14" s="27"/>
      <c r="M14" s="27"/>
      <c r="N14" s="27"/>
      <c r="O14" s="27"/>
      <c r="P14" s="59"/>
      <c r="Q14" s="696"/>
      <c r="R14" s="696"/>
      <c r="S14" s="696"/>
      <c r="T14" s="696"/>
      <c r="U14" s="696"/>
      <c r="V14" s="696"/>
      <c r="W14" s="696"/>
      <c r="X14" s="696"/>
      <c r="Y14" s="696"/>
      <c r="Z14" s="696"/>
      <c r="AA14" s="696"/>
    </row>
    <row r="15" spans="1:28" ht="16.95" customHeight="1" x14ac:dyDescent="0.25">
      <c r="A15" s="769"/>
      <c r="B15" s="153">
        <v>12</v>
      </c>
      <c r="C15" s="189">
        <v>0.3401209</v>
      </c>
      <c r="D15" s="189">
        <v>0.34884419999999999</v>
      </c>
      <c r="E15" s="189">
        <v>0.19909089999999999</v>
      </c>
      <c r="F15" s="189">
        <v>0.111944</v>
      </c>
      <c r="G15" s="190"/>
      <c r="H15" s="60">
        <f t="shared" si="1"/>
        <v>1</v>
      </c>
      <c r="J15" s="8"/>
      <c r="K15" s="695"/>
      <c r="L15" s="27"/>
      <c r="M15" s="27"/>
      <c r="N15" s="27"/>
      <c r="O15" s="27"/>
      <c r="P15" s="59"/>
      <c r="Q15" s="696"/>
      <c r="R15" s="696"/>
      <c r="S15" s="696"/>
      <c r="T15" s="696"/>
      <c r="U15" s="696"/>
      <c r="V15" s="696"/>
      <c r="W15" s="696"/>
      <c r="X15" s="696"/>
      <c r="Y15" s="696"/>
      <c r="Z15" s="696"/>
      <c r="AA15" s="696"/>
    </row>
    <row r="16" spans="1:28" ht="16.95" customHeight="1" x14ac:dyDescent="0.25">
      <c r="A16" s="769"/>
      <c r="B16" s="153">
        <v>13</v>
      </c>
      <c r="C16" s="189">
        <v>0.31118010000000002</v>
      </c>
      <c r="D16" s="189">
        <v>0.36712339999999999</v>
      </c>
      <c r="E16" s="189">
        <v>0.17721890000000001</v>
      </c>
      <c r="F16" s="189">
        <v>0.14447760000000001</v>
      </c>
      <c r="G16" s="190"/>
      <c r="H16" s="60">
        <f t="shared" si="1"/>
        <v>0.99999999999999989</v>
      </c>
      <c r="J16" s="8"/>
      <c r="K16" s="58"/>
      <c r="L16" s="27"/>
      <c r="M16" s="27"/>
      <c r="N16" s="27"/>
      <c r="O16" s="27"/>
      <c r="P16" s="59"/>
    </row>
    <row r="17" spans="1:16" ht="16.95" customHeight="1" x14ac:dyDescent="0.25">
      <c r="A17" s="769"/>
      <c r="B17" s="153">
        <v>14</v>
      </c>
      <c r="C17" s="189">
        <v>0.35758079999999998</v>
      </c>
      <c r="D17" s="189">
        <v>0.40735060000000001</v>
      </c>
      <c r="E17" s="189">
        <v>0.15832280000000001</v>
      </c>
      <c r="F17" s="189">
        <v>7.6745900000000006E-2</v>
      </c>
      <c r="G17" s="190"/>
      <c r="H17" s="60">
        <f t="shared" si="1"/>
        <v>1.0000001000000001</v>
      </c>
      <c r="J17" s="8"/>
      <c r="K17" s="58"/>
      <c r="L17" s="27"/>
      <c r="M17" s="27"/>
      <c r="N17" s="27"/>
      <c r="O17" s="27"/>
      <c r="P17" s="59"/>
    </row>
    <row r="18" spans="1:16" ht="16.95" customHeight="1" x14ac:dyDescent="0.25">
      <c r="A18" s="769"/>
      <c r="B18" s="153">
        <v>15</v>
      </c>
      <c r="C18" s="189">
        <v>0.1810389</v>
      </c>
      <c r="D18" s="189">
        <v>0.54528860000000001</v>
      </c>
      <c r="E18" s="189">
        <v>0.16858119999999999</v>
      </c>
      <c r="F18" s="189">
        <v>0.1050913</v>
      </c>
      <c r="G18" s="190"/>
      <c r="H18" s="60">
        <f t="shared" si="1"/>
        <v>1</v>
      </c>
      <c r="J18" s="8"/>
      <c r="K18" s="58"/>
      <c r="L18" s="27"/>
      <c r="M18" s="27"/>
      <c r="N18" s="27"/>
      <c r="O18" s="27"/>
      <c r="P18" s="59"/>
    </row>
    <row r="19" spans="1:16" ht="16.95" customHeight="1" x14ac:dyDescent="0.25">
      <c r="A19" s="769"/>
      <c r="B19" s="153">
        <v>16</v>
      </c>
      <c r="C19" s="190">
        <v>0.25172159999999999</v>
      </c>
      <c r="D19" s="190">
        <v>0.44120700000000002</v>
      </c>
      <c r="E19" s="190">
        <v>0.19965040000000001</v>
      </c>
      <c r="F19" s="190">
        <v>0.107421</v>
      </c>
      <c r="G19" s="190"/>
      <c r="H19" s="60">
        <f t="shared" si="1"/>
        <v>1</v>
      </c>
      <c r="J19" s="8"/>
      <c r="K19" s="58"/>
      <c r="L19" s="27"/>
      <c r="M19" s="27"/>
      <c r="N19" s="27"/>
      <c r="O19" s="27"/>
      <c r="P19" s="59"/>
    </row>
    <row r="20" spans="1:16" x14ac:dyDescent="0.25">
      <c r="A20" s="769"/>
      <c r="B20" s="152" t="s">
        <v>335</v>
      </c>
      <c r="C20" s="190">
        <v>0.4125762</v>
      </c>
      <c r="D20" s="190">
        <v>0.37829439999999998</v>
      </c>
      <c r="E20" s="190">
        <v>0.13490550000000001</v>
      </c>
      <c r="F20" s="190">
        <v>7.4223899999999995E-2</v>
      </c>
      <c r="G20" s="190"/>
      <c r="H20" s="60">
        <f t="shared" si="1"/>
        <v>1</v>
      </c>
    </row>
    <row r="22" spans="1:16" x14ac:dyDescent="0.25">
      <c r="A22" s="5" t="s">
        <v>603</v>
      </c>
    </row>
    <row r="23" spans="1:16" x14ac:dyDescent="0.25">
      <c r="A23" s="5" t="s">
        <v>535</v>
      </c>
    </row>
    <row r="29" spans="1:16" s="23" customFormat="1" hidden="1" x14ac:dyDescent="0.25">
      <c r="A29" s="23" t="s">
        <v>81</v>
      </c>
      <c r="E29" s="24"/>
      <c r="F29" s="25"/>
      <c r="G29" s="26"/>
    </row>
    <row r="30" spans="1:16" ht="13.2" customHeight="1" x14ac:dyDescent="0.25"/>
    <row r="31" spans="1:16" ht="13.2" customHeight="1" x14ac:dyDescent="0.25">
      <c r="A31" s="695"/>
      <c r="B31" s="695"/>
      <c r="C31" s="695"/>
      <c r="D31" s="695"/>
      <c r="E31" s="692"/>
      <c r="F31" s="692"/>
      <c r="G31" s="692"/>
    </row>
    <row r="32" spans="1:16" ht="13.2" customHeight="1" x14ac:dyDescent="0.25">
      <c r="A32" s="27"/>
      <c r="B32" s="27"/>
      <c r="C32" s="27"/>
      <c r="D32" s="27"/>
      <c r="E32" s="692"/>
      <c r="F32" s="692"/>
      <c r="G32" s="692"/>
    </row>
    <row r="33" spans="1:13" ht="13.2" customHeight="1" x14ac:dyDescent="0.25">
      <c r="A33" s="27"/>
      <c r="B33" s="27"/>
      <c r="C33" s="27"/>
      <c r="D33" s="27"/>
      <c r="E33" s="691"/>
      <c r="F33" s="691"/>
      <c r="G33" s="694"/>
      <c r="H33" s="29"/>
      <c r="J33" s="29"/>
      <c r="K33" s="29"/>
      <c r="L33" s="29"/>
      <c r="M33" s="29"/>
    </row>
    <row r="34" spans="1:13" ht="13.2" customHeight="1" x14ac:dyDescent="0.25">
      <c r="A34" s="27"/>
      <c r="B34" s="27"/>
      <c r="C34" s="27"/>
      <c r="D34" s="27"/>
      <c r="E34" s="691"/>
      <c r="F34" s="691"/>
      <c r="G34" s="694"/>
      <c r="H34" s="29"/>
      <c r="J34" s="29"/>
      <c r="K34" s="29"/>
      <c r="L34" s="29"/>
      <c r="M34" s="29"/>
    </row>
    <row r="35" spans="1:13" ht="13.2" customHeight="1" x14ac:dyDescent="0.25">
      <c r="A35" s="27"/>
      <c r="B35" s="27"/>
      <c r="C35" s="27"/>
      <c r="D35" s="27"/>
      <c r="E35" s="691"/>
      <c r="F35" s="691"/>
      <c r="G35" s="694"/>
      <c r="H35" s="29"/>
      <c r="J35" s="29"/>
      <c r="K35" s="29"/>
      <c r="L35" s="29"/>
      <c r="M35" s="29"/>
    </row>
    <row r="36" spans="1:13" ht="13.2" customHeight="1" x14ac:dyDescent="0.25">
      <c r="A36" s="59"/>
      <c r="B36" s="59"/>
      <c r="C36" s="59"/>
      <c r="D36" s="59"/>
      <c r="E36" s="691"/>
      <c r="F36" s="691"/>
      <c r="G36" s="694"/>
      <c r="H36" s="29"/>
      <c r="J36" s="29"/>
      <c r="K36" s="29"/>
      <c r="L36" s="29"/>
      <c r="M36" s="29"/>
    </row>
    <row r="37" spans="1:13" ht="13.2" customHeight="1" x14ac:dyDescent="0.25">
      <c r="A37" s="696"/>
      <c r="B37" s="696"/>
      <c r="C37" s="696"/>
      <c r="D37" s="696"/>
      <c r="E37" s="691"/>
      <c r="F37" s="691"/>
      <c r="G37" s="694"/>
      <c r="H37" s="29"/>
      <c r="J37" s="29"/>
      <c r="K37" s="29"/>
      <c r="L37" s="29"/>
      <c r="M37" s="29"/>
    </row>
    <row r="38" spans="1:13" ht="13.2" customHeight="1" x14ac:dyDescent="0.25">
      <c r="A38" s="696"/>
      <c r="B38" s="696"/>
      <c r="C38" s="696"/>
      <c r="D38" s="696"/>
      <c r="E38" s="691"/>
      <c r="F38" s="691"/>
      <c r="G38" s="694"/>
      <c r="H38" s="29"/>
      <c r="J38" s="29"/>
      <c r="K38" s="29"/>
      <c r="L38" s="29"/>
      <c r="M38" s="29"/>
    </row>
    <row r="39" spans="1:13" ht="13.2" customHeight="1" x14ac:dyDescent="0.25">
      <c r="A39" s="696"/>
      <c r="B39" s="696"/>
      <c r="C39" s="696"/>
      <c r="D39" s="696"/>
      <c r="E39" s="691"/>
      <c r="F39" s="691"/>
      <c r="G39" s="694"/>
      <c r="H39" s="29"/>
      <c r="J39" s="29"/>
      <c r="K39" s="29"/>
      <c r="L39" s="29"/>
      <c r="M39" s="29"/>
    </row>
    <row r="40" spans="1:13" ht="13.2" customHeight="1" x14ac:dyDescent="0.25">
      <c r="A40" s="696"/>
      <c r="B40" s="696"/>
      <c r="C40" s="696"/>
      <c r="D40" s="696"/>
      <c r="E40" s="691"/>
      <c r="F40" s="691"/>
      <c r="G40" s="694"/>
      <c r="H40" s="29"/>
      <c r="J40" s="29"/>
      <c r="K40" s="29"/>
      <c r="L40" s="29"/>
      <c r="M40" s="29"/>
    </row>
    <row r="41" spans="1:13" ht="13.2" customHeight="1" x14ac:dyDescent="0.25">
      <c r="A41" s="696"/>
      <c r="B41" s="696"/>
      <c r="C41" s="696"/>
      <c r="D41" s="696"/>
      <c r="E41" s="691"/>
      <c r="F41" s="691"/>
      <c r="G41" s="694"/>
      <c r="H41" s="29"/>
      <c r="J41" s="29"/>
      <c r="K41" s="29"/>
      <c r="L41" s="29"/>
      <c r="M41" s="29"/>
    </row>
    <row r="42" spans="1:13" ht="13.2" customHeight="1" x14ac:dyDescent="0.25">
      <c r="A42" s="696"/>
      <c r="B42" s="696"/>
      <c r="C42" s="696"/>
      <c r="D42" s="696"/>
      <c r="E42" s="691"/>
      <c r="F42" s="691"/>
      <c r="G42" s="694"/>
      <c r="H42" s="29"/>
      <c r="J42" s="29"/>
      <c r="K42" s="29"/>
      <c r="L42" s="29"/>
      <c r="M42" s="29"/>
    </row>
    <row r="43" spans="1:13" ht="13.2" customHeight="1" x14ac:dyDescent="0.25">
      <c r="A43" s="696"/>
      <c r="B43" s="696"/>
      <c r="C43" s="696"/>
      <c r="D43" s="696"/>
      <c r="E43" s="691"/>
      <c r="F43" s="691"/>
      <c r="G43" s="694"/>
      <c r="H43" s="29"/>
      <c r="J43" s="29"/>
      <c r="K43" s="29"/>
      <c r="L43" s="29"/>
      <c r="M43" s="29"/>
    </row>
    <row r="44" spans="1:13" ht="13.2" customHeight="1" x14ac:dyDescent="0.25">
      <c r="A44" s="696"/>
      <c r="B44" s="696"/>
      <c r="C44" s="696"/>
      <c r="D44" s="696"/>
      <c r="E44" s="691"/>
      <c r="F44" s="691"/>
      <c r="G44" s="694"/>
      <c r="H44" s="29"/>
      <c r="J44" s="29"/>
      <c r="K44" s="29"/>
      <c r="L44" s="29"/>
      <c r="M44" s="29"/>
    </row>
    <row r="45" spans="1:13" ht="13.2" customHeight="1" x14ac:dyDescent="0.25">
      <c r="A45" s="696"/>
      <c r="B45" s="696"/>
      <c r="C45" s="696"/>
      <c r="D45" s="696"/>
      <c r="E45" s="691"/>
      <c r="F45" s="691"/>
      <c r="G45" s="694"/>
      <c r="H45" s="29"/>
      <c r="J45" s="29"/>
      <c r="K45" s="29"/>
      <c r="L45" s="29"/>
      <c r="M45" s="29"/>
    </row>
    <row r="46" spans="1:13" ht="13.2" customHeight="1" x14ac:dyDescent="0.25">
      <c r="A46" s="696"/>
      <c r="B46" s="696"/>
      <c r="C46" s="696"/>
      <c r="D46" s="696"/>
      <c r="E46" s="691"/>
      <c r="F46" s="691"/>
      <c r="G46" s="694"/>
      <c r="H46" s="29"/>
      <c r="J46" s="29"/>
      <c r="K46" s="29"/>
      <c r="L46" s="29"/>
      <c r="M46" s="29"/>
    </row>
    <row r="47" spans="1:13" ht="13.2" customHeight="1" x14ac:dyDescent="0.25">
      <c r="A47" s="696"/>
      <c r="B47" s="696"/>
      <c r="C47" s="696"/>
      <c r="D47" s="696"/>
      <c r="E47" s="691"/>
      <c r="F47" s="691"/>
      <c r="G47" s="694"/>
      <c r="H47" s="29"/>
      <c r="J47" s="29"/>
      <c r="K47" s="29"/>
      <c r="L47" s="29"/>
      <c r="M47" s="29"/>
    </row>
    <row r="48" spans="1:13" ht="13.2" customHeight="1" x14ac:dyDescent="0.25">
      <c r="B48" s="693"/>
      <c r="C48" s="694"/>
      <c r="D48" s="694"/>
      <c r="E48" s="694"/>
      <c r="F48" s="694"/>
      <c r="G48" s="694"/>
      <c r="H48" s="29"/>
      <c r="J48" s="29"/>
      <c r="K48" s="29"/>
      <c r="L48" s="29"/>
      <c r="M48" s="29"/>
    </row>
    <row r="49" spans="2:13" ht="13.2" customHeight="1" x14ac:dyDescent="0.25">
      <c r="B49" s="29"/>
      <c r="C49" s="694"/>
      <c r="D49" s="694"/>
      <c r="E49" s="694"/>
      <c r="F49" s="694"/>
      <c r="G49" s="694"/>
      <c r="H49" s="29"/>
      <c r="J49" s="29"/>
      <c r="K49" s="29"/>
      <c r="L49" s="29"/>
      <c r="M49" s="29"/>
    </row>
    <row r="50" spans="2:13" ht="13.2" customHeight="1" x14ac:dyDescent="0.25"/>
    <row r="51" spans="2:13" ht="13.2" customHeight="1" x14ac:dyDescent="0.25"/>
    <row r="52" spans="2:13" ht="13.2" customHeight="1" x14ac:dyDescent="0.25"/>
    <row r="53" spans="2:13" ht="13.2" customHeight="1" x14ac:dyDescent="0.25"/>
    <row r="54" spans="2:13" ht="13.2" customHeight="1" x14ac:dyDescent="0.25"/>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2"/>
  <sheetViews>
    <sheetView workbookViewId="0">
      <selection sqref="A1:J1"/>
    </sheetView>
  </sheetViews>
  <sheetFormatPr defaultRowHeight="14.4" x14ac:dyDescent="0.3"/>
  <sheetData>
    <row r="1" spans="1:10" ht="22.95" customHeight="1" x14ac:dyDescent="0.3">
      <c r="A1" s="772" t="str">
        <f>"PV - "&amp;Prototype!A2</f>
        <v>PV - RestaurantSitDown</v>
      </c>
      <c r="B1" s="772"/>
      <c r="C1" s="772"/>
      <c r="D1" s="772"/>
      <c r="E1" s="772"/>
      <c r="F1" s="772"/>
      <c r="G1" s="772"/>
      <c r="H1" s="772"/>
      <c r="I1" s="772"/>
      <c r="J1" s="772"/>
    </row>
    <row r="2" spans="1:10" x14ac:dyDescent="0.3">
      <c r="A2" s="5" t="s">
        <v>604</v>
      </c>
      <c r="B2" s="3"/>
      <c r="C2" s="3"/>
      <c r="D2" s="3"/>
      <c r="E2" s="3"/>
      <c r="F2" s="3"/>
      <c r="G2" s="3"/>
      <c r="H2" s="3"/>
      <c r="I2" s="3"/>
      <c r="J2" s="3"/>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3"/>
  <sheetViews>
    <sheetView zoomScaleNormal="70" workbookViewId="0">
      <selection sqref="A1:H1"/>
    </sheetView>
  </sheetViews>
  <sheetFormatPr defaultColWidth="8.6640625" defaultRowHeight="13.2" x14ac:dyDescent="0.25"/>
  <cols>
    <col min="1" max="1" width="21" style="5" customWidth="1"/>
    <col min="2" max="2" width="14.33203125" style="5" customWidth="1"/>
    <col min="3" max="3" width="14.5546875" style="5" customWidth="1"/>
    <col min="4" max="8" width="8.6640625" style="5"/>
    <col min="9" max="9" width="13.6640625" style="5" customWidth="1"/>
    <col min="10" max="10" width="14.44140625" style="5" customWidth="1"/>
    <col min="11" max="16384" width="8.6640625" style="5"/>
  </cols>
  <sheetData>
    <row r="1" spans="1:8" ht="21.6" customHeight="1" x14ac:dyDescent="0.25">
      <c r="A1" s="772" t="str">
        <f>"EV Charger - "&amp;Prototype!A2</f>
        <v>EV Charger - RestaurantSitDown</v>
      </c>
      <c r="B1" s="772"/>
      <c r="C1" s="772"/>
      <c r="D1" s="772"/>
      <c r="E1" s="772"/>
      <c r="F1" s="772"/>
      <c r="G1" s="772"/>
      <c r="H1" s="772"/>
    </row>
    <row r="2" spans="1:8" x14ac:dyDescent="0.25">
      <c r="A2" s="5" t="s">
        <v>604</v>
      </c>
      <c r="B2" s="43"/>
      <c r="C2" s="44"/>
      <c r="D2" s="45"/>
      <c r="E2" s="45"/>
    </row>
    <row r="3" spans="1:8" x14ac:dyDescent="0.25">
      <c r="A3" s="34"/>
      <c r="B3" s="42"/>
      <c r="C3" s="123"/>
      <c r="D3" s="46"/>
      <c r="E3" s="46"/>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AEF52-0B0C-49BB-9B9D-0B2F6270AA35}">
  <sheetPr codeName="Sheet16"/>
  <dimension ref="A1:G83"/>
  <sheetViews>
    <sheetView workbookViewId="0">
      <selection activeCell="C1" sqref="C1"/>
    </sheetView>
  </sheetViews>
  <sheetFormatPr defaultRowHeight="14.4" x14ac:dyDescent="0.3"/>
  <cols>
    <col min="1" max="1" width="58.6640625" customWidth="1"/>
    <col min="2" max="2" width="30.88671875" customWidth="1"/>
    <col min="3" max="3" width="30.33203125" customWidth="1"/>
  </cols>
  <sheetData>
    <row r="1" spans="1:7" x14ac:dyDescent="0.3">
      <c r="A1" t="s">
        <v>605</v>
      </c>
      <c r="B1" t="s">
        <v>606</v>
      </c>
      <c r="C1" t="s">
        <v>606</v>
      </c>
      <c r="D1" s="971" t="s">
        <v>607</v>
      </c>
      <c r="E1" s="971"/>
      <c r="F1" s="971"/>
      <c r="G1" s="971"/>
    </row>
    <row r="2" spans="1:7" x14ac:dyDescent="0.3">
      <c r="A2" s="702" t="s">
        <v>608</v>
      </c>
      <c r="D2">
        <v>2013</v>
      </c>
      <c r="E2">
        <v>2016</v>
      </c>
      <c r="F2">
        <v>2019</v>
      </c>
      <c r="G2">
        <v>2025</v>
      </c>
    </row>
    <row r="3" spans="1:7" x14ac:dyDescent="0.3">
      <c r="A3" s="702" t="s">
        <v>609</v>
      </c>
    </row>
    <row r="4" spans="1:7" x14ac:dyDescent="0.3">
      <c r="A4" t="s">
        <v>610</v>
      </c>
    </row>
    <row r="5" spans="1:7" x14ac:dyDescent="0.3">
      <c r="A5" t="s">
        <v>611</v>
      </c>
    </row>
    <row r="6" spans="1:7" x14ac:dyDescent="0.3">
      <c r="A6" t="s">
        <v>612</v>
      </c>
    </row>
    <row r="7" spans="1:7" x14ac:dyDescent="0.3">
      <c r="A7" t="s">
        <v>613</v>
      </c>
    </row>
    <row r="8" spans="1:7" x14ac:dyDescent="0.3">
      <c r="A8" t="s">
        <v>614</v>
      </c>
    </row>
    <row r="9" spans="1:7" x14ac:dyDescent="0.3">
      <c r="A9" t="s">
        <v>615</v>
      </c>
    </row>
    <row r="10" spans="1:7" x14ac:dyDescent="0.3">
      <c r="A10" t="s">
        <v>616</v>
      </c>
    </row>
    <row r="11" spans="1:7" x14ac:dyDescent="0.3">
      <c r="A11" t="s">
        <v>617</v>
      </c>
    </row>
    <row r="12" spans="1:7" x14ac:dyDescent="0.3">
      <c r="A12" t="s">
        <v>618</v>
      </c>
    </row>
    <row r="13" spans="1:7" x14ac:dyDescent="0.3">
      <c r="A13" t="s">
        <v>619</v>
      </c>
    </row>
    <row r="14" spans="1:7" x14ac:dyDescent="0.3">
      <c r="A14" t="s">
        <v>620</v>
      </c>
    </row>
    <row r="15" spans="1:7" x14ac:dyDescent="0.3">
      <c r="A15" t="s">
        <v>621</v>
      </c>
    </row>
    <row r="16" spans="1:7" x14ac:dyDescent="0.3">
      <c r="A16" t="s">
        <v>622</v>
      </c>
    </row>
    <row r="17" spans="1:1" x14ac:dyDescent="0.3">
      <c r="A17" t="s">
        <v>623</v>
      </c>
    </row>
    <row r="18" spans="1:1" x14ac:dyDescent="0.3">
      <c r="A18" t="s">
        <v>624</v>
      </c>
    </row>
    <row r="19" spans="1:1" x14ac:dyDescent="0.3">
      <c r="A19" t="s">
        <v>625</v>
      </c>
    </row>
    <row r="20" spans="1:1" x14ac:dyDescent="0.3">
      <c r="A20" t="s">
        <v>76</v>
      </c>
    </row>
    <row r="21" spans="1:1" x14ac:dyDescent="0.3">
      <c r="A21" t="s">
        <v>626</v>
      </c>
    </row>
    <row r="22" spans="1:1" x14ac:dyDescent="0.3">
      <c r="A22" t="s">
        <v>627</v>
      </c>
    </row>
    <row r="23" spans="1:1" x14ac:dyDescent="0.3">
      <c r="A23" t="s">
        <v>628</v>
      </c>
    </row>
    <row r="24" spans="1:1" x14ac:dyDescent="0.3">
      <c r="A24" t="s">
        <v>629</v>
      </c>
    </row>
    <row r="25" spans="1:1" x14ac:dyDescent="0.3">
      <c r="A25" t="s">
        <v>630</v>
      </c>
    </row>
    <row r="26" spans="1:1" x14ac:dyDescent="0.3">
      <c r="A26" t="s">
        <v>631</v>
      </c>
    </row>
    <row r="27" spans="1:1" x14ac:dyDescent="0.3">
      <c r="A27" t="s">
        <v>632</v>
      </c>
    </row>
    <row r="28" spans="1:1" x14ac:dyDescent="0.3">
      <c r="A28" t="s">
        <v>633</v>
      </c>
    </row>
    <row r="29" spans="1:1" x14ac:dyDescent="0.3">
      <c r="A29" t="s">
        <v>634</v>
      </c>
    </row>
    <row r="30" spans="1:1" x14ac:dyDescent="0.3">
      <c r="A30" t="s">
        <v>635</v>
      </c>
    </row>
    <row r="31" spans="1:1" x14ac:dyDescent="0.3">
      <c r="A31" t="s">
        <v>636</v>
      </c>
    </row>
    <row r="32" spans="1:1" x14ac:dyDescent="0.3">
      <c r="A32" t="s">
        <v>637</v>
      </c>
    </row>
    <row r="33" spans="1:1" x14ac:dyDescent="0.3">
      <c r="A33" t="s">
        <v>638</v>
      </c>
    </row>
    <row r="34" spans="1:1" x14ac:dyDescent="0.3">
      <c r="A34" t="s">
        <v>639</v>
      </c>
    </row>
    <row r="35" spans="1:1" x14ac:dyDescent="0.3">
      <c r="A35" t="s">
        <v>640</v>
      </c>
    </row>
    <row r="36" spans="1:1" x14ac:dyDescent="0.3">
      <c r="A36" t="s">
        <v>79</v>
      </c>
    </row>
    <row r="37" spans="1:1" x14ac:dyDescent="0.3">
      <c r="A37" t="s">
        <v>641</v>
      </c>
    </row>
    <row r="38" spans="1:1" x14ac:dyDescent="0.3">
      <c r="A38" t="s">
        <v>642</v>
      </c>
    </row>
    <row r="39" spans="1:1" x14ac:dyDescent="0.3">
      <c r="A39" t="s">
        <v>643</v>
      </c>
    </row>
    <row r="40" spans="1:1" x14ac:dyDescent="0.3">
      <c r="A40" t="s">
        <v>644</v>
      </c>
    </row>
    <row r="41" spans="1:1" x14ac:dyDescent="0.3">
      <c r="A41" t="s">
        <v>645</v>
      </c>
    </row>
    <row r="42" spans="1:1" x14ac:dyDescent="0.3">
      <c r="A42" t="s">
        <v>646</v>
      </c>
    </row>
    <row r="43" spans="1:1" x14ac:dyDescent="0.3">
      <c r="A43" t="s">
        <v>647</v>
      </c>
    </row>
    <row r="44" spans="1:1" x14ac:dyDescent="0.3">
      <c r="A44" t="s">
        <v>648</v>
      </c>
    </row>
    <row r="45" spans="1:1" x14ac:dyDescent="0.3">
      <c r="A45" t="s">
        <v>649</v>
      </c>
    </row>
    <row r="46" spans="1:1" x14ac:dyDescent="0.3">
      <c r="A46" t="s">
        <v>650</v>
      </c>
    </row>
    <row r="47" spans="1:1" x14ac:dyDescent="0.3">
      <c r="A47" t="s">
        <v>651</v>
      </c>
    </row>
    <row r="48" spans="1:1" x14ac:dyDescent="0.3">
      <c r="A48" t="s">
        <v>652</v>
      </c>
    </row>
    <row r="49" spans="1:1" x14ac:dyDescent="0.3">
      <c r="A49" t="s">
        <v>653</v>
      </c>
    </row>
    <row r="50" spans="1:1" x14ac:dyDescent="0.3">
      <c r="A50" t="s">
        <v>654</v>
      </c>
    </row>
    <row r="51" spans="1:1" x14ac:dyDescent="0.3">
      <c r="A51" t="s">
        <v>655</v>
      </c>
    </row>
    <row r="52" spans="1:1" x14ac:dyDescent="0.3">
      <c r="A52" t="s">
        <v>656</v>
      </c>
    </row>
    <row r="53" spans="1:1" x14ac:dyDescent="0.3">
      <c r="A53" t="s">
        <v>657</v>
      </c>
    </row>
    <row r="54" spans="1:1" x14ac:dyDescent="0.3">
      <c r="A54" t="s">
        <v>658</v>
      </c>
    </row>
    <row r="55" spans="1:1" x14ac:dyDescent="0.3">
      <c r="A55" t="s">
        <v>659</v>
      </c>
    </row>
    <row r="56" spans="1:1" x14ac:dyDescent="0.3">
      <c r="A56" t="s">
        <v>660</v>
      </c>
    </row>
    <row r="57" spans="1:1" x14ac:dyDescent="0.3">
      <c r="A57" t="s">
        <v>661</v>
      </c>
    </row>
    <row r="58" spans="1:1" x14ac:dyDescent="0.3">
      <c r="A58" t="s">
        <v>662</v>
      </c>
    </row>
    <row r="59" spans="1:1" x14ac:dyDescent="0.3">
      <c r="A59" t="s">
        <v>663</v>
      </c>
    </row>
    <row r="60" spans="1:1" x14ac:dyDescent="0.3">
      <c r="A60" t="s">
        <v>664</v>
      </c>
    </row>
    <row r="61" spans="1:1" x14ac:dyDescent="0.3">
      <c r="A61" t="s">
        <v>665</v>
      </c>
    </row>
    <row r="62" spans="1:1" x14ac:dyDescent="0.3">
      <c r="A62" t="s">
        <v>666</v>
      </c>
    </row>
    <row r="63" spans="1:1" x14ac:dyDescent="0.3">
      <c r="A63" t="s">
        <v>667</v>
      </c>
    </row>
    <row r="64" spans="1:1" x14ac:dyDescent="0.3">
      <c r="A64" t="s">
        <v>668</v>
      </c>
    </row>
    <row r="65" spans="1:1" x14ac:dyDescent="0.3">
      <c r="A65" t="s">
        <v>669</v>
      </c>
    </row>
    <row r="66" spans="1:1" x14ac:dyDescent="0.3">
      <c r="A66" t="s">
        <v>670</v>
      </c>
    </row>
    <row r="67" spans="1:1" x14ac:dyDescent="0.3">
      <c r="A67" t="s">
        <v>671</v>
      </c>
    </row>
    <row r="68" spans="1:1" x14ac:dyDescent="0.3">
      <c r="A68" t="s">
        <v>672</v>
      </c>
    </row>
    <row r="69" spans="1:1" x14ac:dyDescent="0.3">
      <c r="A69" t="s">
        <v>673</v>
      </c>
    </row>
    <row r="70" spans="1:1" x14ac:dyDescent="0.3">
      <c r="A70" t="s">
        <v>674</v>
      </c>
    </row>
    <row r="71" spans="1:1" x14ac:dyDescent="0.3">
      <c r="A71" t="s">
        <v>675</v>
      </c>
    </row>
    <row r="72" spans="1:1" x14ac:dyDescent="0.3">
      <c r="A72" t="s">
        <v>676</v>
      </c>
    </row>
    <row r="73" spans="1:1" x14ac:dyDescent="0.3">
      <c r="A73" t="s">
        <v>677</v>
      </c>
    </row>
    <row r="74" spans="1:1" x14ac:dyDescent="0.3">
      <c r="A74" t="s">
        <v>678</v>
      </c>
    </row>
    <row r="75" spans="1:1" x14ac:dyDescent="0.3">
      <c r="A75" t="s">
        <v>679</v>
      </c>
    </row>
    <row r="76" spans="1:1" x14ac:dyDescent="0.3">
      <c r="A76" t="s">
        <v>680</v>
      </c>
    </row>
    <row r="77" spans="1:1" x14ac:dyDescent="0.3">
      <c r="A77" t="s">
        <v>177</v>
      </c>
    </row>
    <row r="78" spans="1:1" x14ac:dyDescent="0.3">
      <c r="A78" t="s">
        <v>681</v>
      </c>
    </row>
    <row r="79" spans="1:1" x14ac:dyDescent="0.3">
      <c r="A79" t="s">
        <v>682</v>
      </c>
    </row>
    <row r="80" spans="1:1" x14ac:dyDescent="0.3">
      <c r="A80" t="s">
        <v>683</v>
      </c>
    </row>
    <row r="81" spans="1:1" x14ac:dyDescent="0.3">
      <c r="A81" t="s">
        <v>684</v>
      </c>
    </row>
    <row r="82" spans="1:1" x14ac:dyDescent="0.3">
      <c r="A82" t="s">
        <v>685</v>
      </c>
    </row>
    <row r="83" spans="1:1" x14ac:dyDescent="0.3">
      <c r="A83" t="s">
        <v>686</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2.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2D857916-31BE-42E3-83B4-52C4ECD442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Thermostat</vt:lpstr>
      <vt:lpstr>Ventilation</vt:lpstr>
      <vt:lpstr>Interior Lights</vt:lpstr>
      <vt:lpstr>Water Heater</vt:lpstr>
      <vt:lpstr>Equipment</vt:lpstr>
      <vt:lpstr>Ext Lighting</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2026-10-28T02:48:12Z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ies>
</file>