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6.xml" ContentType="application/vnd.openxmlformats-officedocument.drawing+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66925"/>
  <mc:AlternateContent xmlns:mc="http://schemas.openxmlformats.org/markup-compatibility/2006">
    <mc:Choice Requires="x15">
      <x15ac:absPath xmlns:x15ac="http://schemas.microsoft.com/office/spreadsheetml/2010/11/ac" url="C:\Cursor\Scorecards cleanup- dictation and Spelling\V2.0-10272026\"/>
    </mc:Choice>
  </mc:AlternateContent>
  <xr:revisionPtr revIDLastSave="0" documentId="13_ncr:1_{49068B8F-9F10-4FDC-8E5A-020C8CC7889D}" xr6:coauthVersionLast="47" xr6:coauthVersionMax="47" xr10:uidLastSave="{00000000-0000-0000-0000-000000000000}"/>
  <bookViews>
    <workbookView xWindow="-108" yWindow="-108" windowWidth="23256" windowHeight="13896" tabRatio="825" firstSheet="1" activeTab="1" xr2:uid="{EAC23EE3-0CA0-4FF8-990D-9B21A59FA3E0}"/>
  </bookViews>
  <sheets>
    <sheet name="Notes" sheetId="23" r:id="rId1"/>
    <sheet name="Prototype" sheetId="2" r:id="rId2"/>
    <sheet name="Zones" sheetId="13" r:id="rId3"/>
    <sheet name="Envelope" sheetId="1" r:id="rId4"/>
    <sheet name="HVAC System" sheetId="14" r:id="rId5"/>
    <sheet name="Thermostat" sheetId="30" r:id="rId6"/>
    <sheet name="Ventilation" sheetId="18" r:id="rId7"/>
    <sheet name="Water Heater" sheetId="33" r:id="rId8"/>
    <sheet name="Interior Lights" sheetId="25" r:id="rId9"/>
    <sheet name="Equipment" sheetId="29" r:id="rId10"/>
    <sheet name="Ext Lighting" sheetId="9" r:id="rId11"/>
    <sheet name="Schedules" sheetId="28" r:id="rId12"/>
    <sheet name="Weights" sheetId="21" r:id="rId13"/>
    <sheet name="PV" sheetId="27" state="hidden" r:id="rId14"/>
    <sheet name="EV Charger" sheetId="22" state="hidden" r:id="rId15"/>
    <sheet name="Data" sheetId="31" state="hidden" r:id="rId16"/>
    <sheet name="Energy Usage" sheetId="20" r:id="rId17"/>
  </sheets>
  <definedNames>
    <definedName name="_xlnm._FilterDatabase" localSheetId="15" hidden="1">Data!$D$1:$G$1</definedName>
    <definedName name="_xlnm._FilterDatabase" localSheetId="2" hidden="1">Zones!$C$3:$C$5</definedName>
    <definedName name="Space_Function">Data!$A$2:$A$76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 i="1" l="1"/>
  <c r="K3" i="1"/>
  <c r="L3" i="1"/>
  <c r="M3" i="1"/>
  <c r="N3" i="1"/>
  <c r="O3" i="1"/>
  <c r="P3" i="1"/>
  <c r="Q3" i="1"/>
  <c r="R3" i="1"/>
  <c r="S3" i="1"/>
  <c r="T3" i="1"/>
  <c r="U3" i="1"/>
  <c r="V3" i="1"/>
  <c r="W3" i="1"/>
  <c r="X3" i="1"/>
  <c r="I3" i="1"/>
  <c r="H5" i="21"/>
  <c r="H6" i="21"/>
  <c r="H7" i="21"/>
  <c r="H8" i="21"/>
  <c r="H9" i="21"/>
  <c r="H10" i="21"/>
  <c r="H11" i="21"/>
  <c r="H12" i="21"/>
  <c r="H13" i="21"/>
  <c r="H14" i="21"/>
  <c r="H15" i="21"/>
  <c r="H16" i="21"/>
  <c r="H17" i="21"/>
  <c r="H18" i="21"/>
  <c r="H19" i="21"/>
  <c r="H20" i="21"/>
  <c r="H4" i="21"/>
  <c r="I46" i="1"/>
  <c r="C11" i="33"/>
  <c r="A11" i="33"/>
  <c r="A10" i="33"/>
  <c r="C9" i="33"/>
  <c r="A9" i="33"/>
  <c r="A1" i="33"/>
  <c r="I43" i="33"/>
  <c r="C30" i="23"/>
  <c r="C29" i="23"/>
  <c r="C28" i="23"/>
  <c r="C27" i="23"/>
  <c r="C26" i="23"/>
  <c r="C25" i="23"/>
  <c r="E30" i="2" l="1"/>
  <c r="I15" i="1"/>
  <c r="I16" i="1"/>
  <c r="I21" i="1"/>
  <c r="J4" i="20" l="1"/>
  <c r="K4" i="20"/>
  <c r="J5" i="20"/>
  <c r="K5" i="20"/>
  <c r="J6" i="20"/>
  <c r="K6" i="20"/>
  <c r="J7" i="20"/>
  <c r="K7" i="20"/>
  <c r="J8" i="20"/>
  <c r="K8" i="20"/>
  <c r="J9" i="20"/>
  <c r="K9" i="20"/>
  <c r="J10" i="20"/>
  <c r="K10" i="20"/>
  <c r="J11" i="20"/>
  <c r="L11" i="20" s="1"/>
  <c r="K11" i="20"/>
  <c r="J12" i="20"/>
  <c r="L12" i="20" s="1"/>
  <c r="K12" i="20"/>
  <c r="J13" i="20"/>
  <c r="K13" i="20"/>
  <c r="J14" i="20"/>
  <c r="K14" i="20"/>
  <c r="J15" i="20"/>
  <c r="K15" i="20"/>
  <c r="J16" i="20"/>
  <c r="K16" i="20"/>
  <c r="J17" i="20"/>
  <c r="K17" i="20"/>
  <c r="J18" i="20"/>
  <c r="K18" i="20"/>
  <c r="K3" i="20"/>
  <c r="J3" i="20"/>
  <c r="L17" i="20"/>
  <c r="L16" i="20"/>
  <c r="L15" i="20"/>
  <c r="L10" i="20"/>
  <c r="L9" i="20"/>
  <c r="L6" i="20"/>
  <c r="L5" i="20"/>
  <c r="L3" i="20"/>
  <c r="L14" i="20" l="1"/>
  <c r="L13" i="20"/>
  <c r="L18" i="20"/>
  <c r="L7" i="20"/>
  <c r="L4" i="20"/>
  <c r="L8" i="20"/>
  <c r="S18" i="20" l="1"/>
  <c r="T18" i="20" s="1"/>
  <c r="S17" i="20"/>
  <c r="T17" i="20" s="1"/>
  <c r="S16" i="20"/>
  <c r="T16" i="20" s="1"/>
  <c r="S15" i="20"/>
  <c r="T15" i="20" s="1"/>
  <c r="S14" i="20"/>
  <c r="T14" i="20" s="1"/>
  <c r="S13" i="20"/>
  <c r="T13" i="20" s="1"/>
  <c r="S12" i="20"/>
  <c r="U12" i="20" s="1"/>
  <c r="S11" i="20"/>
  <c r="T11" i="20" s="1"/>
  <c r="S10" i="20"/>
  <c r="U10" i="20" s="1"/>
  <c r="S9" i="20"/>
  <c r="U9" i="20" s="1"/>
  <c r="S8" i="20"/>
  <c r="U8" i="20" s="1"/>
  <c r="S7" i="20"/>
  <c r="T7" i="20" s="1"/>
  <c r="S6" i="20"/>
  <c r="T6" i="20" s="1"/>
  <c r="S5" i="20"/>
  <c r="T5" i="20" s="1"/>
  <c r="S4" i="20"/>
  <c r="U4" i="20" s="1"/>
  <c r="S3" i="20"/>
  <c r="T4" i="20" l="1"/>
  <c r="T10" i="20"/>
  <c r="T9" i="20"/>
  <c r="V9" i="20" s="1"/>
  <c r="T8" i="20"/>
  <c r="U18" i="20"/>
  <c r="U17" i="20"/>
  <c r="V17" i="20" s="1"/>
  <c r="T3" i="20"/>
  <c r="U3" i="20"/>
  <c r="U16" i="20"/>
  <c r="V16" i="20" s="1"/>
  <c r="U15" i="20"/>
  <c r="V15" i="20" s="1"/>
  <c r="U14" i="20"/>
  <c r="V14" i="20" s="1"/>
  <c r="U13" i="20"/>
  <c r="U7" i="20"/>
  <c r="V7" i="20" s="1"/>
  <c r="U6" i="20"/>
  <c r="V6" i="20" s="1"/>
  <c r="T12" i="20"/>
  <c r="V12" i="20" s="1"/>
  <c r="U5" i="20"/>
  <c r="V5" i="20" s="1"/>
  <c r="U11" i="20"/>
  <c r="V11" i="20" s="1"/>
  <c r="V18" i="20"/>
  <c r="V13" i="20"/>
  <c r="V10" i="20"/>
  <c r="V8" i="20"/>
  <c r="V3" i="20"/>
  <c r="V4" i="20"/>
  <c r="AC5" i="28" l="1"/>
  <c r="G5" i="28"/>
  <c r="H5" i="28"/>
  <c r="I5" i="28"/>
  <c r="J5" i="28"/>
  <c r="K5" i="28"/>
  <c r="L5" i="28"/>
  <c r="M5" i="28"/>
  <c r="N5" i="28"/>
  <c r="O5" i="28"/>
  <c r="P5" i="28"/>
  <c r="Q5" i="28"/>
  <c r="R5" i="28"/>
  <c r="S5" i="28"/>
  <c r="T5" i="28"/>
  <c r="U5" i="28"/>
  <c r="V5" i="28"/>
  <c r="W5" i="28"/>
  <c r="X5" i="28"/>
  <c r="Y5" i="28"/>
  <c r="Z5" i="28"/>
  <c r="AA5" i="28"/>
  <c r="AB5" i="28"/>
  <c r="F5" i="28"/>
  <c r="AC8" i="28"/>
  <c r="G8" i="28"/>
  <c r="H8" i="28"/>
  <c r="I8" i="28"/>
  <c r="J8" i="28"/>
  <c r="K8" i="28"/>
  <c r="L8" i="28"/>
  <c r="M8" i="28"/>
  <c r="N8" i="28"/>
  <c r="O8" i="28"/>
  <c r="P8" i="28"/>
  <c r="Q8" i="28"/>
  <c r="R8" i="28"/>
  <c r="S8" i="28"/>
  <c r="T8" i="28"/>
  <c r="U8" i="28"/>
  <c r="V8" i="28"/>
  <c r="W8" i="28"/>
  <c r="X8" i="28"/>
  <c r="Y8" i="28"/>
  <c r="Z8" i="28"/>
  <c r="AA8" i="28"/>
  <c r="AB8" i="28"/>
  <c r="F8" i="28"/>
  <c r="AC11" i="28"/>
  <c r="AB11" i="28"/>
  <c r="AA11" i="28"/>
  <c r="Z11" i="28"/>
  <c r="Y11" i="28"/>
  <c r="X11" i="28"/>
  <c r="W11" i="28"/>
  <c r="V11" i="28"/>
  <c r="U11" i="28"/>
  <c r="T11" i="28"/>
  <c r="S11" i="28"/>
  <c r="R11" i="28"/>
  <c r="Q11" i="28"/>
  <c r="P11" i="28"/>
  <c r="O11" i="28"/>
  <c r="N11" i="28"/>
  <c r="M11" i="28"/>
  <c r="L11" i="28"/>
  <c r="K11" i="28"/>
  <c r="J11" i="28"/>
  <c r="I11" i="28"/>
  <c r="H11" i="28"/>
  <c r="G11" i="28"/>
  <c r="F11" i="28"/>
  <c r="AC17" i="28"/>
  <c r="G17" i="28"/>
  <c r="H17" i="28"/>
  <c r="I17" i="28"/>
  <c r="J17" i="28"/>
  <c r="K17" i="28"/>
  <c r="L17" i="28"/>
  <c r="M17" i="28"/>
  <c r="N17" i="28"/>
  <c r="O17" i="28"/>
  <c r="P17" i="28"/>
  <c r="Q17" i="28"/>
  <c r="R17" i="28"/>
  <c r="S17" i="28"/>
  <c r="T17" i="28"/>
  <c r="U17" i="28"/>
  <c r="V17" i="28"/>
  <c r="W17" i="28"/>
  <c r="X17" i="28"/>
  <c r="Y17" i="28"/>
  <c r="Z17" i="28"/>
  <c r="AA17" i="28"/>
  <c r="AB17" i="28"/>
  <c r="F17" i="28"/>
  <c r="AC14" i="28"/>
  <c r="AC26" i="28" s="1"/>
  <c r="G14" i="28"/>
  <c r="G26" i="28" s="1"/>
  <c r="H14" i="28"/>
  <c r="H26" i="28" s="1"/>
  <c r="I14" i="28"/>
  <c r="I26" i="28" s="1"/>
  <c r="J14" i="28"/>
  <c r="J26" i="28" s="1"/>
  <c r="K14" i="28"/>
  <c r="K26" i="28" s="1"/>
  <c r="L14" i="28"/>
  <c r="L26" i="28" s="1"/>
  <c r="M14" i="28"/>
  <c r="M26" i="28" s="1"/>
  <c r="N14" i="28"/>
  <c r="N26" i="28" s="1"/>
  <c r="O14" i="28"/>
  <c r="O26" i="28" s="1"/>
  <c r="P14" i="28"/>
  <c r="P26" i="28" s="1"/>
  <c r="Q14" i="28"/>
  <c r="Q26" i="28" s="1"/>
  <c r="R14" i="28"/>
  <c r="R26" i="28" s="1"/>
  <c r="S14" i="28"/>
  <c r="S26" i="28" s="1"/>
  <c r="T14" i="28"/>
  <c r="T26" i="28" s="1"/>
  <c r="U14" i="28"/>
  <c r="U26" i="28" s="1"/>
  <c r="V14" i="28"/>
  <c r="V26" i="28" s="1"/>
  <c r="W14" i="28"/>
  <c r="W26" i="28" s="1"/>
  <c r="X14" i="28"/>
  <c r="X26" i="28" s="1"/>
  <c r="Y14" i="28"/>
  <c r="Y26" i="28" s="1"/>
  <c r="Z14" i="28"/>
  <c r="Z26" i="28" s="1"/>
  <c r="AA14" i="28"/>
  <c r="AA23" i="28" s="1"/>
  <c r="AB14" i="28"/>
  <c r="AB23" i="28" s="1"/>
  <c r="F14" i="28"/>
  <c r="F26" i="28" s="1"/>
  <c r="F56" i="1"/>
  <c r="F53" i="28" s="1"/>
  <c r="D4" i="29"/>
  <c r="J21" i="1"/>
  <c r="J22" i="1" s="1"/>
  <c r="K21" i="1"/>
  <c r="K22" i="1" s="1"/>
  <c r="L21" i="1"/>
  <c r="L22" i="1" s="1"/>
  <c r="M21" i="1"/>
  <c r="M22" i="1" s="1"/>
  <c r="N21" i="1"/>
  <c r="N22" i="1" s="1"/>
  <c r="O21" i="1"/>
  <c r="O22" i="1" s="1"/>
  <c r="P21" i="1"/>
  <c r="P22" i="1" s="1"/>
  <c r="Q21" i="1"/>
  <c r="Q22" i="1" s="1"/>
  <c r="R21" i="1"/>
  <c r="R22" i="1" s="1"/>
  <c r="S21" i="1"/>
  <c r="T21" i="1"/>
  <c r="U21" i="1"/>
  <c r="V21" i="1"/>
  <c r="W21" i="1"/>
  <c r="X21" i="1"/>
  <c r="S22" i="1"/>
  <c r="T22" i="1"/>
  <c r="U22" i="1"/>
  <c r="V22" i="1"/>
  <c r="W22" i="1"/>
  <c r="X22" i="1"/>
  <c r="I22" i="1"/>
  <c r="G25" i="28"/>
  <c r="H25" i="28"/>
  <c r="I25" i="28"/>
  <c r="J25" i="28"/>
  <c r="K25" i="28"/>
  <c r="L25" i="28"/>
  <c r="M25" i="28"/>
  <c r="N25" i="28"/>
  <c r="O25" i="28"/>
  <c r="P25" i="28"/>
  <c r="Q25" i="28"/>
  <c r="R25" i="28"/>
  <c r="S25" i="28"/>
  <c r="T25" i="28"/>
  <c r="U25" i="28"/>
  <c r="V25" i="28"/>
  <c r="W25" i="28"/>
  <c r="X25" i="28"/>
  <c r="Y25" i="28"/>
  <c r="Z25" i="28"/>
  <c r="AA25" i="28"/>
  <c r="AB25" i="28"/>
  <c r="AC25" i="28"/>
  <c r="G27" i="28"/>
  <c r="H27" i="28"/>
  <c r="I27" i="28"/>
  <c r="J27" i="28"/>
  <c r="K27" i="28"/>
  <c r="L27" i="28"/>
  <c r="M27" i="28"/>
  <c r="N27" i="28"/>
  <c r="O27" i="28"/>
  <c r="P27" i="28"/>
  <c r="Q27" i="28"/>
  <c r="R27" i="28"/>
  <c r="S27" i="28"/>
  <c r="T27" i="28"/>
  <c r="U27" i="28"/>
  <c r="V27" i="28"/>
  <c r="W27" i="28"/>
  <c r="X27" i="28"/>
  <c r="Y27" i="28"/>
  <c r="Z27" i="28"/>
  <c r="AA27" i="28"/>
  <c r="AB27" i="28"/>
  <c r="AC27" i="28"/>
  <c r="F27" i="28"/>
  <c r="F25" i="28"/>
  <c r="G22" i="28"/>
  <c r="H22" i="28"/>
  <c r="I22" i="28"/>
  <c r="J22" i="28"/>
  <c r="K22" i="28"/>
  <c r="L22" i="28"/>
  <c r="M22" i="28"/>
  <c r="N22" i="28"/>
  <c r="O22" i="28"/>
  <c r="P22" i="28"/>
  <c r="Q22" i="28"/>
  <c r="R22" i="28"/>
  <c r="S22" i="28"/>
  <c r="T22" i="28"/>
  <c r="U22" i="28"/>
  <c r="V22" i="28"/>
  <c r="W22" i="28"/>
  <c r="X22" i="28"/>
  <c r="Y22" i="28"/>
  <c r="Z22" i="28"/>
  <c r="AA22" i="28"/>
  <c r="AB22" i="28"/>
  <c r="AC22" i="28"/>
  <c r="G23" i="28"/>
  <c r="H23" i="28"/>
  <c r="I23" i="28"/>
  <c r="J23" i="28"/>
  <c r="L23" i="28"/>
  <c r="M23" i="28"/>
  <c r="T23" i="28"/>
  <c r="W23" i="28"/>
  <c r="X23" i="28"/>
  <c r="Y23" i="28"/>
  <c r="AC23" i="28"/>
  <c r="G24" i="28"/>
  <c r="H24" i="28"/>
  <c r="I24" i="28"/>
  <c r="J24" i="28"/>
  <c r="K24" i="28"/>
  <c r="L24" i="28"/>
  <c r="M24" i="28"/>
  <c r="N24" i="28"/>
  <c r="O24" i="28"/>
  <c r="P24" i="28"/>
  <c r="Q24" i="28"/>
  <c r="R24" i="28"/>
  <c r="S24" i="28"/>
  <c r="T24" i="28"/>
  <c r="U24" i="28"/>
  <c r="V24" i="28"/>
  <c r="W24" i="28"/>
  <c r="X24" i="28"/>
  <c r="Y24" i="28"/>
  <c r="Z24" i="28"/>
  <c r="AA24" i="28"/>
  <c r="AB24" i="28"/>
  <c r="AC24" i="28"/>
  <c r="F24" i="28"/>
  <c r="F22" i="28"/>
  <c r="G47" i="28"/>
  <c r="H47" i="28"/>
  <c r="I47" i="28"/>
  <c r="J47" i="28"/>
  <c r="K47" i="28"/>
  <c r="L47" i="28"/>
  <c r="M47" i="28"/>
  <c r="N47" i="28"/>
  <c r="O47" i="28"/>
  <c r="P47" i="28"/>
  <c r="Q47" i="28"/>
  <c r="R47" i="28"/>
  <c r="S47" i="28"/>
  <c r="T47" i="28"/>
  <c r="U47" i="28"/>
  <c r="V47" i="28"/>
  <c r="W47" i="28"/>
  <c r="X47" i="28"/>
  <c r="Y47" i="28"/>
  <c r="Z47" i="28"/>
  <c r="AA47" i="28"/>
  <c r="AB47" i="28"/>
  <c r="AC47" i="28"/>
  <c r="G48" i="28"/>
  <c r="H48" i="28"/>
  <c r="I48" i="28"/>
  <c r="J48" i="28"/>
  <c r="K48" i="28"/>
  <c r="L48" i="28"/>
  <c r="M48" i="28"/>
  <c r="N48" i="28"/>
  <c r="O48" i="28"/>
  <c r="P48" i="28"/>
  <c r="Q48" i="28"/>
  <c r="R48" i="28"/>
  <c r="S48" i="28"/>
  <c r="T48" i="28"/>
  <c r="U48" i="28"/>
  <c r="V48" i="28"/>
  <c r="W48" i="28"/>
  <c r="X48" i="28"/>
  <c r="Y48" i="28"/>
  <c r="Z48" i="28"/>
  <c r="AA48" i="28"/>
  <c r="AB48" i="28"/>
  <c r="AC48" i="28"/>
  <c r="G49" i="28"/>
  <c r="H49" i="28"/>
  <c r="I49" i="28"/>
  <c r="J49" i="28"/>
  <c r="K49" i="28"/>
  <c r="L49" i="28"/>
  <c r="M49" i="28"/>
  <c r="N49" i="28"/>
  <c r="O49" i="28"/>
  <c r="P49" i="28"/>
  <c r="Q49" i="28"/>
  <c r="R49" i="28"/>
  <c r="S49" i="28"/>
  <c r="T49" i="28"/>
  <c r="U49" i="28"/>
  <c r="V49" i="28"/>
  <c r="W49" i="28"/>
  <c r="X49" i="28"/>
  <c r="Y49" i="28"/>
  <c r="Z49" i="28"/>
  <c r="AA49" i="28"/>
  <c r="AB49" i="28"/>
  <c r="AC49" i="28"/>
  <c r="F48" i="28"/>
  <c r="F49" i="28"/>
  <c r="F47" i="28"/>
  <c r="G78" i="28"/>
  <c r="H78" i="28"/>
  <c r="I78" i="28"/>
  <c r="J78" i="28"/>
  <c r="K78" i="28"/>
  <c r="L78" i="28"/>
  <c r="M78" i="28"/>
  <c r="N78" i="28"/>
  <c r="O78" i="28"/>
  <c r="P78" i="28"/>
  <c r="Q78" i="28"/>
  <c r="R78" i="28"/>
  <c r="S78" i="28"/>
  <c r="T78" i="28"/>
  <c r="U78" i="28"/>
  <c r="V78" i="28"/>
  <c r="W78" i="28"/>
  <c r="X78" i="28"/>
  <c r="Y78" i="28"/>
  <c r="Z78" i="28"/>
  <c r="AA78" i="28"/>
  <c r="AB78" i="28"/>
  <c r="AC78" i="28"/>
  <c r="G79" i="28"/>
  <c r="H79" i="28"/>
  <c r="I79" i="28"/>
  <c r="J79" i="28"/>
  <c r="K79" i="28"/>
  <c r="L79" i="28"/>
  <c r="M79" i="28"/>
  <c r="N79" i="28"/>
  <c r="O79" i="28"/>
  <c r="P79" i="28"/>
  <c r="Q79" i="28"/>
  <c r="R79" i="28"/>
  <c r="S79" i="28"/>
  <c r="T79" i="28"/>
  <c r="U79" i="28"/>
  <c r="V79" i="28"/>
  <c r="W79" i="28"/>
  <c r="X79" i="28"/>
  <c r="Y79" i="28"/>
  <c r="Z79" i="28"/>
  <c r="AA79" i="28"/>
  <c r="AB79" i="28"/>
  <c r="AC79" i="28"/>
  <c r="G80" i="28"/>
  <c r="H80" i="28"/>
  <c r="I80" i="28"/>
  <c r="J80" i="28"/>
  <c r="K80" i="28"/>
  <c r="L80" i="28"/>
  <c r="M80" i="28"/>
  <c r="N80" i="28"/>
  <c r="O80" i="28"/>
  <c r="P80" i="28"/>
  <c r="Q80" i="28"/>
  <c r="R80" i="28"/>
  <c r="S80" i="28"/>
  <c r="T80" i="28"/>
  <c r="U80" i="28"/>
  <c r="V80" i="28"/>
  <c r="W80" i="28"/>
  <c r="X80" i="28"/>
  <c r="Y80" i="28"/>
  <c r="Z80" i="28"/>
  <c r="AA80" i="28"/>
  <c r="AB80" i="28"/>
  <c r="AC80" i="28"/>
  <c r="F79" i="28"/>
  <c r="F80" i="28"/>
  <c r="F78" i="28"/>
  <c r="G75" i="28"/>
  <c r="H75" i="28"/>
  <c r="I75" i="28"/>
  <c r="J75" i="28"/>
  <c r="K75" i="28"/>
  <c r="L75" i="28"/>
  <c r="M75" i="28"/>
  <c r="N75" i="28"/>
  <c r="O75" i="28"/>
  <c r="P75" i="28"/>
  <c r="Q75" i="28"/>
  <c r="R75" i="28"/>
  <c r="S75" i="28"/>
  <c r="T75" i="28"/>
  <c r="U75" i="28"/>
  <c r="V75" i="28"/>
  <c r="W75" i="28"/>
  <c r="X75" i="28"/>
  <c r="Y75" i="28"/>
  <c r="Z75" i="28"/>
  <c r="AA75" i="28"/>
  <c r="AB75" i="28"/>
  <c r="AC75" i="28"/>
  <c r="G76" i="28"/>
  <c r="H76" i="28"/>
  <c r="I76" i="28"/>
  <c r="J76" i="28"/>
  <c r="K76" i="28"/>
  <c r="L76" i="28"/>
  <c r="M76" i="28"/>
  <c r="N76" i="28"/>
  <c r="O76" i="28"/>
  <c r="P76" i="28"/>
  <c r="Q76" i="28"/>
  <c r="R76" i="28"/>
  <c r="S76" i="28"/>
  <c r="T76" i="28"/>
  <c r="U76" i="28"/>
  <c r="V76" i="28"/>
  <c r="W76" i="28"/>
  <c r="X76" i="28"/>
  <c r="Y76" i="28"/>
  <c r="Z76" i="28"/>
  <c r="AA76" i="28"/>
  <c r="AB76" i="28"/>
  <c r="AC76" i="28"/>
  <c r="G77" i="28"/>
  <c r="H77" i="28"/>
  <c r="I77" i="28"/>
  <c r="J77" i="28"/>
  <c r="K77" i="28"/>
  <c r="L77" i="28"/>
  <c r="M77" i="28"/>
  <c r="N77" i="28"/>
  <c r="O77" i="28"/>
  <c r="P77" i="28"/>
  <c r="Q77" i="28"/>
  <c r="R77" i="28"/>
  <c r="S77" i="28"/>
  <c r="T77" i="28"/>
  <c r="U77" i="28"/>
  <c r="V77" i="28"/>
  <c r="W77" i="28"/>
  <c r="X77" i="28"/>
  <c r="Y77" i="28"/>
  <c r="Z77" i="28"/>
  <c r="AA77" i="28"/>
  <c r="AB77" i="28"/>
  <c r="AC77" i="28"/>
  <c r="F76" i="28"/>
  <c r="F77" i="28"/>
  <c r="F75" i="28"/>
  <c r="A25" i="28"/>
  <c r="A22" i="28"/>
  <c r="A19" i="28"/>
  <c r="A16" i="28"/>
  <c r="A13" i="28"/>
  <c r="A10" i="28"/>
  <c r="A7" i="28"/>
  <c r="A47" i="28"/>
  <c r="A44" i="28"/>
  <c r="A41" i="28"/>
  <c r="A38" i="28"/>
  <c r="A35" i="28"/>
  <c r="A53" i="28" s="1"/>
  <c r="A32" i="28"/>
  <c r="A50" i="28" s="1"/>
  <c r="B47" i="28"/>
  <c r="B44" i="28"/>
  <c r="B41" i="28"/>
  <c r="B38" i="28"/>
  <c r="B35" i="28"/>
  <c r="B53" i="28" s="1"/>
  <c r="B32" i="28"/>
  <c r="B50" i="28" s="1"/>
  <c r="A78" i="28"/>
  <c r="A75" i="28"/>
  <c r="A72" i="28"/>
  <c r="A69" i="28"/>
  <c r="A66" i="28"/>
  <c r="A63" i="28"/>
  <c r="A60" i="28"/>
  <c r="A81" i="28" s="1"/>
  <c r="A3" i="30"/>
  <c r="B25" i="28"/>
  <c r="B22" i="28"/>
  <c r="B19" i="28"/>
  <c r="B16" i="28"/>
  <c r="B13" i="28"/>
  <c r="B10" i="28"/>
  <c r="B7" i="28"/>
  <c r="F23" i="28" l="1"/>
  <c r="Z23" i="28"/>
  <c r="U23" i="28"/>
  <c r="R23" i="28"/>
  <c r="V23" i="28"/>
  <c r="O23" i="28"/>
  <c r="Q23" i="28"/>
  <c r="P23" i="28"/>
  <c r="N23" i="28"/>
  <c r="K23" i="28"/>
  <c r="S23" i="28"/>
  <c r="I25" i="1" a="1"/>
  <c r="I25" i="1" s="1"/>
  <c r="AB26" i="28"/>
  <c r="AA26" i="28"/>
  <c r="J1" i="21"/>
  <c r="A1" i="21"/>
  <c r="B21" i="9" l="1"/>
  <c r="C14" i="9" s="1"/>
  <c r="A1" i="14" l="1"/>
  <c r="B83" i="1"/>
  <c r="B84" i="1" l="1"/>
  <c r="E81" i="1" l="1"/>
  <c r="E82" i="1"/>
  <c r="E84" i="1" l="1"/>
  <c r="I4" i="1" s="1"/>
  <c r="J4" i="1" l="1"/>
  <c r="K4" i="1"/>
  <c r="L4" i="1"/>
  <c r="M4" i="1"/>
  <c r="N4" i="1"/>
  <c r="O4" i="1"/>
  <c r="P4" i="1"/>
  <c r="Q4" i="1"/>
  <c r="R4" i="1"/>
  <c r="S4" i="1"/>
  <c r="T4" i="1"/>
  <c r="U4" i="1"/>
  <c r="V4" i="1"/>
  <c r="W4" i="1"/>
  <c r="X4" i="1"/>
  <c r="X75" i="1"/>
  <c r="W75" i="1"/>
  <c r="V75" i="1"/>
  <c r="U75" i="1"/>
  <c r="T75" i="1"/>
  <c r="S75" i="1"/>
  <c r="R75" i="1"/>
  <c r="Q75" i="1"/>
  <c r="P75" i="1"/>
  <c r="O75" i="1"/>
  <c r="N75" i="1"/>
  <c r="M75" i="1"/>
  <c r="L75" i="1"/>
  <c r="K75" i="1"/>
  <c r="J75" i="1"/>
  <c r="I75" i="1"/>
  <c r="I7" i="1" l="1" a="1"/>
  <c r="I7" i="1" s="1"/>
  <c r="A1" i="13"/>
  <c r="I5" i="18"/>
  <c r="C5" i="18"/>
  <c r="H5" i="18" s="1"/>
  <c r="A5" i="18"/>
  <c r="AB9" i="21" l="1"/>
  <c r="A11" i="30" l="1"/>
  <c r="A7" i="30"/>
  <c r="J15" i="1"/>
  <c r="K15" i="1"/>
  <c r="K16" i="1" s="1"/>
  <c r="L15" i="1"/>
  <c r="L16" i="1" s="1"/>
  <c r="M15" i="1"/>
  <c r="M16" i="1" s="1"/>
  <c r="N15" i="1"/>
  <c r="N16" i="1" s="1"/>
  <c r="O15" i="1"/>
  <c r="O16" i="1" s="1"/>
  <c r="P15" i="1"/>
  <c r="P16" i="1" s="1"/>
  <c r="Q15" i="1"/>
  <c r="Q16" i="1" s="1"/>
  <c r="R15" i="1"/>
  <c r="R16" i="1" s="1"/>
  <c r="S15" i="1"/>
  <c r="S16" i="1" s="1"/>
  <c r="T15" i="1"/>
  <c r="T16" i="1" s="1"/>
  <c r="U15" i="1"/>
  <c r="U16" i="1" s="1"/>
  <c r="V15" i="1"/>
  <c r="V16" i="1" s="1"/>
  <c r="W15" i="1"/>
  <c r="W16" i="1" s="1"/>
  <c r="X15" i="1"/>
  <c r="X16" i="1" s="1"/>
  <c r="J9" i="1"/>
  <c r="K9" i="1"/>
  <c r="L9" i="1"/>
  <c r="M9" i="1"/>
  <c r="N9" i="1"/>
  <c r="O9" i="1"/>
  <c r="P9" i="1"/>
  <c r="Q9" i="1"/>
  <c r="R9" i="1"/>
  <c r="S9" i="1"/>
  <c r="T9" i="1"/>
  <c r="U9" i="1"/>
  <c r="V9" i="1"/>
  <c r="W9" i="1"/>
  <c r="X9" i="1"/>
  <c r="I9" i="1"/>
  <c r="A1" i="28"/>
  <c r="I13" i="1" l="1" a="1"/>
  <c r="I13" i="1" s="1"/>
  <c r="J16" i="1"/>
  <c r="I19" i="1" a="1"/>
  <c r="I19" i="1" s="1"/>
  <c r="J34" i="1"/>
  <c r="K34" i="1"/>
  <c r="L34" i="1"/>
  <c r="M34" i="1"/>
  <c r="N34" i="1"/>
  <c r="O34" i="1"/>
  <c r="P34" i="1"/>
  <c r="Q34" i="1"/>
  <c r="R34" i="1"/>
  <c r="S34" i="1"/>
  <c r="T34" i="1"/>
  <c r="U34" i="1"/>
  <c r="V34" i="1"/>
  <c r="W34" i="1"/>
  <c r="X34" i="1"/>
  <c r="J28" i="1"/>
  <c r="K28" i="1"/>
  <c r="L28" i="1"/>
  <c r="M28" i="1"/>
  <c r="N28" i="1"/>
  <c r="O28" i="1"/>
  <c r="P28" i="1"/>
  <c r="Q28" i="1"/>
  <c r="R28" i="1"/>
  <c r="S28" i="1"/>
  <c r="T28" i="1"/>
  <c r="U28" i="1"/>
  <c r="V28" i="1"/>
  <c r="W28" i="1"/>
  <c r="X28" i="1"/>
  <c r="I34" i="1"/>
  <c r="I28" i="1"/>
  <c r="J38" i="1"/>
  <c r="K38" i="1"/>
  <c r="L38" i="1"/>
  <c r="M38" i="1"/>
  <c r="N38" i="1"/>
  <c r="O38" i="1"/>
  <c r="P38" i="1"/>
  <c r="Q38" i="1"/>
  <c r="R38" i="1"/>
  <c r="S38" i="1"/>
  <c r="T38" i="1"/>
  <c r="U38" i="1"/>
  <c r="V38" i="1"/>
  <c r="W38" i="1"/>
  <c r="X38" i="1"/>
  <c r="I38" i="1"/>
  <c r="J36" i="1"/>
  <c r="K36" i="1"/>
  <c r="L36" i="1"/>
  <c r="M36" i="1"/>
  <c r="N36" i="1"/>
  <c r="O36" i="1"/>
  <c r="P36" i="1"/>
  <c r="Q36" i="1"/>
  <c r="R36" i="1"/>
  <c r="S36" i="1"/>
  <c r="T36" i="1"/>
  <c r="U36" i="1"/>
  <c r="V36" i="1"/>
  <c r="W36" i="1"/>
  <c r="X36" i="1"/>
  <c r="I36" i="1"/>
  <c r="I31" i="1" l="1" a="1"/>
  <c r="I31" i="1" s="1"/>
  <c r="I37" i="1" a="1"/>
  <c r="I37" i="1" s="1"/>
  <c r="K5" i="13"/>
  <c r="D11" i="33" s="1"/>
  <c r="F11" i="33" s="1"/>
  <c r="G11" i="33" s="1"/>
  <c r="I4" i="18"/>
  <c r="I3" i="18"/>
  <c r="B5" i="18" l="1"/>
  <c r="G5" i="18" s="1"/>
  <c r="J5" i="18" s="1"/>
  <c r="G10" i="9" l="1"/>
  <c r="G14" i="9"/>
  <c r="C12" i="9" l="1"/>
  <c r="G12" i="9" s="1"/>
  <c r="C35" i="25"/>
  <c r="C34" i="25"/>
  <c r="C33" i="25"/>
  <c r="A1" i="22"/>
  <c r="A1" i="27"/>
  <c r="N1" i="20"/>
  <c r="A1" i="29"/>
  <c r="A1" i="9"/>
  <c r="A1" i="25"/>
  <c r="A1" i="18"/>
  <c r="A1" i="30"/>
  <c r="A1" i="1"/>
  <c r="I5" i="13"/>
  <c r="I3" i="13"/>
  <c r="H4" i="13" l="1"/>
  <c r="C10" i="33" s="1"/>
  <c r="K3" i="13"/>
  <c r="D9" i="33" l="1"/>
  <c r="F9" i="33" s="1"/>
  <c r="K4" i="13"/>
  <c r="H6" i="13"/>
  <c r="C4" i="18"/>
  <c r="H4" i="18" s="1"/>
  <c r="I4" i="13"/>
  <c r="I6" i="13" s="1"/>
  <c r="G4" i="13"/>
  <c r="D10" i="33" l="1"/>
  <c r="F10" i="33" s="1"/>
  <c r="G10" i="33" s="1"/>
  <c r="K6" i="13"/>
  <c r="F12" i="33"/>
  <c r="F13" i="33"/>
  <c r="G9" i="33"/>
  <c r="B4" i="18"/>
  <c r="G4" i="18" s="1"/>
  <c r="J4" i="18" s="1"/>
  <c r="B22" i="9"/>
  <c r="G3" i="13"/>
  <c r="G5" i="13"/>
  <c r="C3" i="18"/>
  <c r="H3" i="18" s="1"/>
  <c r="F24" i="33" l="1"/>
  <c r="G24" i="33" s="1"/>
  <c r="I24" i="33" s="1"/>
  <c r="F25" i="33"/>
  <c r="G25" i="33" s="1"/>
  <c r="I25" i="33" s="1"/>
  <c r="F26" i="33"/>
  <c r="G26" i="33" s="1"/>
  <c r="I26" i="33" s="1"/>
  <c r="F27" i="33"/>
  <c r="G27" i="33" s="1"/>
  <c r="I27" i="33" s="1"/>
  <c r="F28" i="33"/>
  <c r="G28" i="33" s="1"/>
  <c r="I28" i="33" s="1"/>
  <c r="F29" i="33"/>
  <c r="G29" i="33" s="1"/>
  <c r="I29" i="33" s="1"/>
  <c r="F30" i="33"/>
  <c r="G30" i="33" s="1"/>
  <c r="I30" i="33" s="1"/>
  <c r="F31" i="33"/>
  <c r="G31" i="33" s="1"/>
  <c r="I31" i="33" s="1"/>
  <c r="F32" i="33"/>
  <c r="G32" i="33" s="1"/>
  <c r="I32" i="33" s="1"/>
  <c r="F33" i="33"/>
  <c r="G33" i="33" s="1"/>
  <c r="I33" i="33" s="1"/>
  <c r="F34" i="33"/>
  <c r="G34" i="33" s="1"/>
  <c r="I34" i="33" s="1"/>
  <c r="F35" i="33"/>
  <c r="G35" i="33" s="1"/>
  <c r="I35" i="33" s="1"/>
  <c r="F36" i="33"/>
  <c r="G36" i="33" s="1"/>
  <c r="I36" i="33" s="1"/>
  <c r="F37" i="33"/>
  <c r="G37" i="33" s="1"/>
  <c r="I37" i="33" s="1"/>
  <c r="F38" i="33"/>
  <c r="G38" i="33" s="1"/>
  <c r="I38" i="33" s="1"/>
  <c r="C24" i="33"/>
  <c r="D24" i="33" s="1"/>
  <c r="E24" i="33" s="1"/>
  <c r="C25" i="33"/>
  <c r="D25" i="33" s="1"/>
  <c r="E25" i="33" s="1"/>
  <c r="C26" i="33"/>
  <c r="D26" i="33" s="1"/>
  <c r="E26" i="33" s="1"/>
  <c r="C27" i="33"/>
  <c r="D27" i="33" s="1"/>
  <c r="E27" i="33" s="1"/>
  <c r="C28" i="33"/>
  <c r="D28" i="33" s="1"/>
  <c r="E28" i="33" s="1"/>
  <c r="C29" i="33"/>
  <c r="D29" i="33" s="1"/>
  <c r="E29" i="33" s="1"/>
  <c r="C30" i="33"/>
  <c r="D30" i="33" s="1"/>
  <c r="E30" i="33" s="1"/>
  <c r="C31" i="33"/>
  <c r="D31" i="33" s="1"/>
  <c r="E31" i="33" s="1"/>
  <c r="C32" i="33"/>
  <c r="D32" i="33" s="1"/>
  <c r="E32" i="33" s="1"/>
  <c r="C33" i="33"/>
  <c r="D33" i="33" s="1"/>
  <c r="E33" i="33" s="1"/>
  <c r="C34" i="33"/>
  <c r="D34" i="33" s="1"/>
  <c r="E34" i="33" s="1"/>
  <c r="C35" i="33"/>
  <c r="D35" i="33" s="1"/>
  <c r="E35" i="33" s="1"/>
  <c r="C36" i="33"/>
  <c r="D36" i="33" s="1"/>
  <c r="E36" i="33" s="1"/>
  <c r="C37" i="33"/>
  <c r="D37" i="33" s="1"/>
  <c r="E37" i="33" s="1"/>
  <c r="C38" i="33"/>
  <c r="D38" i="33" s="1"/>
  <c r="E38" i="33" s="1"/>
  <c r="F23" i="33"/>
  <c r="G23" i="33" s="1"/>
  <c r="I23" i="33" s="1"/>
  <c r="C23" i="33"/>
  <c r="D23" i="33" s="1"/>
  <c r="E23" i="33" s="1"/>
  <c r="H37" i="33"/>
  <c r="H35" i="33"/>
  <c r="H38" i="33"/>
  <c r="H24" i="33"/>
  <c r="H36" i="33"/>
  <c r="H32" i="33"/>
  <c r="H27" i="33"/>
  <c r="H30" i="33"/>
  <c r="H33" i="33"/>
  <c r="H23" i="33"/>
  <c r="H26" i="33"/>
  <c r="H29" i="33"/>
  <c r="H25" i="33"/>
  <c r="H28" i="33"/>
  <c r="H31" i="33"/>
  <c r="H34" i="33"/>
  <c r="G6" i="13"/>
  <c r="C13" i="9"/>
  <c r="G13" i="9" s="1"/>
  <c r="G16" i="9" s="1"/>
  <c r="B3" i="9" s="1"/>
  <c r="C11" i="9"/>
  <c r="G11" i="9" s="1"/>
  <c r="G15" i="9" s="1"/>
  <c r="N3" i="20"/>
  <c r="A4" i="18"/>
  <c r="A3" i="18"/>
  <c r="A3" i="9" l="1"/>
  <c r="G17" i="9"/>
  <c r="C3" i="9"/>
  <c r="B3" i="18"/>
  <c r="G3" i="18" s="1"/>
  <c r="J3" i="18" s="1"/>
  <c r="AB4" i="21" l="1"/>
  <c r="AB5" i="21"/>
  <c r="AB6" i="21"/>
  <c r="AB7" i="2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1">
    <bk>
      <extLst>
        <ext uri="{3e2802c4-a4d2-4d8b-9148-e3be6c30e623}">
          <xlrd:rvb i="0"/>
        </ext>
      </extLst>
    </bk>
  </futureMetadata>
  <futureMetadata name="XLDAPR" count="1">
    <bk>
      <extLst>
        <ext uri="{bdbb8cdc-fa1e-496e-a857-3c3f30c029c3}">
          <xda:dynamicArrayProperties fDynamic="1" fCollapsed="0"/>
        </ext>
      </extLst>
    </bk>
  </futureMetadata>
  <cellMetadata count="1">
    <bk>
      <rc t="2" v="0"/>
    </bk>
  </cellMetadata>
  <valueMetadata count="1">
    <bk>
      <rc t="1" v="0"/>
    </bk>
  </valueMetadata>
</metadata>
</file>

<file path=xl/sharedStrings.xml><?xml version="1.0" encoding="utf-8"?>
<sst xmlns="http://schemas.openxmlformats.org/spreadsheetml/2006/main" count="1139" uniqueCount="657">
  <si>
    <t>Data Sources</t>
  </si>
  <si>
    <t>Dataset</t>
  </si>
  <si>
    <t>Dodge 2023</t>
  </si>
  <si>
    <t>CEUS 2022</t>
  </si>
  <si>
    <t>CBECS 2018</t>
  </si>
  <si>
    <t>ComStock 2023</t>
  </si>
  <si>
    <t>Prototype</t>
  </si>
  <si>
    <r>
      <t>CEC prototype</t>
    </r>
    <r>
      <rPr>
        <sz val="10"/>
        <rFont val="Arial"/>
        <family val="2"/>
      </rPr>
      <t xml:space="preserve"> (CBECC 2022.3.1)</t>
    </r>
  </si>
  <si>
    <t>https://bees.noresco.com/software2022.html</t>
  </si>
  <si>
    <t xml:space="preserve"> </t>
  </si>
  <si>
    <t>PNNL prototype (90.1-2022)</t>
  </si>
  <si>
    <t>https://www.energycodes.gov/prototype-building-models#Commercial</t>
  </si>
  <si>
    <t>DEER prototype (June 2023)</t>
  </si>
  <si>
    <t>https://github.com/sound-data/DEER-Prototypes-EnergyPlus</t>
  </si>
  <si>
    <t>Codes</t>
  </si>
  <si>
    <t>Title 24, part 6, referred to as T24 (1986, 1992, 2001, 2007, 2013, 2016, 2019, 2022, 2025)</t>
  </si>
  <si>
    <t>ASHRAE 90.1 (2022)</t>
  </si>
  <si>
    <t>CFR Title 10 (2009)</t>
  </si>
  <si>
    <t>https://www.govinfo.gov/content/pkg/FR-2009-03-23/pdf/FR-2009-03-23.pdf</t>
  </si>
  <si>
    <t>CFR Title 10 ( 2013)</t>
  </si>
  <si>
    <t>https://www.govinfo.gov/content/pkg/CFR-2013-title10-vol3/pdf/CFR-2013-title10-vol3-part431.pdf</t>
  </si>
  <si>
    <t>CFR Title 10 ( 2024)</t>
  </si>
  <si>
    <t>https://www.govinfo.gov/content/pkg/CFR-2024-title10-vol3/pdf/CFR-2024-title10-vol3-part431-subpartF.pdf</t>
  </si>
  <si>
    <t>Others</t>
  </si>
  <si>
    <t>ACM (2013, 2019, 2022, 2025)</t>
  </si>
  <si>
    <t>Title 24, 2022 - Appendix 5.4A and Appendix 5.4B</t>
  </si>
  <si>
    <t>https://www.energy.ca.gov/publications/2022/2022-nonresidential-and-multifamily-alternative-calculation-method-reference</t>
  </si>
  <si>
    <t xml:space="preserve">2022 Reduced infiltration CASE report </t>
  </si>
  <si>
    <t>https://title24stakeholders.com/wp-content/uploads/2020/10/2022-T24-Final-CASE-Report_Reduce-Infiltration.pdf</t>
  </si>
  <si>
    <t>2019 Outdoor Lighting CASE Report</t>
  </si>
  <si>
    <t>https://title24stakeholders.com/wp-content/uploads/2016/10/T24-2019-CASE-Study-Results-Report-Outdoor-Sources_Final_with-Attachments.pdf</t>
  </si>
  <si>
    <t>PNNL 20405, 2011</t>
  </si>
  <si>
    <t>https://www.pnnl.gov/main/publications/external/technical_reports/PNNL-20405.pdf</t>
  </si>
  <si>
    <t>Air leakage Memo, NORESCO, 2025</t>
  </si>
  <si>
    <t>https://2050partners.sharepoint.com/:w:/r/sites/CalBEMCollaborativeEfforts/_layouts/15/Doc.aspx?sourcedoc=%7B3BEF8F74-7FAC-44F2-A70C-D76617660066%7D&amp;file=Infiltration_rate_report_14May2025-Short-Version.docx&amp;action=default&amp;mobileredirect=true</t>
  </si>
  <si>
    <t>Proposed Updates to Equipment Power Densities and Building Schedules for the 2028 Energy Code, referred to as "Plug load and schedules project with CEC, 2025" (Docket Number =25-BSTD-03  &amp; TN=265693)</t>
  </si>
  <si>
    <t>https://efiling.energy.ca.gov/GetDocument.aspx?tn=265693&amp;DocumentContentId=102545</t>
  </si>
  <si>
    <t>PNNL 17056, 2007: Technical Support Document: The Development of the Advanced Energy Design Guide for Small Warehouse and Self-Storage Buildings</t>
  </si>
  <si>
    <t>https://www.pnnl.gov/main/publications/external/technical_reports/PNNL-17056.pdf</t>
  </si>
  <si>
    <t>NEEA, CBSA-4-2019, "Commercial Building Stock Assessment 4 (2019) Final Report ", by  CADMUS, Aaron James  in 2020.</t>
  </si>
  <si>
    <t>https://neea.org/wp-content/uploads/2025/03/CBSA-4-2019-Final-Report.pdf</t>
  </si>
  <si>
    <t>Water Heater</t>
  </si>
  <si>
    <t>ENERGY STAR certified commercial water heaters (gas storage input ≥76 kBtu/h; ES tank sizes)</t>
  </si>
  <si>
    <t>ENERGY STAR commercial WH dataset (download)</t>
  </si>
  <si>
    <t>ENERGY STAR commercial WH eligibility (gas storage &gt;75 kBtu/h)</t>
  </si>
  <si>
    <t>Grainger gas tank water heaters (sizes below ES commercial, e.g. 30–75 kBtu/h)</t>
  </si>
  <si>
    <t>Grainger electric tank water heaters (kW ladder, tank gallons)</t>
  </si>
  <si>
    <t>ES commercial electric = heat pumps only; not used for resistance tank list</t>
  </si>
  <si>
    <t>Notes</t>
  </si>
  <si>
    <t>Warehouse</t>
  </si>
  <si>
    <t>A mixed use distribution warehouse with conditioned fine storage for temperature sensitive goods and a bulk storage for general inventory that only needs freeze protection.</t>
  </si>
  <si>
    <t xml:space="preserve">Construction rate based on Dodge 2023 </t>
  </si>
  <si>
    <t xml:space="preserve">Warehouse (STC:3) </t>
  </si>
  <si>
    <t>Year</t>
  </si>
  <si>
    <t>Total floor area (k ft2)</t>
  </si>
  <si>
    <t>Count</t>
  </si>
  <si>
    <t>Characteristic</t>
  </si>
  <si>
    <t>Value</t>
  </si>
  <si>
    <t>Building Type</t>
  </si>
  <si>
    <t>Building Category</t>
  </si>
  <si>
    <t>Nonresidential</t>
  </si>
  <si>
    <t>Version</t>
  </si>
  <si>
    <t>v2-0</t>
  </si>
  <si>
    <t>Vintages</t>
  </si>
  <si>
    <t>4 Vintages: Pre-1978 , 1978-1997 ,1998-2007 , 2008-2018
New Construction (2019+)</t>
  </si>
  <si>
    <r>
      <rPr>
        <sz val="10"/>
        <color rgb="FF000000"/>
        <rFont val="Arial"/>
        <family val="2"/>
      </rPr>
      <t xml:space="preserve">Based on the vintage bin analysis. 
</t>
    </r>
    <r>
      <rPr>
        <sz val="10"/>
        <color rgb="FF000000"/>
        <rFont val="Arial"/>
        <family val="2"/>
      </rPr>
      <t>A summary of the findings is presented in the following paper, with a link provided in the Notes tab:
Yousefi, F., Athalye, R. (2025). “Determining Vintage Bins for Prototype Development: An Analysis of California Commercial Buildings.” ASHRAE Annual Conference.</t>
    </r>
  </si>
  <si>
    <t>Shape</t>
  </si>
  <si>
    <t>Same as CBECC 2022</t>
  </si>
  <si>
    <t>Total Floor Area (ft²)</t>
  </si>
  <si>
    <t>52,045 (330 ft * 150 ft plus 2,550 ft² floor , see Zones tab)
The space above the office zone (lower-right zone, 2,550 ft²) is designated as storage and is part of the Fine Storage zone.</t>
  </si>
  <si>
    <t>Same as CBECC 2022 (supported by Dodge 2023)</t>
  </si>
  <si>
    <t>Aspect Ratio</t>
  </si>
  <si>
    <t>Number of Floors</t>
  </si>
  <si>
    <t>Roof type</t>
  </si>
  <si>
    <t>Flat</t>
  </si>
  <si>
    <t>WWR</t>
  </si>
  <si>
    <t>Shading Geometry</t>
  </si>
  <si>
    <t>No shades</t>
  </si>
  <si>
    <t>Floor to floor height (ft)</t>
  </si>
  <si>
    <t>Floor to ceiling height (ft)</t>
  </si>
  <si>
    <t>14 (office)</t>
  </si>
  <si>
    <t>Glazing sill height (ft)</t>
  </si>
  <si>
    <t>3 (Top of the window is 8 ft with 5 ft high glass)</t>
  </si>
  <si>
    <t>Geometry</t>
  </si>
  <si>
    <t>Background Data [To be deleted prior to publication]</t>
  </si>
  <si>
    <t>Existing public prototypes</t>
  </si>
  <si>
    <t>PNNL</t>
  </si>
  <si>
    <t>CEC</t>
  </si>
  <si>
    <t>CPUC Storage conditioned</t>
  </si>
  <si>
    <r>
      <rPr>
        <b/>
        <sz val="10"/>
        <color rgb="FF000000"/>
        <rFont val="Arial"/>
        <family val="2"/>
      </rPr>
      <t xml:space="preserve">CPUC  Refrigerated Warehouse </t>
    </r>
    <r>
      <rPr>
        <b/>
        <sz val="10"/>
        <color rgb="FF000000"/>
        <rFont val="Arial"/>
        <family val="2"/>
      </rPr>
      <t>(not under warehouse)</t>
    </r>
  </si>
  <si>
    <t>Roof area (ft²)</t>
  </si>
  <si>
    <t>Height (ft)</t>
  </si>
  <si>
    <t>People</t>
  </si>
  <si>
    <t>200 ft²/person Office</t>
  </si>
  <si>
    <t>0.005 person/ft² Office</t>
  </si>
  <si>
    <t>0.001 person/ft² North storage</t>
  </si>
  <si>
    <t>30 people Fine storage</t>
  </si>
  <si>
    <t>0.001 person/ft² Fine storage</t>
  </si>
  <si>
    <t>0.001 person/ft² Soth storage</t>
  </si>
  <si>
    <t>69 people Bulk storage</t>
  </si>
  <si>
    <t>0.001 person/ft² Bulk storage</t>
  </si>
  <si>
    <t>Lights (W/ft²)</t>
  </si>
  <si>
    <t>0.57 Office</t>
  </si>
  <si>
    <t>0.6 Office</t>
  </si>
  <si>
    <t>0.4 North storage</t>
  </si>
  <si>
    <t>0.62 Fine storage</t>
  </si>
  <si>
    <t>0.4 Fine storage</t>
  </si>
  <si>
    <t>0.4 South storage</t>
  </si>
  <si>
    <t>0.30 Bulk storage</t>
  </si>
  <si>
    <t>0.4 Bulk storage</t>
  </si>
  <si>
    <t>Ext lights (W)</t>
  </si>
  <si>
    <t>119 Office</t>
  </si>
  <si>
    <t>-</t>
  </si>
  <si>
    <t>2,955 Fine storage</t>
  </si>
  <si>
    <t>694 Bulk storage</t>
  </si>
  <si>
    <t>Electric Equipment</t>
  </si>
  <si>
    <t>1,912  W Office</t>
  </si>
  <si>
    <t>1.5 W/ft² Office</t>
  </si>
  <si>
    <t>0.2 W/ft² North storage</t>
  </si>
  <si>
    <t>0.2 W/ft² Fine storage</t>
  </si>
  <si>
    <t>0.2 W/ft² South storage</t>
  </si>
  <si>
    <t>8,200 Bulk  W storage</t>
  </si>
  <si>
    <t>0.2 W/ft² Bulk storage</t>
  </si>
  <si>
    <t>Heating Sizing Factor</t>
  </si>
  <si>
    <t>H&amp;C: 1.2</t>
  </si>
  <si>
    <t>H&amp;C:1</t>
  </si>
  <si>
    <t>H: 2.5 , C: 2.3</t>
  </si>
  <si>
    <t>HVAC</t>
  </si>
  <si>
    <t>Office: CAV no reheat, DX cooling coil: multi speed, Gas heating coil</t>
  </si>
  <si>
    <t>Office (sys7or3b): VAV+DX cooling coil+DX heating coil +Electric Heating coil</t>
  </si>
  <si>
    <t>MZ VAV Reheat + 1 Water cooling  coil +1 Water heating  coil+ 2 water heating coil for Reheat at terminal units, serving 2 zones</t>
  </si>
  <si>
    <t>Fine storage; CAV no reheat, DX cooling coil: multi speed, Gas heating coil</t>
  </si>
  <si>
    <t>Fine storage (sys7or3a):VAV+DX cooling coil: Gas Heating coil</t>
  </si>
  <si>
    <t>- Boiler</t>
  </si>
  <si>
    <t>Bulk storage: CAV+ Unit heater (Gas heating coil)</t>
  </si>
  <si>
    <t>Bulk storage (sys9): CAV+Gas Heating coil</t>
  </si>
  <si>
    <t>-Chiller</t>
  </si>
  <si>
    <t xml:space="preserve"> + (DX coil:multi speed high temperature Radiant (Always Off))</t>
  </si>
  <si>
    <t>Thermostat setpoint (F)</t>
  </si>
  <si>
    <t>Office: 70H , 75C (setback: 60H , 85C)</t>
  </si>
  <si>
    <t>North: 70H, 75C (setback: 60H , 85C)</t>
  </si>
  <si>
    <r>
      <t xml:space="preserve">Fine Storage: </t>
    </r>
    <r>
      <rPr>
        <sz val="10"/>
        <color rgb="FF000000"/>
        <rFont val="Arial"/>
        <family val="2"/>
      </rPr>
      <t>60H, 80C</t>
    </r>
  </si>
  <si>
    <r>
      <t>Fine Storage:</t>
    </r>
    <r>
      <rPr>
        <sz val="10"/>
        <color rgb="FF000000"/>
        <rFont val="Arial"/>
        <family val="2"/>
      </rPr>
      <t>70H , 75C</t>
    </r>
    <r>
      <rPr>
        <sz val="10"/>
        <color rgb="FF000000"/>
        <rFont val="Arial"/>
        <family val="2"/>
      </rPr>
      <t xml:space="preserve"> (setback: 60H , 85C)</t>
    </r>
  </si>
  <si>
    <r>
      <t xml:space="preserve">Bulk storage: </t>
    </r>
    <r>
      <rPr>
        <sz val="10"/>
        <color rgb="FF000000"/>
        <rFont val="Arial"/>
        <family val="2"/>
      </rPr>
      <t>50H</t>
    </r>
  </si>
  <si>
    <r>
      <t xml:space="preserve">Bulk storage: </t>
    </r>
    <r>
      <rPr>
        <sz val="10"/>
        <color rgb="FF000000"/>
        <rFont val="Arial"/>
        <family val="2"/>
      </rPr>
      <t>70H</t>
    </r>
    <r>
      <rPr>
        <sz val="10"/>
        <color rgb="FF000000"/>
        <rFont val="Arial"/>
        <family val="2"/>
      </rPr>
      <t xml:space="preserve"> (setback: 60H)</t>
    </r>
  </si>
  <si>
    <t>ZoneVentilation:design flow rate</t>
  </si>
  <si>
    <t>80,000 cfm exhaust rate Bulk storage</t>
  </si>
  <si>
    <r>
      <t>2,000  cfm natural ventilation rate Bulk storage (=</t>
    </r>
    <r>
      <rPr>
        <sz val="10"/>
        <color rgb="FF8238BA"/>
        <rFont val="Arial"/>
        <family val="2"/>
      </rPr>
      <t>0.06</t>
    </r>
    <r>
      <rPr>
        <sz val="10"/>
        <color rgb="FF000000"/>
        <rFont val="Arial"/>
        <family val="2"/>
      </rPr>
      <t>*34500 Bulk area)</t>
    </r>
  </si>
  <si>
    <t>Design specification: Outdoor Air (Cfm/ft²)</t>
  </si>
  <si>
    <t>0.085 Office</t>
  </si>
  <si>
    <t>0.15 Office</t>
  </si>
  <si>
    <t>0.15 North storage</t>
  </si>
  <si>
    <t>0.060 Fine storage</t>
  </si>
  <si>
    <t>0.15 Fine storage</t>
  </si>
  <si>
    <t>0.15 South storage</t>
  </si>
  <si>
    <r>
      <t>0.060</t>
    </r>
    <r>
      <rPr>
        <sz val="10"/>
        <color rgb="FF00B050"/>
        <rFont val="Arial"/>
        <family val="2"/>
      </rPr>
      <t xml:space="preserve"> Bulk storage</t>
    </r>
    <r>
      <rPr>
        <sz val="10"/>
        <color rgb="FF8238BA"/>
        <rFont val="Arial"/>
        <family val="2"/>
      </rPr>
      <t xml:space="preserve"> (for sizing only)</t>
    </r>
  </si>
  <si>
    <t>0.15 Bulk storage</t>
  </si>
  <si>
    <t>Airloop:HVAC</t>
  </si>
  <si>
    <t>2 units for Office and Fine storage</t>
  </si>
  <si>
    <t>3 units for 3 zones</t>
  </si>
  <si>
    <t>1 unit serving 2 zones</t>
  </si>
  <si>
    <t>Building</t>
  </si>
  <si>
    <t>Space/Thermal Zone</t>
  </si>
  <si>
    <r>
      <rPr>
        <b/>
        <sz val="10"/>
        <color rgb="FF000000"/>
        <rFont val="Arial"/>
        <family val="2"/>
      </rPr>
      <t xml:space="preserve">Space Type
</t>
    </r>
    <r>
      <rPr>
        <b/>
        <sz val="10"/>
        <color rgb="FF000000"/>
        <rFont val="Arial"/>
        <family val="2"/>
      </rPr>
      <t xml:space="preserve">[Primarily from: T24, 2022 Appendix 5.4A] - See Notes column </t>
    </r>
  </si>
  <si>
    <t>HVAC Zone</t>
  </si>
  <si>
    <t>Schedule Category</t>
  </si>
  <si>
    <t>Conditioned (Y/N)</t>
  </si>
  <si>
    <t>Area Fraction</t>
  </si>
  <si>
    <t>Area (ft²)</t>
  </si>
  <si>
    <t>Volume (ft³)</t>
  </si>
  <si>
    <t>Multipliers</t>
  </si>
  <si>
    <t>Number of People</t>
  </si>
  <si>
    <t xml:space="preserve">People 
(Persons/1,000 ft²)
[T24, 2025,Table 120.1-A] </t>
  </si>
  <si>
    <t>Office</t>
  </si>
  <si>
    <t>Office Area (&gt;250 square feet)</t>
  </si>
  <si>
    <t>AHU_1</t>
  </si>
  <si>
    <t>Y</t>
  </si>
  <si>
    <t>FineStorage</t>
  </si>
  <si>
    <t>Storage, Commercial/Industrial (Warehouse)</t>
  </si>
  <si>
    <t>AHU_2</t>
  </si>
  <si>
    <t>BulkStorage</t>
  </si>
  <si>
    <t>AHU_3</t>
  </si>
  <si>
    <t>Toal (1 Building)</t>
  </si>
  <si>
    <t>Total (3 Space)</t>
  </si>
  <si>
    <t>Total (2 space type)</t>
  </si>
  <si>
    <t>Total (3 HVAC Zones)</t>
  </si>
  <si>
    <t xml:space="preserve"> Total (3 Conditioned zones)</t>
  </si>
  <si>
    <t>Element</t>
  </si>
  <si>
    <t xml:space="preserve"> Assembly Type</t>
  </si>
  <si>
    <t>Construction</t>
  </si>
  <si>
    <t>Thermal properties</t>
  </si>
  <si>
    <t>Vintage</t>
  </si>
  <si>
    <t>Selected T24</t>
  </si>
  <si>
    <t>Note</t>
  </si>
  <si>
    <t>CZ1</t>
  </si>
  <si>
    <t>CZ2</t>
  </si>
  <si>
    <t>CZ3</t>
  </si>
  <si>
    <t>CZ4</t>
  </si>
  <si>
    <t>CZ5</t>
  </si>
  <si>
    <t>CZ6</t>
  </si>
  <si>
    <t>CZ7</t>
  </si>
  <si>
    <t>CZ8</t>
  </si>
  <si>
    <t>CZ9</t>
  </si>
  <si>
    <t>CZ10</t>
  </si>
  <si>
    <t>CZ11</t>
  </si>
  <si>
    <t>CZ12</t>
  </si>
  <si>
    <t>CZ13</t>
  </si>
  <si>
    <t>CZ14</t>
  </si>
  <si>
    <t>CZ15</t>
  </si>
  <si>
    <t>CZ16</t>
  </si>
  <si>
    <t xml:space="preserve">External Wall </t>
  </si>
  <si>
    <t>ExtWall_MetalBuilding_NonRes</t>
  </si>
  <si>
    <t>U-factor IP</t>
  </si>
  <si>
    <t>Pre 1978</t>
  </si>
  <si>
    <t>N/A</t>
  </si>
  <si>
    <t>1978-1997</t>
  </si>
  <si>
    <t xml:space="preserve">. Minimum of the previous vintage and U values calculated from the 1986 code based on HDD and Degree North Latitude </t>
  </si>
  <si>
    <t>1998-2007</t>
  </si>
  <si>
    <t xml:space="preserve"> Table 1-H (Metal frame)</t>
  </si>
  <si>
    <t>2008-2018</t>
  </si>
  <si>
    <t>Table 140.3-B</t>
  </si>
  <si>
    <t>Existing</t>
  </si>
  <si>
    <t>Weighted average of all 4 vintages</t>
  </si>
  <si>
    <t>2019+</t>
  </si>
  <si>
    <t>Roof</t>
  </si>
  <si>
    <t>FlatRoof_WoodFramedAndOther_NonRes</t>
  </si>
  <si>
    <r>
      <rPr>
        <sz val="10"/>
        <color rgb="FF000000"/>
        <rFont val="Arial"/>
        <family val="2"/>
      </rPr>
      <t xml:space="preserve">Metal deck roof: 
</t>
    </r>
    <r>
      <rPr>
        <sz val="10"/>
        <color rgb="FF000000"/>
        <rFont val="Arial"/>
        <family val="2"/>
      </rPr>
      <t>Roof Membrane + Continuous Insulation + Metal Decking</t>
    </r>
  </si>
  <si>
    <t>Considering 30 years for roof/ insulation replacement.</t>
  </si>
  <si>
    <t>Table 1-H</t>
  </si>
  <si>
    <t>Windows</t>
  </si>
  <si>
    <t>FixedWindow_NonRes</t>
  </si>
  <si>
    <t xml:space="preserve">Single Pane (CBECS 2018, ~ 50 % of warehouse that were built before 2000 are single pane) </t>
  </si>
  <si>
    <t>ASHRAE Handbook of Fundamentals for single pane (Table 4- CH15) &amp; T24 2013 for double pane (50%-50%)</t>
  </si>
  <si>
    <t>Double pane</t>
  </si>
  <si>
    <t xml:space="preserve">Table 140.3-B </t>
  </si>
  <si>
    <t>SHGC</t>
  </si>
  <si>
    <t>ASHRAE Handbook of Fundamentals for single pane (Table 10-Ch15)  &amp; T24 2013 for double pane (50%-50%)</t>
  </si>
  <si>
    <t xml:space="preserve"> Table 1-H (Non north 0-10%)</t>
  </si>
  <si>
    <t>Skylight</t>
  </si>
  <si>
    <t>Translucent</t>
  </si>
  <si>
    <t>Table 1-I</t>
  </si>
  <si>
    <t>Plastic curb mounted</t>
  </si>
  <si>
    <t xml:space="preserve">Table 1-I </t>
  </si>
  <si>
    <t>Table 1-H (For SSR 2.1-5%)</t>
  </si>
  <si>
    <t xml:space="preserve">There is no requirement in the code (considered same as 2001) </t>
  </si>
  <si>
    <t>Infiltration</t>
  </si>
  <si>
    <t>Zones</t>
  </si>
  <si>
    <t xml:space="preserve">I_75 (cfm/ft2)
6-sided Infiltration rate @ 75 pa </t>
  </si>
  <si>
    <t>Source</t>
  </si>
  <si>
    <t xml:space="preserve"> I-design (cfm/ft²) 
(4-sided Infiltration rate at normal pressure) 
(Design flow rate approach and Flow/Exterior Wall Area calculation method) </t>
  </si>
  <si>
    <t>2022 CASE report (Table 38)</t>
  </si>
  <si>
    <t>2022 CASE report (Table 38) &amp;
T24, 2008-2016 (Table 140.3-B)</t>
  </si>
  <si>
    <t>2022 CASE report (Table 38) &amp;  
T24, 2025 (Table 140.3-B)</t>
  </si>
  <si>
    <t>Source:  T24 air barrier requirements (all editions) , the standardized infiltration rate reported in the 2022 CASE report, and Dodge 2023 data</t>
  </si>
  <si>
    <t>Infiltration_rate_report_14May2025-Short-Version.docx</t>
  </si>
  <si>
    <t>Door infiltration</t>
  </si>
  <si>
    <t>Zone</t>
  </si>
  <si>
    <t>Infiltration Rate</t>
  </si>
  <si>
    <t>374 cfm</t>
  </si>
  <si>
    <t>PPNL, ASHRAE 90.1- 2022 Warehouse prototype</t>
  </si>
  <si>
    <t>Office door Infiltration with maximum infiltration at 8 am, 13 pm, 18 pm.</t>
  </si>
  <si>
    <t>616 cfm
 (32*7+0.5+783*0.5)</t>
  </si>
  <si>
    <t>PNNL 17056, 2007</t>
  </si>
  <si>
    <t>Loading dock doors infiltration:
Assumptions: 
7 doors each 8 ft * 10 ft
783 cfm per door when dock doors open
32 cfm per door ( or 0.4 cfm/ sf of door area ) when dock doors close
Loading time from 8 am -12 pm
One  truck per hour with a 30 minutes of unloading time</t>
  </si>
  <si>
    <t>Technical Support Document: The Development of the Advanced Energy Design Guide for Small Warehouse and Self-Storage Buildings</t>
  </si>
  <si>
    <t>Pre-1978 exterior wall U value calculation:</t>
  </si>
  <si>
    <t>U-value IP</t>
  </si>
  <si>
    <t>ASHRAE 90.1, 2022 Table A3.2.3, R-0</t>
  </si>
  <si>
    <t>T24 2008 (U value): Metal building</t>
  </si>
  <si>
    <t>DOE pre 1980 warehouse prototype LA (U value) (metal building with ~R2 insulation)</t>
  </si>
  <si>
    <t xml:space="preserve">Renovation rate since 1980  (yearly renovation rate was calculated from CBECS 2003 and 2012 and then projected over 48 years) </t>
  </si>
  <si>
    <t>T24, 2025</t>
  </si>
  <si>
    <t>140.3 (a) 6 A.</t>
  </si>
  <si>
    <t xml:space="preserve"> Skylights shall, have an area no greater than 5 percent of the gross exterior roof area Skylight Roof  Ratio (SRR).</t>
  </si>
  <si>
    <t>140.3 (c) 4.</t>
  </si>
  <si>
    <t>The total skylight area is at least 3% of the total floor area in the space within a  horizontal distance of 0.7 times the average ceiling height from the edge of rough opening of skylights; or the product of the total skylight area and the average skylight visible transmittance is no less than 1.5 percent of the total floor area in the space within a horizontal distance of 0.7 times the average ceiling height from the edge of rough opening of skylights.</t>
  </si>
  <si>
    <t>T24, 1986</t>
  </si>
  <si>
    <t>Metal Building</t>
  </si>
  <si>
    <t>Stucco + Continuous Insulation + Metal Framing + Gypsum 5/8in</t>
  </si>
  <si>
    <t>U factor</t>
  </si>
  <si>
    <t xml:space="preserve"> low-rise office: 
Package A/ Heat Capacity was considered 10.0-14.99 (Btu/F/ft²)</t>
  </si>
  <si>
    <t>These values are lower than the next code cycle.</t>
  </si>
  <si>
    <t>For  NEW NONRESIDENTIAL BUILDINGS OF OCCUPANCIES A, 5, E AND H:</t>
  </si>
  <si>
    <t>HDD for each CZ in CA</t>
  </si>
  <si>
    <t>&lt;3500</t>
  </si>
  <si>
    <t>weight of wall</t>
  </si>
  <si>
    <t xml:space="preserve"> &lt;10 lb/ft²</t>
  </si>
  <si>
    <t>TD eq  (&lt;10 lb/ft²)</t>
  </si>
  <si>
    <t>U wall  base on HDD</t>
  </si>
  <si>
    <t>MCF (&lt;10 lb/ft²)</t>
  </si>
  <si>
    <t>U wall  base on CDD</t>
  </si>
  <si>
    <t>Aow (ft²)=</t>
  </si>
  <si>
    <t>Awall (ft²)</t>
  </si>
  <si>
    <t>U wall (Btu/hr-ft²-F)</t>
  </si>
  <si>
    <t>Awindows(ft²) ~</t>
  </si>
  <si>
    <t>Min OTTV</t>
  </si>
  <si>
    <t>Frame Fig 2-53E</t>
  </si>
  <si>
    <t>Min Uow (HDD&lt; 3500)</t>
  </si>
  <si>
    <t>Frame Fig 2-53B</t>
  </si>
  <si>
    <t>Position of the loading dock doors ( Right side of the image)</t>
  </si>
  <si>
    <t xml:space="preserve">Heating </t>
  </si>
  <si>
    <t>Cooling</t>
  </si>
  <si>
    <t>Air Distribution</t>
  </si>
  <si>
    <t>Other Systems</t>
  </si>
  <si>
    <t xml:space="preserve">Existing  </t>
  </si>
  <si>
    <t xml:space="preserve">Furnace (Gas) </t>
  </si>
  <si>
    <t>DX (RTU)</t>
  </si>
  <si>
    <t>CAV</t>
  </si>
  <si>
    <t>CEUS 2022 + Engineering Judgement</t>
  </si>
  <si>
    <t>Fine Storage</t>
  </si>
  <si>
    <t>Bulk Storage</t>
  </si>
  <si>
    <t>Unit Heater (Gas) (lower heating setpoint )</t>
  </si>
  <si>
    <t>None</t>
  </si>
  <si>
    <t>Exhaust fan</t>
  </si>
  <si>
    <t>New Construction</t>
  </si>
  <si>
    <t>HP</t>
  </si>
  <si>
    <t>Unit Heater (Gas) (lower heating setpoint)</t>
  </si>
  <si>
    <r>
      <rPr>
        <b/>
        <sz val="12"/>
        <color rgb="FFFFFFFF"/>
        <rFont val="Arial"/>
        <family val="2"/>
      </rPr>
      <t xml:space="preserve">Efficiency of HVAC system
</t>
    </r>
    <r>
      <rPr>
        <sz val="10"/>
        <color rgb="FFFFFFFF"/>
        <rFont val="Arial"/>
        <family val="2"/>
      </rPr>
      <t xml:space="preserve"> (Efficiency is capacity-dependent. The following table provides a general estimate of system efficiency based on preliminary simulations in one climate zone, or assuming cooling load based on rule of thumb)</t>
    </r>
  </si>
  <si>
    <t>Upgrade/Installed year</t>
  </si>
  <si>
    <t>Gas Furnace</t>
  </si>
  <si>
    <t>DX Cooling</t>
  </si>
  <si>
    <t>Unit Heater</t>
  </si>
  <si>
    <t>Thermal Efficiency of 80%</t>
  </si>
  <si>
    <t xml:space="preserve">EER=9.0  when system &lt;65 kBtu/h 
EER=9.7 when system &gt;65 &amp; &lt;135 kBtu/h
EER=9.5  when system &gt;135 &amp; &lt;240  kBtu/h  </t>
  </si>
  <si>
    <t>80% gas efficiency, no cooling</t>
  </si>
  <si>
    <t xml:space="preserve">T24, 2008 for systems &gt;65 kBtu/hr
CFR 2009 for systems &lt;65 kBtu/hr
</t>
  </si>
  <si>
    <t xml:space="preserve">EER=9.0  when system &lt;65 kBtu/h 
EER=11.2 when system &gt;65 &amp; &lt;135 kBtu/h
EER=11  when system &gt;135 &amp; &lt;240  kBtu/h  </t>
  </si>
  <si>
    <t>10 CFR 2013 (431.97, Table 1) / T24, 2025, ACM 2013</t>
  </si>
  <si>
    <t xml:space="preserve">SEER2=13.4  / Cop=3.3, EER=11  when system &lt;65 kBtu/h 
EER=11 when system &gt;65 &amp; &lt;135 kBtu/h
 EER=10.6 when system &gt;135 &amp; &lt;240  kBtu/h  </t>
  </si>
  <si>
    <t>10 CFR 2024 / T24, 2025, ACM 2025</t>
  </si>
  <si>
    <t>Fan Power</t>
  </si>
  <si>
    <t>Approach</t>
  </si>
  <si>
    <t>System</t>
  </si>
  <si>
    <t>Total Static Pressure (TSP)
(in w.c.)</t>
  </si>
  <si>
    <t>Fan Efficiency
[ACM 2025]</t>
  </si>
  <si>
    <t xml:space="preserve">Motor Efficiency </t>
  </si>
  <si>
    <t xml:space="preserve"> Fan Power Index 
(W/cfm)</t>
  </si>
  <si>
    <t>Data Source</t>
  </si>
  <si>
    <t xml:space="preserve">CAV Office </t>
  </si>
  <si>
    <t>CAV Fine Storage</t>
  </si>
  <si>
    <t>Unit heater in Bulk Storage</t>
  </si>
  <si>
    <t>PNNL 90.1-2011, TSP</t>
  </si>
  <si>
    <t>2.5  (system &lt;7,437 cfm)</t>
  </si>
  <si>
    <t>ASHRAE 90.1, 2004, Table 10.8 *</t>
  </si>
  <si>
    <t>Fan power formula: PNNL 20405, 2010, section 5.2.2.5
TSP and fan efficiency: PNNL 20405, 2010, Table 5.11, 90.1-04ac values
Motor efficiency: ASHRAE 90.1, 2004, Table 10.8</t>
  </si>
  <si>
    <t>2.5  (system &lt;7,437 cfm)
4.09  (system &gt;7,437 cfm</t>
  </si>
  <si>
    <t>Brake horsepower (bhp) = (Supply cfm × TSP in w.c.) / (6356 × fan efficiency)</t>
  </si>
  <si>
    <t>Fan power (w/cfm) = (bhp ×  746) / ( supply cfm × motor efficiency )</t>
  </si>
  <si>
    <t>ACM 2025</t>
  </si>
  <si>
    <t>0.744 (system &lt;5,000 cfm in office space</t>
  </si>
  <si>
    <t>HP Fine Storage, &gt;10,000 cfm</t>
  </si>
  <si>
    <t>Setpoint</t>
  </si>
  <si>
    <t xml:space="preserve"> Heating Setpoint (F)</t>
  </si>
  <si>
    <t>T24 2022 - Appendix 5.4B</t>
  </si>
  <si>
    <t xml:space="preserve"> Heating Setback (F)</t>
  </si>
  <si>
    <t xml:space="preserve"> Cooling Setpoint (F)</t>
  </si>
  <si>
    <t xml:space="preserve"> Cooling Setback (F)</t>
  </si>
  <si>
    <t xml:space="preserve"> Heating Setpoint (F)*</t>
  </si>
  <si>
    <t>PNNL ASHRAE 90.1 2022, Warehouse prototype</t>
  </si>
  <si>
    <t>* Bulk storage is defined as a  general inventory space that only needs freeze protection.</t>
  </si>
  <si>
    <t>Floor Area (ft²)</t>
  </si>
  <si>
    <t>cfm/person
[T24, 2025, Equation 120.1-F and Table 120.1-A]</t>
  </si>
  <si>
    <t>cfm/ft²  
[T24, 2025, Equation 120.1-F and Table 120.1-A]</t>
  </si>
  <si>
    <t>Required Exhaust Rate
[T24, 2025, Table 120.1-B – minimum exhaust rates]</t>
  </si>
  <si>
    <t>Total cfm 
Driven by People</t>
  </si>
  <si>
    <t>Total cfm 
Driven by Area</t>
  </si>
  <si>
    <t>Total cfm 
Driven by Exhaust</t>
  </si>
  <si>
    <t>Total cfm</t>
  </si>
  <si>
    <t xml:space="preserve">This amount of OA cfm appear low. May be updated with further research. </t>
  </si>
  <si>
    <t>Fine storage is defined for normal inventory that doesn't require an extra exhaust rate based on the space functions  in T24, Part6, 2025, Table 120.1 B.</t>
  </si>
  <si>
    <t>WH Type</t>
  </si>
  <si>
    <t>Efficiency</t>
  </si>
  <si>
    <t>Number of WH</t>
  </si>
  <si>
    <t>Tank Volume (gal)</t>
  </si>
  <si>
    <t>Tank Loss</t>
  </si>
  <si>
    <t xml:space="preserve">Electric resistance WH </t>
  </si>
  <si>
    <t>See table below for CZ-specific values: Climate Zone Water Heater Sizing and Loss Coefficients, Storage Volume column (col G)</t>
  </si>
  <si>
    <t xml:space="preserve">See table below: Climate Zone Water Heater Sizing and Loss Coefficients, Standby Loss column (col H) </t>
  </si>
  <si>
    <t>See table below for sources: Climate Zone Water Heater Sizing and Loss Coefficients</t>
  </si>
  <si>
    <t>See table below: Climate Zone Water Heater Sizing and Loss Coefficients, Standby Loss column (col H)</t>
  </si>
  <si>
    <t>Peak Hot Water Consumption</t>
  </si>
  <si>
    <t>Space Name</t>
  </si>
  <si>
    <t>Baseline WH Type 
[T24, 2022, Appendix 5.4A , sheet: "2022 SpaceFuncData-Input"]</t>
  </si>
  <si>
    <t>Total Area (ft²)</t>
  </si>
  <si>
    <t>Hot Water Usage Specification
(gal/hr per person)  
[T24, 2022, Appendix 5.4A , sheet: "2022 SpaceFuncData-Input"]</t>
  </si>
  <si>
    <t>Peak Hot Water Usage
(gal/hr)</t>
  </si>
  <si>
    <t>Peak Hot Water Usage
(gal/min)</t>
  </si>
  <si>
    <t>Electric</t>
  </si>
  <si>
    <t>For space types marked with an asterisk (the ‘*’ symbol), the water‑heater type is listed as electric in Appendix 5.4A, sheet ‘2022 SpaceFuncData‑Input.’ However, we modified the value based on CEUS data, which indicates that gas is the primary fuel type.</t>
  </si>
  <si>
    <t>Total</t>
  </si>
  <si>
    <t>Gas storage</t>
  </si>
  <si>
    <t>Minimum peak hot water usage is 75 gal according to ACM 2025</t>
  </si>
  <si>
    <t xml:space="preserve">Total </t>
  </si>
  <si>
    <t>Electric resistance</t>
  </si>
  <si>
    <t>Design supply temperature (°F)</t>
  </si>
  <si>
    <t>CEC-400-2022-009-CMF-REV2-AP5.4B</t>
  </si>
  <si>
    <t>WH system factor</t>
  </si>
  <si>
    <t>2025 ACM §5.9.2 Rated Capacity</t>
  </si>
  <si>
    <t>Water mass conversion (lb/gal)</t>
  </si>
  <si>
    <t>Reheat multiplier</t>
  </si>
  <si>
    <t>2025 ACM §5.9.2 Storage Volume</t>
  </si>
  <si>
    <t>Climate Zone Water Heater Sizing and Loss Coefficients</t>
  </si>
  <si>
    <t>Climate Zone</t>
  </si>
  <si>
    <t>Minimum Monthly Mains Temp (°F)
[T24 2022 - Appendix 5.4B]</t>
  </si>
  <si>
    <t>Heat Output (Btu/hr)
[ACM, 2025, 5.9.2: Rated capacity section]</t>
  </si>
  <si>
    <t>WH Capacity (Btu/hr)
[ACM, 2025, 5.9.2: Rated capacity section]</t>
  </si>
  <si>
    <t>Required Energy Input (Btu/hr)</t>
  </si>
  <si>
    <t>Storage Volume (gal)</t>
  </si>
  <si>
    <t>Standby Loss
 [Title 20, §1605.1 Table F-4; Appendix B: Water Heating Calculation Method]</t>
  </si>
  <si>
    <t xml:space="preserve">Off/On Cycle Loss Coefficient to Ambient Temp </t>
  </si>
  <si>
    <t>Source/Note</t>
  </si>
  <si>
    <t>CZ01</t>
  </si>
  <si>
    <t>Btu/h·°F</t>
  </si>
  <si>
    <t>Required Energy Input: vendor/available catalog size (Market data table).
Storage Volume: standard/available catalog tank size (Market data table).</t>
  </si>
  <si>
    <t>CZ02</t>
  </si>
  <si>
    <t>CZ03</t>
  </si>
  <si>
    <t>CZ04</t>
  </si>
  <si>
    <t>CZ05</t>
  </si>
  <si>
    <t>CZ06</t>
  </si>
  <si>
    <t>CZ07</t>
  </si>
  <si>
    <t>CZ08</t>
  </si>
  <si>
    <t>CZ09</t>
  </si>
  <si>
    <t xml:space="preserve">Market data </t>
  </si>
  <si>
    <t>Catalog gas input (Btu/h)</t>
  </si>
  <si>
    <t>Input source</t>
  </si>
  <si>
    <t>Elec resistance tank (kW)</t>
  </si>
  <si>
    <t>Elec resistance (Btu/h)</t>
  </si>
  <si>
    <t>Catalog gas tank (gal)</t>
  </si>
  <si>
    <t>Tank source</t>
  </si>
  <si>
    <t>Elec tank (gal)</t>
  </si>
  <si>
    <t>Elec tank source</t>
  </si>
  <si>
    <t>Grainger</t>
  </si>
  <si>
    <t>ENERGY STAR</t>
  </si>
  <si>
    <t>Both</t>
  </si>
  <si>
    <t>Space Type</t>
  </si>
  <si>
    <t xml:space="preserve">New Construction </t>
  </si>
  <si>
    <t>LPD (W/ft²)</t>
  </si>
  <si>
    <t>Additional LPD for Portable Lighting (W/ft²)</t>
  </si>
  <si>
    <t xml:space="preserve">LPD (W/ft²) </t>
  </si>
  <si>
    <t xml:space="preserve">T24, 2025, Table 140.6-C
(Area category method) </t>
  </si>
  <si>
    <t>T24, 2016, Table 140.6-C
(Area category method) 
LPD of "All other spaces" is considered for storage space</t>
  </si>
  <si>
    <t>It is assumed that 50% of the additional allowance lighting is in use.</t>
  </si>
  <si>
    <t xml:space="preserve">Existing </t>
  </si>
  <si>
    <t>Whole Building</t>
  </si>
  <si>
    <t>All other building</t>
  </si>
  <si>
    <t>T24,  2019, Table 140.6 B</t>
  </si>
  <si>
    <t xml:space="preserve">Area Category </t>
  </si>
  <si>
    <t>T24, 2019, Table 140.6-C</t>
  </si>
  <si>
    <t>T24,  2016, Table 140.6 B</t>
  </si>
  <si>
    <t>ZONE1 OFFICE</t>
  </si>
  <si>
    <t>T24,  2016, Table 140.6-C</t>
  </si>
  <si>
    <t>ZONE2 FINE STORAGE</t>
  </si>
  <si>
    <t>ZONE3 BULK STORAGE</t>
  </si>
  <si>
    <t>T24, 2013, Table 140.6 B</t>
  </si>
  <si>
    <t>T24, 2013, Table 140.6-C</t>
  </si>
  <si>
    <t>Plug Load Power Density (W/ft²)</t>
  </si>
  <si>
    <t>Destratification Fan Load Power Density (W/ft²)</t>
  </si>
  <si>
    <t>Plug load and schedules project with CEC, 2025</t>
  </si>
  <si>
    <t>Electricity usage of destratification fans.
Assumptions: 2 ACH  (Bulk Storage: 32,197 cfm (965,908*2/60)  FineStorage:12808 cfm (384,263*2/60)) ,  3 HVLS fans each ~15,000 cfm and 1.5 kw for each: Total 0.09  w/sf 
https://continentalfan.com/wp-content/uploads/2022/12/Destratification_Fans_Wholesale_Ventilation_Products.pdf?</t>
  </si>
  <si>
    <t>https://continentalfan.com/destratification-fan-application-guide/?utm</t>
  </si>
  <si>
    <t>Electricity usage for charging forklift machines/robots, distributed to both storage spaces. 
Assumption: 5 chargers each 10 K ,  0.7 diversity</t>
  </si>
  <si>
    <t>U.S. Department of Energy, Better Buildings, "Battery Charging Basics for Forklifts" Pacific Northwest National Laboratory (PNNL), "Warehouse Energy Use: Characterization and Opportunities"
Class I–III electric forklift chargers typically draw 4–10 kW each.
Fast/Opportunity chargers may draw 10–20 kW, but 4–8 kW is most common.</t>
  </si>
  <si>
    <r>
      <rPr>
        <sz val="11"/>
        <color rgb="FF000000"/>
        <rFont val="Calibri"/>
        <family val="2"/>
        <scheme val="minor"/>
      </rPr>
      <t xml:space="preserve"> (From DOE BB resources / charger efficiency studies) : "Industrial battery chargers for Class I–III forklifts commonly draw </t>
    </r>
    <r>
      <rPr>
        <b/>
        <sz val="11"/>
        <color rgb="FF000000"/>
        <rFont val="Calibri"/>
        <family val="2"/>
        <scheme val="minor"/>
      </rPr>
      <t>4 to 8 kW</t>
    </r>
    <r>
      <rPr>
        <sz val="11"/>
        <color rgb="FF000000"/>
        <rFont val="Calibri"/>
        <family val="2"/>
        <scheme val="minor"/>
      </rPr>
      <t xml:space="preserve"> during bulk charging."</t>
    </r>
  </si>
  <si>
    <t>Motion Controlled Luminaires (W)</t>
  </si>
  <si>
    <t>Non-motion Controlled Luminaires (W)</t>
  </si>
  <si>
    <t>Total (W)</t>
  </si>
  <si>
    <t>T24, 2022</t>
  </si>
  <si>
    <t xml:space="preserve">Exterior Lighting </t>
  </si>
  <si>
    <t>Items (Assume LZ2)</t>
  </si>
  <si>
    <t>Assumptions
[2019 Outdoor Lighting CASE Report &amp; PNNL 90.1-2010 TSD]</t>
  </si>
  <si>
    <t>Unit</t>
  </si>
  <si>
    <t>Lighting Power Allowance 
[T24, 2025, Table 140.7-A &amp; 140.7-B]</t>
  </si>
  <si>
    <t>Exterior Lighting Power (W)</t>
  </si>
  <si>
    <t>IWA (Initial Wattage Allowance)</t>
  </si>
  <si>
    <t>(W)</t>
  </si>
  <si>
    <t>Parking area</t>
  </si>
  <si>
    <t xml:space="preserve"> 400 ft² for every parking space 
1 parking space per 830 ft² of gross building area </t>
  </si>
  <si>
    <t>(ft²)</t>
  </si>
  <si>
    <t>(W/ft²)</t>
  </si>
  <si>
    <t>Building Entrance</t>
  </si>
  <si>
    <t>5 building entrance (1 per 10,000 ft² footprint)</t>
  </si>
  <si>
    <t>(count)</t>
  </si>
  <si>
    <t>(W/ea)</t>
  </si>
  <si>
    <t>Hardscape Ornamental Light</t>
  </si>
  <si>
    <t>0.1 ft² per 1 ft² of gross building area for hardscape ornamental light</t>
  </si>
  <si>
    <t>Building façade</t>
  </si>
  <si>
    <t>0.1 W per 1 ft² of facade area 
Façade Area = Perimeter × 0.5 × 28 ft (30 ft is the max height that is lit) * 
The 0.5 factor assumes that only half of the perimeter walls are lit.
-Formula is developed based on the 2019 Outdoor Lighting CASE report</t>
  </si>
  <si>
    <t>Motion controlled Luminaires</t>
  </si>
  <si>
    <t>Non-motion-controlled Luminaires</t>
  </si>
  <si>
    <t>TOTAL</t>
  </si>
  <si>
    <t>*Developed based on 2019 Outdoor Lighting CASE Report</t>
  </si>
  <si>
    <t>Perimeter (ft)</t>
  </si>
  <si>
    <t>Total floor area (ft²)</t>
  </si>
  <si>
    <t>Floors</t>
  </si>
  <si>
    <t>Schedule</t>
  </si>
  <si>
    <t>Type</t>
  </si>
  <si>
    <t>Hour</t>
  </si>
  <si>
    <t>Fine storage</t>
  </si>
  <si>
    <t>Occupancy</t>
  </si>
  <si>
    <r>
      <t xml:space="preserve">T24 2022 - Appendix 5.4B, [Warehouse]
 </t>
    </r>
    <r>
      <rPr>
        <sz val="9"/>
        <color rgb="FF00B050"/>
        <rFont val="Arial"/>
        <family val="2"/>
      </rPr>
      <t xml:space="preserve">(Start and end hours of weekday schedule has been shifted to stay align with the plug load project with CEC)
</t>
    </r>
    <r>
      <rPr>
        <sz val="9"/>
        <color rgb="FF7030A0"/>
        <rFont val="Arial"/>
        <family val="2"/>
      </rPr>
      <t xml:space="preserve">
with Saturday Occupied.</t>
    </r>
  </si>
  <si>
    <t>Weekday</t>
  </si>
  <si>
    <t>Saturday</t>
  </si>
  <si>
    <t>Sunday</t>
  </si>
  <si>
    <t>Lights</t>
  </si>
  <si>
    <r>
      <t xml:space="preserve">T24 2022 - Appendix 5.4B, [Warehouse]
 </t>
    </r>
    <r>
      <rPr>
        <sz val="9"/>
        <color rgb="FF00B050"/>
        <rFont val="Arial"/>
        <family val="2"/>
      </rPr>
      <t>(Start and end hours of weekday schedule has been shifted to stay align with the plug load project with CEC)</t>
    </r>
    <r>
      <rPr>
        <sz val="9"/>
        <color theme="1"/>
        <rFont val="Arial"/>
        <family val="2"/>
      </rPr>
      <t xml:space="preserve">
</t>
    </r>
    <r>
      <rPr>
        <sz val="9"/>
        <color rgb="FF7030A0"/>
        <rFont val="Arial"/>
        <family val="2"/>
      </rPr>
      <t>with Saturday Occupied.</t>
    </r>
  </si>
  <si>
    <t>ElecEquipment</t>
  </si>
  <si>
    <r>
      <t xml:space="preserve">Plug load and schedules project with CEC, 2025 (weekday)
*New weekday schedule starts at 6 and ends at 17 instead of 8-18 in the Appendix 5.4B
</t>
    </r>
    <r>
      <rPr>
        <sz val="9"/>
        <color rgb="FF7030A0"/>
        <rFont val="Arial"/>
        <family val="2"/>
      </rPr>
      <t xml:space="preserve">with Saturday Occupied.
</t>
    </r>
    <r>
      <rPr>
        <sz val="9"/>
        <color rgb="FF0070C0"/>
        <rFont val="Arial"/>
        <family val="2"/>
      </rPr>
      <t xml:space="preserve">
</t>
    </r>
    <r>
      <rPr>
        <sz val="9"/>
        <rFont val="Arial"/>
        <family val="2"/>
      </rPr>
      <t>T24 2022 - Appendix 5.4B (weekend)</t>
    </r>
  </si>
  <si>
    <t>HVACAvail</t>
  </si>
  <si>
    <r>
      <t xml:space="preserve">T24 2022 - Appendix 5.4B, [Warehouse]
 </t>
    </r>
    <r>
      <rPr>
        <sz val="9"/>
        <color rgb="FF00B050"/>
        <rFont val="Arial"/>
        <family val="2"/>
      </rPr>
      <t xml:space="preserve">(Start and end hours of weekday schedule has been shifted to stay align with the plug load project with CEC)
</t>
    </r>
    <r>
      <rPr>
        <sz val="9"/>
        <color rgb="FF7030A0"/>
        <rFont val="Arial"/>
        <family val="2"/>
      </rPr>
      <t>with Saturday Occupied.</t>
    </r>
  </si>
  <si>
    <t>ServiceHotWater</t>
  </si>
  <si>
    <t>HtgSetpt</t>
  </si>
  <si>
    <r>
      <t xml:space="preserve">T24 2022 - Appendix 5.4B, [Warehouse]
</t>
    </r>
    <r>
      <rPr>
        <sz val="9"/>
        <color rgb="FF7030A0"/>
        <rFont val="Arial"/>
        <family val="2"/>
      </rPr>
      <t>with Saturday Occupied.</t>
    </r>
  </si>
  <si>
    <t>ClgSetpt</t>
  </si>
  <si>
    <t>Bulk storage</t>
  </si>
  <si>
    <r>
      <t xml:space="preserve">Plug load and schedules project with CEC, 2025 (weekday)
*New weekday schedule starts at 6 and ends at 17 instead of 8-18 in the Appendix 5.4B
</t>
    </r>
    <r>
      <rPr>
        <sz val="9"/>
        <color rgb="FF7030A0"/>
        <rFont val="Arial"/>
        <family val="2"/>
      </rPr>
      <t>with Saturday Occupied.</t>
    </r>
    <r>
      <rPr>
        <sz val="9"/>
        <color rgb="FF0070C0"/>
        <rFont val="Arial"/>
        <family val="2"/>
      </rPr>
      <t xml:space="preserve">
</t>
    </r>
    <r>
      <rPr>
        <sz val="9"/>
        <rFont val="Arial"/>
        <family val="2"/>
      </rPr>
      <t>T24 2022 - Appendix 5.4B (Sunday)</t>
    </r>
  </si>
  <si>
    <t xml:space="preserve">Developed based on Unit Heater </t>
  </si>
  <si>
    <r>
      <t xml:space="preserve">T24 2022 - Appendix 5.4B, [Warehouse]
 </t>
    </r>
    <r>
      <rPr>
        <sz val="9"/>
        <color rgb="FF00B050"/>
        <rFont val="Arial"/>
        <family val="2"/>
      </rPr>
      <t xml:space="preserve">(Start and end hours of weekday schedule has been shifted to stay align with the plug load project with CEC)
</t>
    </r>
    <r>
      <rPr>
        <sz val="9"/>
        <color theme="1"/>
        <rFont val="Arial"/>
        <family val="2"/>
      </rPr>
      <t xml:space="preserve">
</t>
    </r>
    <r>
      <rPr>
        <sz val="9"/>
        <color rgb="FF7030A0"/>
        <rFont val="Arial"/>
        <family val="2"/>
      </rPr>
      <t>with Saturday Occupied.</t>
    </r>
  </si>
  <si>
    <t>ForkliftEquipment</t>
  </si>
  <si>
    <r>
      <t xml:space="preserve">
</t>
    </r>
    <r>
      <rPr>
        <sz val="9"/>
        <color rgb="FF7030A0"/>
        <rFont val="Arial"/>
        <family val="2"/>
      </rPr>
      <t>with Saturday Occupied.</t>
    </r>
  </si>
  <si>
    <t>DoorInfiltration</t>
  </si>
  <si>
    <r>
      <t xml:space="preserve">T24 2022 - Appendix 5.4B, [Office]
</t>
    </r>
    <r>
      <rPr>
        <sz val="9"/>
        <color rgb="FF0070C0"/>
        <rFont val="Arial"/>
        <family val="2"/>
      </rPr>
      <t xml:space="preserve">
Updated based on Plug load and schedules project with CEC, 2025</t>
    </r>
  </si>
  <si>
    <t>T24 2022 - Appendix 5.4B, [Office]</t>
  </si>
  <si>
    <t xml:space="preserve">ElecEquipment </t>
  </si>
  <si>
    <t xml:space="preserve">Plug load and schedules project with CEC, 2025 </t>
  </si>
  <si>
    <r>
      <t xml:space="preserve">T24 2022 - Appendix 5.4B, [Office]
</t>
    </r>
    <r>
      <rPr>
        <sz val="9"/>
        <color rgb="FF0070C0"/>
        <rFont val="Arial"/>
        <family val="2"/>
      </rPr>
      <t>Updated based on Plug load and schedules project with CEC, 202</t>
    </r>
  </si>
  <si>
    <t>Developed based on HVACAvail and Thermostat setpoints</t>
  </si>
  <si>
    <t>Other</t>
  </si>
  <si>
    <t>ExtLightingNonMotionCtrl</t>
  </si>
  <si>
    <t>ExtLightingMotionCtrl</t>
  </si>
  <si>
    <t>FunctionalAreaPeopleActivityLevel</t>
  </si>
  <si>
    <t xml:space="preserve">Based on Activity level schedules in  CEC Prototypes </t>
  </si>
  <si>
    <t>FineStorage and Bulk Storage</t>
  </si>
  <si>
    <t>SaleStoragePeopleActivityLevel</t>
  </si>
  <si>
    <t>Plug load and schedules project with CEC, 2025 ( July 2025)</t>
  </si>
  <si>
    <t>The analysis of warehouse schedules indicated that, on weekdays, warehouses tend to begin operating earlier in the day, and end operating earlier than the current NMACM schedules. Therefore, a shift in the schedule is proposed as shown in Figure 5. No changes are proposed to the Saturday or Sunday schedules.</t>
  </si>
  <si>
    <t>CZ</t>
  </si>
  <si>
    <t>Vintage Bin</t>
  </si>
  <si>
    <t>Pre-1978</t>
  </si>
  <si>
    <t>Statewide</t>
  </si>
  <si>
    <t>Ref: CEUS 2022 dataset: Warehouse group</t>
  </si>
  <si>
    <t xml:space="preserve">And converted FZ level data to CZ level </t>
  </si>
  <si>
    <t>TBD</t>
  </si>
  <si>
    <t>Space Function</t>
  </si>
  <si>
    <t>Electric Equipment Load Intensity</t>
  </si>
  <si>
    <t>LPD</t>
  </si>
  <si>
    <t>Aging Eye/Low-vision (Corridor Area)</t>
  </si>
  <si>
    <t>Aging Eye/Low-vision (Dining)</t>
  </si>
  <si>
    <t>Aging Eye/Low-vision (Lobby, Main Entry)</t>
  </si>
  <si>
    <t>Aging Eye/Low-vision (Lounge/Waiting Area)</t>
  </si>
  <si>
    <t>Aging Eye/Low-vision (Multipurpose Room)</t>
  </si>
  <si>
    <t>Aging Eye/Low-vision (Religious Worship Area)</t>
  </si>
  <si>
    <t>Aging Eye/Low-vision (Restroom)</t>
  </si>
  <si>
    <t>Aging Eye/Low-vision (Stairwell)</t>
  </si>
  <si>
    <t>Audience Seating Area</t>
  </si>
  <si>
    <t>Auditorium Area</t>
  </si>
  <si>
    <t>Auto Repair / Maintenance Area</t>
  </si>
  <si>
    <t>Barber, Beauty Salon, Spa Area</t>
  </si>
  <si>
    <t>Civic Meeting Place Area</t>
  </si>
  <si>
    <t>Classroom, Lecture, Training, Vocational Areas</t>
  </si>
  <si>
    <t>Concourse and Atria Area</t>
  </si>
  <si>
    <t>Convention, Conference, Multipurpose and Meeting Area</t>
  </si>
  <si>
    <t>Copy Room</t>
  </si>
  <si>
    <t>Corridor Area</t>
  </si>
  <si>
    <t>Dining Area (Bar/Lounge and Fine Dining)</t>
  </si>
  <si>
    <t>Dining Area (Cafeteria/Fast Food)</t>
  </si>
  <si>
    <t>Dining Area (Family and Leisure)</t>
  </si>
  <si>
    <t>Electrical, Mechanical, Telephone Rooms</t>
  </si>
  <si>
    <t>Exercise/Fitness Center and Gymnasium Areas</t>
  </si>
  <si>
    <t>Financial Transaction Area</t>
  </si>
  <si>
    <t>Healthcare Facility and Hospitals (Exam/Treatment Room)</t>
  </si>
  <si>
    <t>Healthcare Facility and Hospitals (Imaging Room)</t>
  </si>
  <si>
    <t>Healthcare Facility and Hospitals (Medical Supply Room)</t>
  </si>
  <si>
    <t>Healthcare Facility and Hospitals (Nursery)</t>
  </si>
  <si>
    <t>Healthcare Facility and Hospitals (Nurse's Station)</t>
  </si>
  <si>
    <t>Healthcare Facility and Hospitals (Operating Room)</t>
  </si>
  <si>
    <t>Healthcare Facility and Hospitals (Patient Room)</t>
  </si>
  <si>
    <t>Healthcare Facility and Hospitals (Physical Therapy Room)</t>
  </si>
  <si>
    <t>Healthcare Facility and Hospitals (Recovery Room)</t>
  </si>
  <si>
    <t>Hotel Function Area</t>
  </si>
  <si>
    <t>Kitchen/Food Preparation Area</t>
  </si>
  <si>
    <t>Kitchenette or Residential Kitchen</t>
  </si>
  <si>
    <t>Laboratory, Scientific</t>
  </si>
  <si>
    <t xml:space="preserve">Laundry Area </t>
  </si>
  <si>
    <t>Library (Reading Area)</t>
  </si>
  <si>
    <t>Library (Stacks Area)</t>
  </si>
  <si>
    <t>Lobby, Main Entry</t>
  </si>
  <si>
    <t>Locker Room</t>
  </si>
  <si>
    <t>Lounge, Breakroom, or Waiting Area</t>
  </si>
  <si>
    <t>Manufacturing, Commercial &amp; Industrial Work Area (Low Bay)</t>
  </si>
  <si>
    <t>Manufacturing, Commercial &amp; Industrial Work Area (High Bay)</t>
  </si>
  <si>
    <t>Manufacturing, Commercial &amp; Industrial Work Area (Precision)</t>
  </si>
  <si>
    <t>Museum Area (Exhibition/Display)</t>
  </si>
  <si>
    <t>Museum Area (Restoration Room)</t>
  </si>
  <si>
    <t>Office Area (&lt;250 square feet)</t>
  </si>
  <si>
    <t>Parking Garage Area (Parking Zone and Ramps)</t>
  </si>
  <si>
    <t>Parking Garage Area (Daylight Adaptation Zones)</t>
  </si>
  <si>
    <t>Pharmacy Area</t>
  </si>
  <si>
    <t>Retail Sales Area (Grocery Sales)</t>
  </si>
  <si>
    <t>Retail Sales Area (Retail Merchandise Sales)</t>
  </si>
  <si>
    <t>Retail Sales Area (Fitting Room)</t>
  </si>
  <si>
    <t>Religious Worship Area</t>
  </si>
  <si>
    <t>Restrooms</t>
  </si>
  <si>
    <t>Stairwell</t>
  </si>
  <si>
    <t>Storage, Commercial/Industrial (Refrigerated)</t>
  </si>
  <si>
    <t>Storage, Commercial/Industrial (Shipping &amp; Handling)</t>
  </si>
  <si>
    <t>Storage (General)</t>
  </si>
  <si>
    <t>Sports Arena - Playing Area (&gt; 5,000 Spectators)</t>
  </si>
  <si>
    <t>Sports Arena - Playing Area (2,000 - 5,000 Spectators)</t>
  </si>
  <si>
    <t>Sports Arena - Playing Area (&lt; 2,000 Spectators)</t>
  </si>
  <si>
    <t>Sports Arena - Playing Area (Recreational)</t>
  </si>
  <si>
    <t>Theater Area (Motion Picture)</t>
  </si>
  <si>
    <t>Theater Area (Performance)</t>
  </si>
  <si>
    <t>Transportation Function (Baggage Area)</t>
  </si>
  <si>
    <t>Transportation Function (Ticketing Area)</t>
  </si>
  <si>
    <t>Videoconferencing Studio</t>
  </si>
  <si>
    <t>High-Rise Residential Living Spaces</t>
  </si>
  <si>
    <t>Hotel/Motel Guest Room</t>
  </si>
  <si>
    <t>All other</t>
  </si>
  <si>
    <t>Attic</t>
  </si>
  <si>
    <t>Reception Area</t>
  </si>
  <si>
    <t>Elevator</t>
  </si>
  <si>
    <t>Plenum</t>
  </si>
  <si>
    <t>IT Room (EPD 12)</t>
  </si>
  <si>
    <t>Computer Room (EPD 20)</t>
  </si>
  <si>
    <t>Server Room (EPD 45)</t>
  </si>
  <si>
    <t>CalBEM Energy Consumption - Warehouse</t>
  </si>
  <si>
    <t>CalBEM Electricity EUI (KBTU/ft²)</t>
  </si>
  <si>
    <t>CalBEM Gas EUI (KBTU/ft²)</t>
  </si>
  <si>
    <t>CalBEM Total  EUI (KBTU/ft²)</t>
  </si>
  <si>
    <t>New Construction  Electricity EUI (KBTU/ft²)</t>
  </si>
  <si>
    <t>New Construction  Gas EUI (KBTU/ft²)</t>
  </si>
  <si>
    <t>New Construction  Total EUI (KBTU/ft²)</t>
  </si>
  <si>
    <t>National Average</t>
  </si>
  <si>
    <t>Acceptable Range (25% Higher)</t>
  </si>
  <si>
    <t>Acceptable Range (25% Lower)</t>
  </si>
  <si>
    <t>National Average Acceptable EUI Range</t>
  </si>
  <si>
    <t>Total Floorspace (Thousand of ft²)</t>
  </si>
  <si>
    <t>Electric Energy Intensity (kWh/ft²)</t>
  </si>
  <si>
    <t>Annual Gas Intensity (kWh/ft²)</t>
  </si>
  <si>
    <t>CEUS 2023 Total EUI (kBtu/ft²)</t>
  </si>
  <si>
    <t xml:space="preserve">CEUS 2022 Acceptable EUI Range </t>
  </si>
  <si>
    <t xml:space="preserve">Ref: CEUS 2022 Report </t>
  </si>
  <si>
    <t>Same as Pre 2008 because of their higher weights</t>
  </si>
  <si>
    <t xml:space="preserve"> Metal building:
Metal surface + Continuous Insulation + Metal panel</t>
  </si>
  <si>
    <r>
      <rPr>
        <sz val="10"/>
        <color rgb="FF000000"/>
        <rFont val="Arial"/>
        <family val="2"/>
      </rPr>
      <t xml:space="preserve"> Metal building:
</t>
    </r>
    <r>
      <rPr>
        <sz val="10"/>
        <color rgb="FF000000"/>
        <rFont val="Arial"/>
        <family val="2"/>
      </rPr>
      <t>Metal surface + Continuous Insulation + Metal panel</t>
    </r>
  </si>
  <si>
    <t xml:space="preserve">Using 1) DOE pre 1980 warehouse prototype U value of 0.301, and 2) a 5.1% cumulative wall renovation rate through 2028, based on the average annual rate from CBECS 2003 and 2012 projected over 48 years. </t>
  </si>
  <si>
    <t>NORESCO, Updated September 2026</t>
  </si>
  <si>
    <t>TSP = fan power × motor efficiency × fan efficiency × 6356 / 746</t>
  </si>
  <si>
    <t>2025 ACM Table 12 **</t>
  </si>
  <si>
    <t>Fan power index: [ACM 2025, Table 13]
Motor efficiency: [ACM 2025, Table 12]</t>
  </si>
  <si>
    <t>HP Office  (system &lt;5,000 cfm)</t>
  </si>
  <si>
    <t>TSP = fan power × motor efficiency × fan efficiency × 6356 / 745</t>
  </si>
  <si>
    <t xml:space="preserve">"**   The full‑load efficiency of the motor serving the fan is taken from ACM 2025 Table 12 based on the cfm of the fan.
     Brake horsepower  (bhp) = (Supply cfm from sizing run × fan power in W/cfm) / 746.
     Note: ACM System 6 VAV &gt;10,000 cfm."							</t>
  </si>
  <si>
    <t>*    According to PNNL 20405 section 5.2.2.5, the full-load efficiency of the motor serving the fan is taken from  ASHRAE 90.1, 2004, Table 10.8, based on motor nameplate and assuming enclosed motors operating at 1,800 rotations per minute (rpm)
      Motor nameplate size (bhp) = brake horsepower (bhp) × 1.1 ( using a 10% oversizing factor)</t>
  </si>
  <si>
    <t>0.62 (5,000-10,000 cfm)
0.605 (&gt;10,000 cfm)</t>
  </si>
  <si>
    <t>Forklift Load Power Density (W/ft²)</t>
  </si>
  <si>
    <r>
      <rPr>
        <b/>
        <u/>
        <sz val="10"/>
        <color rgb="FF000000"/>
        <rFont val="Arial"/>
        <family val="2"/>
      </rPr>
      <t xml:space="preserve">Plug load: </t>
    </r>
    <r>
      <rPr>
        <sz val="10"/>
        <color rgb="FF000000"/>
        <rFont val="Arial"/>
        <family val="2"/>
      </rPr>
      <t xml:space="preserve">T24 2022 - Appendix 5.4A: "Space Use Data-T24N-2023"
</t>
    </r>
    <r>
      <rPr>
        <b/>
        <u/>
        <sz val="10"/>
        <color rgb="FF000000"/>
        <rFont val="Arial"/>
        <family val="2"/>
      </rPr>
      <t>Destratification:</t>
    </r>
    <r>
      <rPr>
        <sz val="10"/>
        <color rgb="FF000000"/>
        <rFont val="Arial"/>
        <family val="2"/>
      </rPr>
      <t xml:space="preserve"> Electricity usage of destratification fans.
Assumptions: 2 ACH  (Bulk Storage: 32,197 cfm (965,908*2/60)  FineStorage:12808 cfm (384,263*2/60)) ,  3 HVLS fans each ~15,000 cfm and 1.5 kw for each: Total 0.09  w/sf 
https://continentalfan.com/wp-content/uploads/2022/12/Destratification_Fans_Wholesale_Ventilation_Products.pdf?
</t>
    </r>
    <r>
      <rPr>
        <b/>
        <u/>
        <sz val="10"/>
        <color rgb="FF000000"/>
        <rFont val="Arial"/>
        <family val="2"/>
      </rPr>
      <t>Forklift:</t>
    </r>
    <r>
      <rPr>
        <sz val="10"/>
        <color rgb="FF000000"/>
        <rFont val="Arial"/>
        <family val="2"/>
      </rPr>
      <t xml:space="preserve"> Electricity usage for charging forklift machines/robots, distributed to both storage spaces. 
Assumption: 5 chargers each 10 K ,  0.7 diversity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</si>
</sst>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1">
    <numFmt numFmtId="43" formatCode="_(* #,##0.00_);_(* \(#,##0.00\);_(* &quot;-&quot;??_);_(@_)"/>
    <numFmt numFmtId="164" formatCode="0.0%"/>
    <numFmt numFmtId="165" formatCode="0.0"/>
    <numFmt numFmtId="166" formatCode="#,##0.0"/>
    <numFmt numFmtId="167" formatCode="0.000"/>
    <numFmt numFmtId="168" formatCode="_(* #,##0_);_(* \(#,##0\);_(* &quot;-&quot;??_);_(@_)"/>
    <numFmt numFmtId="169" formatCode="#,##0;\-0;[Color15]0"/>
    <numFmt numFmtId="170" formatCode="#,##0.0;\-0.0;[Color15]0.0"/>
    <numFmt numFmtId="171" formatCode="_(* #,##0.0_);_(* \(#,##0.0\);_(* &quot;-&quot;??_);_(@_)"/>
    <numFmt numFmtId="172" formatCode="_(* #,##0.000_);_(* \(#,##0.000\);_(* &quot;-&quot;???_);_(@_)"/>
    <numFmt numFmtId="173" formatCode="0.0000"/>
  </numFmts>
  <fonts count="73" x14ac:knownFonts="1">
    <font>
      <sz val="11"/>
      <color theme="1"/>
      <name val="Calibri"/>
      <family val="2"/>
      <scheme val="minor"/>
    </font>
    <font>
      <sz val="10"/>
      <name val="Arial"/>
      <family val="2"/>
    </font>
    <font>
      <sz val="11"/>
      <color theme="1"/>
      <name val="Calibri"/>
      <family val="2"/>
      <scheme val="minor"/>
    </font>
    <font>
      <b/>
      <sz val="11"/>
      <color theme="1"/>
      <name val="Calibri"/>
      <family val="2"/>
      <scheme val="minor"/>
    </font>
    <font>
      <sz val="8"/>
      <color indexed="8"/>
      <name val="MS Sans Serif"/>
      <family val="2"/>
    </font>
    <font>
      <sz val="8"/>
      <name val="Calibri"/>
      <family val="2"/>
      <scheme val="minor"/>
    </font>
    <font>
      <sz val="10"/>
      <color theme="1"/>
      <name val="Arial"/>
      <family val="2"/>
    </font>
    <font>
      <b/>
      <sz val="10"/>
      <color theme="1"/>
      <name val="Arial"/>
      <family val="2"/>
    </font>
    <font>
      <u/>
      <sz val="11"/>
      <color theme="10"/>
      <name val="Calibri"/>
      <family val="2"/>
      <scheme val="minor"/>
    </font>
    <font>
      <b/>
      <sz val="11"/>
      <color theme="0"/>
      <name val="Calibri"/>
      <family val="2"/>
      <scheme val="minor"/>
    </font>
    <font>
      <sz val="10"/>
      <color indexed="8"/>
      <name val="Arial"/>
      <family val="2"/>
    </font>
    <font>
      <sz val="11"/>
      <color theme="0"/>
      <name val="Calibri"/>
      <family val="2"/>
      <scheme val="minor"/>
    </font>
    <font>
      <sz val="11"/>
      <color theme="1"/>
      <name val="Arial"/>
      <family val="2"/>
    </font>
    <font>
      <b/>
      <sz val="12"/>
      <color theme="0"/>
      <name val="Arial"/>
      <family val="2"/>
    </font>
    <font>
      <sz val="11"/>
      <color rgb="FF000000"/>
      <name val="Calibri"/>
      <family val="2"/>
      <scheme val="minor"/>
    </font>
    <font>
      <b/>
      <sz val="14"/>
      <color theme="1"/>
      <name val="Arial"/>
      <family val="2"/>
    </font>
    <font>
      <u/>
      <sz val="10"/>
      <color theme="10"/>
      <name val="Arial"/>
      <family val="2"/>
    </font>
    <font>
      <b/>
      <sz val="11"/>
      <color rgb="FF000000"/>
      <name val="Calibri"/>
      <family val="2"/>
      <scheme val="minor"/>
    </font>
    <font>
      <sz val="11"/>
      <color rgb="FF0070C0"/>
      <name val="Arial"/>
      <family val="2"/>
    </font>
    <font>
      <b/>
      <sz val="10"/>
      <name val="Arial"/>
      <family val="2"/>
    </font>
    <font>
      <b/>
      <sz val="10"/>
      <color indexed="8"/>
      <name val="Arial"/>
      <family val="2"/>
    </font>
    <font>
      <sz val="10"/>
      <color rgb="FF000000"/>
      <name val="Arial"/>
      <family val="2"/>
    </font>
    <font>
      <sz val="9"/>
      <color theme="1"/>
      <name val="Arial"/>
      <family val="2"/>
    </font>
    <font>
      <sz val="10"/>
      <color rgb="FF000000"/>
      <name val="Arial"/>
      <family val="2"/>
    </font>
    <font>
      <b/>
      <sz val="10"/>
      <color rgb="FF000000"/>
      <name val="Arial"/>
      <family val="2"/>
    </font>
    <font>
      <b/>
      <sz val="9"/>
      <color theme="0"/>
      <name val="Arial"/>
      <family val="2"/>
    </font>
    <font>
      <sz val="11"/>
      <color theme="1"/>
      <name val="Arial"/>
      <family val="2"/>
    </font>
    <font>
      <b/>
      <sz val="14"/>
      <color theme="1"/>
      <name val="Arial"/>
      <family val="2"/>
    </font>
    <font>
      <sz val="11"/>
      <color theme="0"/>
      <name val="Arial"/>
      <family val="2"/>
    </font>
    <font>
      <sz val="12"/>
      <color theme="1"/>
      <name val="Arial"/>
      <family val="2"/>
    </font>
    <font>
      <b/>
      <sz val="11"/>
      <color rgb="FF0000CC"/>
      <name val="Arial"/>
      <family val="2"/>
    </font>
    <font>
      <sz val="11"/>
      <color rgb="FF000000"/>
      <name val="Arial"/>
      <family val="2"/>
    </font>
    <font>
      <sz val="11"/>
      <name val="Aptos Narrow"/>
      <family val="2"/>
    </font>
    <font>
      <sz val="11"/>
      <color rgb="FF000000"/>
      <name val="Aptos Narrow"/>
      <family val="2"/>
    </font>
    <font>
      <sz val="10"/>
      <color rgb="FF0070C0"/>
      <name val="Arial"/>
      <family val="2"/>
    </font>
    <font>
      <sz val="9"/>
      <color rgb="FF0070C0"/>
      <name val="Arial"/>
      <family val="2"/>
    </font>
    <font>
      <sz val="11"/>
      <color rgb="FF000000"/>
      <name val="Arial"/>
      <family val="2"/>
    </font>
    <font>
      <b/>
      <sz val="12"/>
      <color rgb="FFFFFFFF"/>
      <name val="Arial"/>
      <family val="2"/>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0000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sz val="11"/>
      <color rgb="FF000000"/>
      <name val="Calibri"/>
      <family val="2"/>
      <scheme val="minor"/>
    </font>
    <font>
      <i/>
      <sz val="11"/>
      <color rgb="FF7F7F7F"/>
      <name val="Calibri"/>
      <family val="2"/>
      <scheme val="minor"/>
    </font>
    <font>
      <sz val="10"/>
      <color rgb="FF8238BA"/>
      <name val="Arial"/>
      <family val="2"/>
    </font>
    <font>
      <sz val="10"/>
      <color rgb="FF00B050"/>
      <name val="Arial"/>
      <family val="2"/>
    </font>
    <font>
      <b/>
      <sz val="18"/>
      <color theme="3"/>
      <name val="Calibri Light"/>
      <family val="2"/>
      <scheme val="major"/>
    </font>
    <font>
      <sz val="11"/>
      <color rgb="FF9C6500"/>
      <name val="Calibri"/>
      <family val="2"/>
      <scheme val="minor"/>
    </font>
    <font>
      <sz val="9"/>
      <name val="Arial"/>
      <family val="2"/>
    </font>
    <font>
      <sz val="10"/>
      <color rgb="FF000000"/>
      <name val="Tahoma"/>
      <family val="2"/>
    </font>
    <font>
      <sz val="9"/>
      <color rgb="FF00B050"/>
      <name val="Arial"/>
      <family val="2"/>
    </font>
    <font>
      <sz val="11"/>
      <name val="Arial"/>
      <family val="2"/>
    </font>
    <font>
      <sz val="9"/>
      <color rgb="FF7030A0"/>
      <name val="Arial"/>
      <family val="2"/>
    </font>
    <font>
      <b/>
      <u/>
      <sz val="10"/>
      <color rgb="FF000000"/>
      <name val="Arial"/>
      <family val="2"/>
    </font>
    <font>
      <u/>
      <sz val="11"/>
      <color rgb="FF000000"/>
      <name val="Calibri"/>
      <family val="2"/>
      <scheme val="minor"/>
    </font>
    <font>
      <b/>
      <sz val="10"/>
      <color rgb="FF000000"/>
      <name val="Arial"/>
      <family val="2"/>
    </font>
    <font>
      <sz val="11"/>
      <color rgb="FF000000"/>
      <name val="Calibri"/>
      <family val="2"/>
    </font>
    <font>
      <strike/>
      <sz val="11"/>
      <color rgb="FF000000"/>
      <name val="Aptos Narrow"/>
      <family val="2"/>
    </font>
    <font>
      <sz val="11"/>
      <color theme="1"/>
      <name val="Calibri"/>
      <family val="2"/>
    </font>
    <font>
      <sz val="11"/>
      <color theme="1"/>
      <name val="Segoe UI"/>
      <family val="2"/>
    </font>
    <font>
      <u/>
      <sz val="10"/>
      <color theme="10"/>
      <name val="Calibri"/>
      <family val="2"/>
      <scheme val="minor"/>
    </font>
    <font>
      <sz val="10"/>
      <color rgb="FFFFFFFF"/>
      <name val="Arial"/>
      <family val="2"/>
    </font>
    <font>
      <sz val="11"/>
      <color rgb="FF000000"/>
      <name val="Arial"/>
      <family val="2"/>
    </font>
    <font>
      <sz val="10"/>
      <color theme="1"/>
      <name val="Arial"/>
      <family val="2"/>
    </font>
    <font>
      <b/>
      <sz val="11"/>
      <color rgb="FF000000"/>
      <name val="Arial"/>
      <family val="2"/>
    </font>
    <font>
      <sz val="10"/>
      <name val="Arial"/>
      <family val="2"/>
    </font>
    <font>
      <b/>
      <sz val="11"/>
      <color rgb="FFFFFFFF"/>
      <name val="Arial"/>
      <family val="2"/>
    </font>
    <font>
      <sz val="10"/>
      <color rgb="FFFF0000"/>
      <name val="Arial"/>
      <family val="2"/>
    </font>
  </fonts>
  <fills count="55">
    <fill>
      <patternFill patternType="none"/>
    </fill>
    <fill>
      <patternFill patternType="gray125"/>
    </fill>
    <fill>
      <patternFill patternType="solid">
        <fgColor rgb="FF92D050"/>
        <bgColor indexed="64"/>
      </patternFill>
    </fill>
    <fill>
      <patternFill patternType="solid">
        <fgColor theme="0" tint="-0.249977111117893"/>
        <bgColor indexed="64"/>
      </patternFill>
    </fill>
    <fill>
      <patternFill patternType="solid">
        <fgColor theme="0"/>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4" tint="-0.499984740745262"/>
        <bgColor indexed="64"/>
      </patternFill>
    </fill>
    <fill>
      <patternFill patternType="solid">
        <fgColor rgb="FFD9E1F2"/>
        <bgColor rgb="FF000000"/>
      </patternFill>
    </fill>
    <fill>
      <patternFill patternType="solid">
        <fgColor rgb="FF203764"/>
        <bgColor rgb="FF000000"/>
      </patternFill>
    </fill>
    <fill>
      <patternFill patternType="solid">
        <fgColor theme="0" tint="-0.34998626667073579"/>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E2EFDA"/>
        <bgColor rgb="FF000000"/>
      </patternFill>
    </fill>
    <fill>
      <patternFill patternType="solid">
        <fgColor rgb="FFFFFFFF"/>
        <bgColor rgb="FF000000"/>
      </patternFill>
    </fill>
    <fill>
      <patternFill patternType="solid">
        <fgColor rgb="FFD9D9D9"/>
        <bgColor rgb="FF000000"/>
      </patternFill>
    </fill>
    <fill>
      <patternFill patternType="solid">
        <fgColor rgb="FF203864"/>
      </patternFill>
    </fill>
    <fill>
      <patternFill patternType="solid">
        <fgColor rgb="FFD9E1F2"/>
      </patternFill>
    </fill>
    <fill>
      <patternFill patternType="solid">
        <fgColor rgb="FFEAF1F8"/>
      </patternFill>
    </fill>
    <fill>
      <patternFill patternType="solid">
        <fgColor theme="5" tint="0.79998168889431442"/>
        <bgColor indexed="64"/>
      </patternFill>
    </fill>
    <fill>
      <patternFill patternType="solid">
        <fgColor theme="8" tint="0.79998168889431442"/>
        <bgColor indexed="64"/>
      </patternFill>
    </fill>
    <fill>
      <patternFill patternType="solid">
        <fgColor rgb="FFF5F8FA"/>
        <bgColor indexed="64"/>
      </patternFill>
    </fill>
    <fill>
      <patternFill patternType="solid">
        <fgColor rgb="FFF2F2F2"/>
        <bgColor indexed="64"/>
      </patternFill>
    </fill>
    <fill>
      <patternFill patternType="solid">
        <fgColor rgb="FF8F8F8F"/>
        <bgColor indexed="64"/>
      </patternFill>
    </fill>
    <fill>
      <patternFill patternType="solid">
        <fgColor rgb="FFA6A6A6"/>
        <bgColor indexed="64"/>
      </patternFill>
    </fill>
  </fills>
  <borders count="283">
    <border>
      <left/>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indexed="64"/>
      </left>
      <right style="thin">
        <color indexed="64"/>
      </right>
      <top style="thin">
        <color indexed="64"/>
      </top>
      <bottom style="medium">
        <color indexed="64"/>
      </bottom>
      <diagonal/>
    </border>
    <border>
      <left style="thin">
        <color theme="1"/>
      </left>
      <right style="thin">
        <color theme="1"/>
      </right>
      <top style="thin">
        <color theme="1"/>
      </top>
      <bottom style="thin">
        <color theme="1"/>
      </bottom>
      <diagonal/>
    </border>
    <border>
      <left/>
      <right/>
      <top/>
      <bottom style="thin">
        <color theme="1"/>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rgb="FF808080"/>
      </right>
      <top style="thin">
        <color rgb="FF808080"/>
      </top>
      <bottom style="thin">
        <color rgb="FF808080"/>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theme="1" tint="0.34998626667073579"/>
      </left>
      <right style="medium">
        <color theme="1" tint="0.34998626667073579"/>
      </right>
      <top style="medium">
        <color theme="1" tint="0.34998626667073579"/>
      </top>
      <bottom style="medium">
        <color theme="1" tint="0.34998626667073579"/>
      </bottom>
      <diagonal/>
    </border>
    <border>
      <left style="thin">
        <color indexed="64"/>
      </left>
      <right style="medium">
        <color indexed="64"/>
      </right>
      <top style="thin">
        <color indexed="64"/>
      </top>
      <bottom/>
      <diagonal/>
    </border>
    <border>
      <left style="medium">
        <color theme="1" tint="0.34998626667073579"/>
      </left>
      <right style="thin">
        <color indexed="64"/>
      </right>
      <top style="medium">
        <color theme="1" tint="0.34998626667073579"/>
      </top>
      <bottom/>
      <diagonal/>
    </border>
    <border>
      <left style="thin">
        <color indexed="64"/>
      </left>
      <right style="thin">
        <color indexed="64"/>
      </right>
      <top style="medium">
        <color theme="1" tint="0.34998626667073579"/>
      </top>
      <bottom style="thin">
        <color indexed="64"/>
      </bottom>
      <diagonal/>
    </border>
    <border>
      <left style="thin">
        <color indexed="64"/>
      </left>
      <right style="medium">
        <color theme="1" tint="0.34998626667073579"/>
      </right>
      <top style="medium">
        <color theme="1" tint="0.34998626667073579"/>
      </top>
      <bottom style="thin">
        <color indexed="64"/>
      </bottom>
      <diagonal/>
    </border>
    <border>
      <left style="medium">
        <color theme="1" tint="0.34998626667073579"/>
      </left>
      <right style="thin">
        <color indexed="64"/>
      </right>
      <top/>
      <bottom style="medium">
        <color theme="1" tint="0.34998626667073579"/>
      </bottom>
      <diagonal/>
    </border>
    <border>
      <left style="thin">
        <color indexed="64"/>
      </left>
      <right style="thin">
        <color indexed="64"/>
      </right>
      <top style="thin">
        <color indexed="64"/>
      </top>
      <bottom style="medium">
        <color theme="1" tint="0.34998626667073579"/>
      </bottom>
      <diagonal/>
    </border>
    <border>
      <left style="thin">
        <color indexed="64"/>
      </left>
      <right style="medium">
        <color theme="1" tint="0.34998626667073579"/>
      </right>
      <top style="thin">
        <color indexed="64"/>
      </top>
      <bottom style="medium">
        <color theme="1" tint="0.34998626667073579"/>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theme="1" tint="0.34998626667073579"/>
      </left>
      <right/>
      <top style="thin">
        <color theme="1" tint="0.34998626667073579"/>
      </top>
      <bottom style="thin">
        <color theme="1" tint="0.34998626667073579"/>
      </bottom>
      <diagonal/>
    </border>
    <border>
      <left/>
      <right style="thin">
        <color theme="1" tint="0.34998626667073579"/>
      </right>
      <top style="thin">
        <color theme="1" tint="0.34998626667073579"/>
      </top>
      <bottom style="thin">
        <color theme="1" tint="0.34998626667073579"/>
      </bottom>
      <diagonal/>
    </border>
    <border>
      <left style="thin">
        <color theme="1" tint="0.499984740745262"/>
      </left>
      <right style="thin">
        <color theme="1" tint="0.499984740745262"/>
      </right>
      <top style="medium">
        <color indexed="64"/>
      </top>
      <bottom style="thin">
        <color theme="1" tint="0.499984740745262"/>
      </bottom>
      <diagonal/>
    </border>
    <border>
      <left style="thin">
        <color theme="1" tint="0.499984740745262"/>
      </left>
      <right style="medium">
        <color indexed="64"/>
      </right>
      <top style="medium">
        <color indexed="64"/>
      </top>
      <bottom style="thin">
        <color theme="1" tint="0.499984740745262"/>
      </bottom>
      <diagonal/>
    </border>
    <border>
      <left/>
      <right style="thin">
        <color theme="1" tint="0.499984740745262"/>
      </right>
      <top style="medium">
        <color indexed="64"/>
      </top>
      <bottom style="thin">
        <color theme="1"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medium">
        <color indexed="64"/>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style="medium">
        <color indexed="64"/>
      </right>
      <top style="thin">
        <color theme="1" tint="0.499984740745262"/>
      </top>
      <bottom/>
      <diagonal/>
    </border>
    <border>
      <left/>
      <right style="thin">
        <color theme="1" tint="0.499984740745262"/>
      </right>
      <top style="thin">
        <color theme="1" tint="0.499984740745262"/>
      </top>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medium">
        <color indexed="64"/>
      </right>
      <top style="thin">
        <color theme="1" tint="0.499984740745262"/>
      </top>
      <bottom style="medium">
        <color indexed="64"/>
      </bottom>
      <diagonal/>
    </border>
    <border>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bottom style="thin">
        <color theme="1" tint="0.499984740745262"/>
      </bottom>
      <diagonal/>
    </border>
    <border>
      <left style="thin">
        <color theme="1" tint="0.499984740745262"/>
      </left>
      <right style="medium">
        <color indexed="64"/>
      </right>
      <top/>
      <bottom style="thin">
        <color theme="1" tint="0.499984740745262"/>
      </bottom>
      <diagonal/>
    </border>
    <border>
      <left/>
      <right style="thin">
        <color theme="1" tint="0.499984740745262"/>
      </right>
      <top/>
      <bottom style="thin">
        <color theme="1" tint="0.499984740745262"/>
      </bottom>
      <diagonal/>
    </border>
    <border>
      <left style="medium">
        <color indexed="64"/>
      </left>
      <right/>
      <top/>
      <bottom/>
      <diagonal/>
    </border>
    <border>
      <left/>
      <right style="medium">
        <color indexed="64"/>
      </right>
      <top/>
      <bottom/>
      <diagonal/>
    </border>
    <border>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theme="1" tint="0.499984740745262"/>
      </left>
      <right style="thin">
        <color theme="1" tint="0.499984740745262"/>
      </right>
      <top style="medium">
        <color theme="1" tint="0.34998626667073579"/>
      </top>
      <bottom style="thin">
        <color theme="1" tint="0.499984740745262"/>
      </bottom>
      <diagonal/>
    </border>
    <border>
      <left/>
      <right style="thin">
        <color theme="1" tint="0.499984740745262"/>
      </right>
      <top style="medium">
        <color theme="1" tint="0.34998626667073579"/>
      </top>
      <bottom style="thin">
        <color theme="1" tint="0.499984740745262"/>
      </bottom>
      <diagonal/>
    </border>
    <border>
      <left style="thin">
        <color theme="1" tint="0.499984740745262"/>
      </left>
      <right style="medium">
        <color theme="1" tint="0.34998626667073579"/>
      </right>
      <top style="medium">
        <color theme="1" tint="0.34998626667073579"/>
      </top>
      <bottom style="thin">
        <color theme="1" tint="0.499984740745262"/>
      </bottom>
      <diagonal/>
    </border>
    <border>
      <left style="thin">
        <color theme="1" tint="0.499984740745262"/>
      </left>
      <right style="medium">
        <color theme="1" tint="0.34998626667073579"/>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style="medium">
        <color theme="1" tint="0.34998626667073579"/>
      </bottom>
      <diagonal/>
    </border>
    <border>
      <left/>
      <right style="thin">
        <color theme="1" tint="0.499984740745262"/>
      </right>
      <top style="thin">
        <color theme="1" tint="0.499984740745262"/>
      </top>
      <bottom style="medium">
        <color theme="1" tint="0.34998626667073579"/>
      </bottom>
      <diagonal/>
    </border>
    <border>
      <left style="thin">
        <color theme="1" tint="0.499984740745262"/>
      </left>
      <right style="medium">
        <color theme="1" tint="0.34998626667073579"/>
      </right>
      <top style="thin">
        <color theme="1" tint="0.499984740745262"/>
      </top>
      <bottom style="medium">
        <color theme="1" tint="0.34998626667073579"/>
      </bottom>
      <diagonal/>
    </border>
    <border>
      <left style="medium">
        <color theme="1" tint="0.34998626667073579"/>
      </left>
      <right style="thin">
        <color indexed="64"/>
      </right>
      <top/>
      <bottom/>
      <diagonal/>
    </border>
    <border>
      <left style="thin">
        <color indexed="64"/>
      </left>
      <right style="medium">
        <color theme="1" tint="0.34998626667073579"/>
      </right>
      <top style="thin">
        <color indexed="64"/>
      </top>
      <bottom style="thin">
        <color indexed="64"/>
      </bottom>
      <diagonal/>
    </border>
    <border>
      <left style="medium">
        <color theme="1" tint="0.34998626667073579"/>
      </left>
      <right style="thin">
        <color indexed="64"/>
      </right>
      <top style="medium">
        <color theme="1" tint="0.34998626667073579"/>
      </top>
      <bottom style="medium">
        <color theme="1" tint="0.34998626667073579"/>
      </bottom>
      <diagonal/>
    </border>
    <border>
      <left style="thin">
        <color indexed="64"/>
      </left>
      <right/>
      <top style="medium">
        <color theme="1" tint="0.34998626667073579"/>
      </top>
      <bottom style="medium">
        <color theme="1" tint="0.34998626667073579"/>
      </bottom>
      <diagonal/>
    </border>
    <border>
      <left style="thin">
        <color theme="1" tint="0.34998626667073579"/>
      </left>
      <right style="thin">
        <color theme="1" tint="0.34998626667073579"/>
      </right>
      <top style="medium">
        <color theme="1" tint="0.34998626667073579"/>
      </top>
      <bottom style="medium">
        <color theme="1" tint="0.34998626667073579"/>
      </bottom>
      <diagonal/>
    </border>
    <border>
      <left style="thin">
        <color theme="1" tint="0.34998626667073579"/>
      </left>
      <right style="medium">
        <color theme="1" tint="0.34998626667073579"/>
      </right>
      <top style="medium">
        <color theme="1" tint="0.34998626667073579"/>
      </top>
      <bottom style="medium">
        <color theme="1" tint="0.34998626667073579"/>
      </bottom>
      <diagonal/>
    </border>
    <border>
      <left style="medium">
        <color theme="1" tint="0.34998626667073579"/>
      </left>
      <right style="medium">
        <color theme="1" tint="0.34998626667073579"/>
      </right>
      <top style="medium">
        <color theme="1" tint="0.34998626667073579"/>
      </top>
      <bottom/>
      <diagonal/>
    </border>
    <border>
      <left style="medium">
        <color theme="1" tint="0.34998626667073579"/>
      </left>
      <right style="medium">
        <color theme="1" tint="0.34998626667073579"/>
      </right>
      <top/>
      <bottom/>
      <diagonal/>
    </border>
    <border>
      <left style="medium">
        <color theme="1" tint="0.34998626667073579"/>
      </left>
      <right style="medium">
        <color theme="1" tint="0.34998626667073579"/>
      </right>
      <top/>
      <bottom style="medium">
        <color theme="1" tint="0.34998626667073579"/>
      </bottom>
      <diagonal/>
    </border>
    <border>
      <left style="thin">
        <color rgb="FF808080"/>
      </left>
      <right style="thin">
        <color rgb="FF808080"/>
      </right>
      <top/>
      <bottom style="thin">
        <color rgb="FF808080"/>
      </bottom>
      <diagonal/>
    </border>
    <border>
      <left style="thin">
        <color theme="1" tint="4.9989318521683403E-2"/>
      </left>
      <right style="thin">
        <color theme="1" tint="4.9989318521683403E-2"/>
      </right>
      <top style="thin">
        <color theme="1" tint="4.9989318521683403E-2"/>
      </top>
      <bottom style="thin">
        <color theme="1" tint="4.9989318521683403E-2"/>
      </bottom>
      <diagonal/>
    </border>
    <border>
      <left style="thin">
        <color rgb="FF808080"/>
      </left>
      <right style="thin">
        <color rgb="FF808080"/>
      </right>
      <top/>
      <bottom/>
      <diagonal/>
    </border>
    <border>
      <left style="thin">
        <color theme="1"/>
      </left>
      <right style="thin">
        <color theme="1"/>
      </right>
      <top style="thin">
        <color theme="1"/>
      </top>
      <bottom/>
      <diagonal/>
    </border>
    <border>
      <left style="thin">
        <color theme="1"/>
      </left>
      <right/>
      <top/>
      <bottom style="thin">
        <color theme="1"/>
      </bottom>
      <diagonal/>
    </border>
    <border>
      <left style="thin">
        <color theme="1"/>
      </left>
      <right style="thin">
        <color theme="1"/>
      </right>
      <top/>
      <bottom style="thin">
        <color theme="1"/>
      </bottom>
      <diagonal/>
    </border>
    <border>
      <left style="thin">
        <color theme="1" tint="4.9989318521683403E-2"/>
      </left>
      <right style="thin">
        <color theme="1" tint="4.9989318521683403E-2"/>
      </right>
      <top style="thin">
        <color theme="1" tint="4.9989318521683403E-2"/>
      </top>
      <bottom/>
      <diagonal/>
    </border>
    <border>
      <left style="thin">
        <color rgb="FF808080"/>
      </left>
      <right style="thin">
        <color rgb="FF808080"/>
      </right>
      <top style="thin">
        <color theme="0" tint="-0.499984740745262"/>
      </top>
      <bottom/>
      <diagonal/>
    </border>
    <border>
      <left style="thin">
        <color rgb="FF808080"/>
      </left>
      <right style="thin">
        <color theme="0" tint="-0.499984740745262"/>
      </right>
      <top style="thin">
        <color indexed="64"/>
      </top>
      <bottom/>
      <diagonal/>
    </border>
    <border>
      <left style="thin">
        <color rgb="FF808080"/>
      </left>
      <right style="thin">
        <color theme="0" tint="-0.499984740745262"/>
      </right>
      <top/>
      <bottom/>
      <diagonal/>
    </border>
    <border>
      <left style="thin">
        <color rgb="FF808080"/>
      </left>
      <right style="thin">
        <color theme="0" tint="-0.499984740745262"/>
      </right>
      <top/>
      <bottom style="thin">
        <color theme="0" tint="-0.499984740745262"/>
      </bottom>
      <diagonal/>
    </border>
    <border>
      <left style="thin">
        <color theme="0" tint="-0.499984740745262"/>
      </left>
      <right style="thin">
        <color rgb="FF808080"/>
      </right>
      <top style="thin">
        <color theme="0" tint="-0.499984740745262"/>
      </top>
      <bottom/>
      <diagonal/>
    </border>
    <border>
      <left style="thin">
        <color theme="0" tint="-0.499984740745262"/>
      </left>
      <right style="thin">
        <color rgb="FF808080"/>
      </right>
      <top/>
      <bottom/>
      <diagonal/>
    </border>
    <border>
      <left style="thin">
        <color theme="0" tint="-0.499984740745262"/>
      </left>
      <right style="thin">
        <color rgb="FF808080"/>
      </right>
      <top/>
      <bottom style="thin">
        <color rgb="FF808080"/>
      </bottom>
      <diagonal/>
    </border>
    <border>
      <left style="thin">
        <color theme="1" tint="0.34998626667073579"/>
      </left>
      <right style="thin">
        <color theme="1" tint="0.34998626667073579"/>
      </right>
      <top style="thin">
        <color theme="1" tint="0.34998626667073579"/>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rgb="FF0D0D0D"/>
      </right>
      <top style="thin">
        <color rgb="FF0D0D0D"/>
      </top>
      <bottom/>
      <diagonal/>
    </border>
    <border>
      <left/>
      <right style="thin">
        <color rgb="FF0D0D0D"/>
      </right>
      <top/>
      <bottom/>
      <diagonal/>
    </border>
    <border>
      <left style="thin">
        <color rgb="FF0D0D0D"/>
      </left>
      <right style="thin">
        <color rgb="FF0D0D0D"/>
      </right>
      <top style="thin">
        <color rgb="FF0D0D0D"/>
      </top>
      <bottom/>
      <diagonal/>
    </border>
    <border>
      <left style="thin">
        <color rgb="FF0D0D0D"/>
      </left>
      <right style="thin">
        <color rgb="FF0D0D0D"/>
      </right>
      <top/>
      <bottom/>
      <diagonal/>
    </border>
    <border>
      <left style="thin">
        <color rgb="FF0D0D0D"/>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theme="1" tint="4.9989318521683403E-2"/>
      </right>
      <top style="thin">
        <color theme="1" tint="4.9989318521683403E-2"/>
      </top>
      <bottom style="thin">
        <color theme="1" tint="4.9989318521683403E-2"/>
      </bottom>
      <diagonal/>
    </border>
    <border>
      <left style="thin">
        <color theme="1" tint="4.9989318521683403E-2"/>
      </left>
      <right/>
      <top style="thin">
        <color theme="1" tint="4.9989318521683403E-2"/>
      </top>
      <bottom style="thin">
        <color theme="1" tint="4.9989318521683403E-2"/>
      </bottom>
      <diagonal/>
    </border>
    <border>
      <left/>
      <right/>
      <top style="thin">
        <color theme="1" tint="4.9989318521683403E-2"/>
      </top>
      <bottom style="thin">
        <color theme="1" tint="4.9989318521683403E-2"/>
      </bottom>
      <diagonal/>
    </border>
    <border>
      <left style="thin">
        <color theme="1" tint="0.34998626667073579"/>
      </left>
      <right/>
      <top/>
      <bottom/>
      <diagonal/>
    </border>
    <border>
      <left/>
      <right/>
      <top style="thin">
        <color theme="1" tint="0.34998626667073579"/>
      </top>
      <bottom/>
      <diagonal/>
    </border>
    <border>
      <left/>
      <right style="thin">
        <color theme="1" tint="0.34998626667073579"/>
      </right>
      <top style="thin">
        <color theme="1" tint="0.34998626667073579"/>
      </top>
      <bottom/>
      <diagonal/>
    </border>
    <border>
      <left/>
      <right style="thin">
        <color theme="1" tint="0.34998626667073579"/>
      </right>
      <top/>
      <bottom/>
      <diagonal/>
    </border>
    <border>
      <left style="thin">
        <color theme="1" tint="4.9989318521683403E-2"/>
      </left>
      <right style="thin">
        <color theme="1" tint="4.9989318521683403E-2"/>
      </right>
      <top style="thin">
        <color theme="1" tint="4.9989318521683403E-2"/>
      </top>
      <bottom style="thin">
        <color theme="1" tint="0.34998626667073579"/>
      </bottom>
      <diagonal/>
    </border>
    <border>
      <left style="thin">
        <color theme="1" tint="0.34998626667073579"/>
      </left>
      <right style="thin">
        <color theme="1" tint="0.34998626667073579"/>
      </right>
      <top style="medium">
        <color indexed="64"/>
      </top>
      <bottom style="thin">
        <color theme="1" tint="0.34998626667073579"/>
      </bottom>
      <diagonal/>
    </border>
    <border>
      <left style="thin">
        <color theme="1" tint="0.34998626667073579"/>
      </left>
      <right style="medium">
        <color indexed="64"/>
      </right>
      <top style="medium">
        <color indexed="64"/>
      </top>
      <bottom/>
      <diagonal/>
    </border>
    <border>
      <left style="thin">
        <color theme="1" tint="0.34998626667073579"/>
      </left>
      <right style="thin">
        <color theme="1" tint="0.34998626667073579"/>
      </right>
      <top/>
      <bottom/>
      <diagonal/>
    </border>
    <border>
      <left style="thin">
        <color theme="1" tint="0.34998626667073579"/>
      </left>
      <right style="medium">
        <color indexed="64"/>
      </right>
      <top/>
      <bottom/>
      <diagonal/>
    </border>
    <border>
      <left style="thin">
        <color theme="1" tint="0.34998626667073579"/>
      </left>
      <right style="thin">
        <color theme="1" tint="0.34998626667073579"/>
      </right>
      <top/>
      <bottom style="medium">
        <color theme="1" tint="0.34998626667073579"/>
      </bottom>
      <diagonal/>
    </border>
    <border>
      <left style="thin">
        <color theme="1" tint="0.34998626667073579"/>
      </left>
      <right style="medium">
        <color indexed="64"/>
      </right>
      <top/>
      <bottom style="medium">
        <color indexed="64"/>
      </bottom>
      <diagonal/>
    </border>
    <border>
      <left style="thin">
        <color theme="1" tint="0.34998626667073579"/>
      </left>
      <right style="thin">
        <color theme="1" tint="0.34998626667073579"/>
      </right>
      <top style="medium">
        <color theme="1" tint="0.34998626667073579"/>
      </top>
      <bottom style="thin">
        <color theme="1" tint="0.34998626667073579"/>
      </bottom>
      <diagonal/>
    </border>
    <border>
      <left/>
      <right style="thin">
        <color theme="1" tint="0.34998626667073579"/>
      </right>
      <top style="medium">
        <color theme="1" tint="0.34998626667073579"/>
      </top>
      <bottom style="thin">
        <color theme="1" tint="0.34998626667073579"/>
      </bottom>
      <diagonal/>
    </border>
    <border>
      <left style="thin">
        <color indexed="64"/>
      </left>
      <right style="thin">
        <color indexed="64"/>
      </right>
      <top style="medium">
        <color indexed="64"/>
      </top>
      <bottom/>
      <diagonal/>
    </border>
    <border>
      <left style="thin">
        <color theme="1" tint="0.34998626667073579"/>
      </left>
      <right style="medium">
        <color indexed="64"/>
      </right>
      <top/>
      <bottom style="medium">
        <color theme="1" tint="0.34998626667073579"/>
      </bottom>
      <diagonal/>
    </border>
    <border>
      <left style="thin">
        <color theme="1" tint="0.34998626667073579"/>
      </left>
      <right style="thin">
        <color theme="1" tint="0.34998626667073579"/>
      </right>
      <top style="thin">
        <color theme="1" tint="0.34998626667073579"/>
      </top>
      <bottom style="medium">
        <color theme="1" tint="0.34998626667073579"/>
      </bottom>
      <diagonal/>
    </border>
    <border>
      <left/>
      <right style="thin">
        <color theme="1" tint="0.34998626667073579"/>
      </right>
      <top style="thin">
        <color theme="1" tint="0.34998626667073579"/>
      </top>
      <bottom style="medium">
        <color theme="1" tint="0.34998626667073579"/>
      </bottom>
      <diagonal/>
    </border>
    <border>
      <left style="thin">
        <color theme="1" tint="0.34998626667073579"/>
      </left>
      <right style="thin">
        <color theme="1" tint="0.34998626667073579"/>
      </right>
      <top/>
      <bottom style="thin">
        <color theme="1" tint="0.34998626667073579"/>
      </bottom>
      <diagonal/>
    </border>
    <border>
      <left/>
      <right style="thin">
        <color theme="1" tint="0.34998626667073579"/>
      </right>
      <top/>
      <bottom style="thin">
        <color theme="1" tint="0.34998626667073579"/>
      </bottom>
      <diagonal/>
    </border>
    <border>
      <left style="thin">
        <color theme="1" tint="0.34998626667073579"/>
      </left>
      <right style="medium">
        <color indexed="64"/>
      </right>
      <top style="medium">
        <color indexed="64"/>
      </top>
      <bottom style="thin">
        <color theme="1" tint="0.34998626667073579"/>
      </bottom>
      <diagonal/>
    </border>
    <border>
      <left style="thin">
        <color theme="1" tint="0.34998626667073579"/>
      </left>
      <right style="medium">
        <color theme="1" tint="0.34998626667073579"/>
      </right>
      <top/>
      <bottom style="thin">
        <color theme="1" tint="0.34998626667073579"/>
      </bottom>
      <diagonal/>
    </border>
    <border>
      <left style="thin">
        <color theme="1" tint="0.34998626667073579"/>
      </left>
      <right style="medium">
        <color indexed="64"/>
      </right>
      <top style="thin">
        <color theme="1" tint="0.34998626667073579"/>
      </top>
      <bottom style="thin">
        <color theme="1" tint="0.34998626667073579"/>
      </bottom>
      <diagonal/>
    </border>
    <border>
      <left style="thin">
        <color theme="1" tint="0.34998626667073579"/>
      </left>
      <right style="medium">
        <color theme="1" tint="0.34998626667073579"/>
      </right>
      <top style="thin">
        <color theme="1" tint="0.34998626667073579"/>
      </top>
      <bottom style="thin">
        <color theme="1" tint="0.34998626667073579"/>
      </bottom>
      <diagonal/>
    </border>
    <border>
      <left style="thin">
        <color theme="1" tint="0.34998626667073579"/>
      </left>
      <right style="medium">
        <color theme="1" tint="0.34998626667073579"/>
      </right>
      <top style="thin">
        <color theme="1" tint="0.34998626667073579"/>
      </top>
      <bottom style="medium">
        <color theme="1" tint="0.34998626667073579"/>
      </bottom>
      <diagonal/>
    </border>
    <border>
      <left style="thin">
        <color theme="1" tint="0.34998626667073579"/>
      </left>
      <right style="thin">
        <color theme="1" tint="0.34998626667073579"/>
      </right>
      <top/>
      <bottom style="medium">
        <color indexed="64"/>
      </bottom>
      <diagonal/>
    </border>
    <border>
      <left style="medium">
        <color indexed="64"/>
      </left>
      <right style="thin">
        <color theme="1" tint="0.34998626667073579"/>
      </right>
      <top style="medium">
        <color indexed="64"/>
      </top>
      <bottom style="thin">
        <color theme="1" tint="0.34998626667073579"/>
      </bottom>
      <diagonal/>
    </border>
    <border>
      <left/>
      <right style="thin">
        <color theme="1" tint="0.34998626667073579"/>
      </right>
      <top style="medium">
        <color indexed="64"/>
      </top>
      <bottom style="thin">
        <color theme="1" tint="0.34998626667073579"/>
      </bottom>
      <diagonal/>
    </border>
    <border>
      <left style="medium">
        <color indexed="64"/>
      </left>
      <right style="thin">
        <color theme="1" tint="0.34998626667073579"/>
      </right>
      <top style="thin">
        <color theme="1" tint="0.34998626667073579"/>
      </top>
      <bottom style="thin">
        <color theme="1" tint="0.34998626667073579"/>
      </bottom>
      <diagonal/>
    </border>
    <border>
      <left style="medium">
        <color indexed="64"/>
      </left>
      <right style="thin">
        <color theme="1" tint="0.34998626667073579"/>
      </right>
      <top style="thin">
        <color theme="1" tint="0.34998626667073579"/>
      </top>
      <bottom style="medium">
        <color indexed="64"/>
      </bottom>
      <diagonal/>
    </border>
    <border>
      <left style="thin">
        <color theme="1" tint="0.34998626667073579"/>
      </left>
      <right style="thin">
        <color theme="1" tint="0.34998626667073579"/>
      </right>
      <top style="thin">
        <color theme="1" tint="0.34998626667073579"/>
      </top>
      <bottom style="medium">
        <color indexed="64"/>
      </bottom>
      <diagonal/>
    </border>
    <border>
      <left/>
      <right style="thin">
        <color theme="1" tint="0.34998626667073579"/>
      </right>
      <top style="thin">
        <color theme="1" tint="0.34998626667073579"/>
      </top>
      <bottom style="medium">
        <color indexed="64"/>
      </bottom>
      <diagonal/>
    </border>
    <border>
      <left style="thin">
        <color theme="1" tint="0.34998626667073579"/>
      </left>
      <right style="medium">
        <color indexed="64"/>
      </right>
      <top style="thin">
        <color theme="1" tint="0.34998626667073579"/>
      </top>
      <bottom style="medium">
        <color indexed="64"/>
      </bottom>
      <diagonal/>
    </border>
    <border>
      <left style="medium">
        <color theme="1" tint="0.34998626667073579"/>
      </left>
      <right style="thin">
        <color theme="1" tint="0.34998626667073579"/>
      </right>
      <top/>
      <bottom style="thin">
        <color theme="1" tint="0.34998626667073579"/>
      </bottom>
      <diagonal/>
    </border>
    <border>
      <left style="medium">
        <color theme="1" tint="0.34998626667073579"/>
      </left>
      <right style="thin">
        <color theme="1" tint="0.34998626667073579"/>
      </right>
      <top style="thin">
        <color theme="1" tint="0.34998626667073579"/>
      </top>
      <bottom style="thin">
        <color theme="1" tint="0.34998626667073579"/>
      </bottom>
      <diagonal/>
    </border>
    <border>
      <left style="medium">
        <color theme="1" tint="0.34998626667073579"/>
      </left>
      <right style="thin">
        <color theme="1" tint="0.34998626667073579"/>
      </right>
      <top style="thin">
        <color theme="1" tint="0.34998626667073579"/>
      </top>
      <bottom style="medium">
        <color theme="1" tint="0.34998626667073579"/>
      </bottom>
      <diagonal/>
    </border>
    <border>
      <left style="medium">
        <color indexed="64"/>
      </left>
      <right style="thin">
        <color theme="1" tint="0.34998626667073579"/>
      </right>
      <top style="medium">
        <color theme="1" tint="0.34998626667073579"/>
      </top>
      <bottom style="thin">
        <color theme="1" tint="0.34998626667073579"/>
      </bottom>
      <diagonal/>
    </border>
    <border>
      <left style="thin">
        <color theme="1" tint="0.34998626667073579"/>
      </left>
      <right style="medium">
        <color indexed="64"/>
      </right>
      <top style="medium">
        <color theme="1" tint="0.34998626667073579"/>
      </top>
      <bottom style="thin">
        <color theme="1" tint="0.34998626667073579"/>
      </bottom>
      <diagonal/>
    </border>
    <border>
      <left style="thin">
        <color theme="1" tint="0.34998626667073579"/>
      </left>
      <right style="medium">
        <color theme="1" tint="0.34998626667073579"/>
      </right>
      <top style="medium">
        <color theme="1" tint="0.34998626667073579"/>
      </top>
      <bottom style="thin">
        <color theme="1" tint="0.34998626667073579"/>
      </bottom>
      <diagonal/>
    </border>
    <border>
      <left style="medium">
        <color indexed="64"/>
      </left>
      <right style="thin">
        <color theme="1" tint="0.34998626667073579"/>
      </right>
      <top/>
      <bottom/>
      <diagonal/>
    </border>
    <border>
      <left style="medium">
        <color indexed="64"/>
      </left>
      <right style="thin">
        <color theme="1" tint="0.34998626667073579"/>
      </right>
      <top/>
      <bottom style="medium">
        <color indexed="64"/>
      </bottom>
      <diagonal/>
    </border>
    <border>
      <left style="thin">
        <color theme="1" tint="0.34998626667073579"/>
      </left>
      <right style="medium">
        <color indexed="64"/>
      </right>
      <top style="thin">
        <color theme="1" tint="0.34998626667073579"/>
      </top>
      <bottom style="medium">
        <color theme="1" tint="0.34998626667073579"/>
      </bottom>
      <diagonal/>
    </border>
    <border>
      <left style="thin">
        <color theme="1" tint="0.499984740745262"/>
      </left>
      <right style="thin">
        <color indexed="64"/>
      </right>
      <top style="medium">
        <color theme="1" tint="0.34998626667073579"/>
      </top>
      <bottom style="thin">
        <color theme="1" tint="0.499984740745262"/>
      </bottom>
      <diagonal/>
    </border>
    <border>
      <left style="thin">
        <color indexed="64"/>
      </left>
      <right style="medium">
        <color indexed="64"/>
      </right>
      <top style="medium">
        <color indexed="64"/>
      </top>
      <bottom/>
      <diagonal/>
    </border>
    <border>
      <left style="thin">
        <color theme="1" tint="0.499984740745262"/>
      </left>
      <right style="thin">
        <color indexed="64"/>
      </right>
      <top style="thin">
        <color theme="1" tint="0.499984740745262"/>
      </top>
      <bottom style="thin">
        <color theme="1" tint="0.499984740745262"/>
      </bottom>
      <diagonal/>
    </border>
    <border>
      <left style="thin">
        <color indexed="64"/>
      </left>
      <right style="thin">
        <color indexed="64"/>
      </right>
      <top style="thin">
        <color theme="1" tint="0.34998626667073579"/>
      </top>
      <bottom style="thin">
        <color theme="1" tint="0.34998626667073579"/>
      </bottom>
      <diagonal/>
    </border>
    <border>
      <left style="thin">
        <color indexed="64"/>
      </left>
      <right style="medium">
        <color indexed="64"/>
      </right>
      <top/>
      <bottom/>
      <diagonal/>
    </border>
    <border>
      <left style="thin">
        <color theme="1" tint="0.499984740745262"/>
      </left>
      <right style="thin">
        <color indexed="64"/>
      </right>
      <top style="thin">
        <color theme="1" tint="0.499984740745262"/>
      </top>
      <bottom style="medium">
        <color theme="1" tint="0.34998626667073579"/>
      </bottom>
      <diagonal/>
    </border>
    <border>
      <left style="thin">
        <color indexed="64"/>
      </left>
      <right style="thin">
        <color indexed="64"/>
      </right>
      <top/>
      <bottom style="medium">
        <color theme="1" tint="0.34998626667073579"/>
      </bottom>
      <diagonal/>
    </border>
    <border>
      <left style="thin">
        <color indexed="64"/>
      </left>
      <right style="thin">
        <color indexed="64"/>
      </right>
      <top style="thin">
        <color theme="1" tint="0.34998626667073579"/>
      </top>
      <bottom/>
      <diagonal/>
    </border>
    <border>
      <left style="thin">
        <color indexed="64"/>
      </left>
      <right style="medium">
        <color indexed="64"/>
      </right>
      <top/>
      <bottom style="medium">
        <color indexed="64"/>
      </bottom>
      <diagonal/>
    </border>
    <border>
      <left style="thin">
        <color indexed="64"/>
      </left>
      <right style="thin">
        <color indexed="64"/>
      </right>
      <top style="medium">
        <color theme="1" tint="0.34998626667073579"/>
      </top>
      <bottom style="thin">
        <color theme="1" tint="0.34998626667073579"/>
      </bottom>
      <diagonal/>
    </border>
    <border>
      <left style="thin">
        <color indexed="64"/>
      </left>
      <right style="medium">
        <color indexed="64"/>
      </right>
      <top/>
      <bottom style="medium">
        <color theme="1" tint="0.34998626667073579"/>
      </bottom>
      <diagonal/>
    </border>
    <border>
      <left style="thin">
        <color indexed="64"/>
      </left>
      <right style="medium">
        <color indexed="64"/>
      </right>
      <top style="medium">
        <color theme="1" tint="0.34998626667073579"/>
      </top>
      <bottom/>
      <diagonal/>
    </border>
    <border>
      <left style="thin">
        <color indexed="64"/>
      </left>
      <right style="thin">
        <color indexed="64"/>
      </right>
      <top style="thin">
        <color theme="1" tint="0.34998626667073579"/>
      </top>
      <bottom style="medium">
        <color theme="1" tint="0.34998626667073579"/>
      </bottom>
      <diagonal/>
    </border>
    <border>
      <left style="thin">
        <color indexed="64"/>
      </left>
      <right style="thin">
        <color indexed="64"/>
      </right>
      <top/>
      <bottom style="thin">
        <color theme="1" tint="0.34998626667073579"/>
      </bottom>
      <diagonal/>
    </border>
    <border>
      <left style="thin">
        <color indexed="64"/>
      </left>
      <right style="medium">
        <color indexed="64"/>
      </right>
      <top style="medium">
        <color indexed="64"/>
      </top>
      <bottom style="thin">
        <color theme="1" tint="0.34998626667073579"/>
      </bottom>
      <diagonal/>
    </border>
    <border>
      <left style="thin">
        <color indexed="64"/>
      </left>
      <right style="medium">
        <color indexed="64"/>
      </right>
      <top style="thin">
        <color theme="1" tint="0.34998626667073579"/>
      </top>
      <bottom style="thin">
        <color theme="1" tint="0.34998626667073579"/>
      </bottom>
      <diagonal/>
    </border>
    <border>
      <left style="thin">
        <color indexed="64"/>
      </left>
      <right style="medium">
        <color indexed="64"/>
      </right>
      <top style="thin">
        <color theme="1" tint="0.34998626667073579"/>
      </top>
      <bottom/>
      <diagonal/>
    </border>
    <border>
      <left style="thin">
        <color theme="1" tint="0.499984740745262"/>
      </left>
      <right style="thin">
        <color indexed="64"/>
      </right>
      <top style="thin">
        <color theme="1" tint="0.499984740745262"/>
      </top>
      <bottom/>
      <diagonal/>
    </border>
    <border>
      <left style="medium">
        <color indexed="64"/>
      </left>
      <right style="thin">
        <color indexed="64"/>
      </right>
      <top style="medium">
        <color indexed="64"/>
      </top>
      <bottom style="thin">
        <color theme="1" tint="0.499984740745262"/>
      </bottom>
      <diagonal/>
    </border>
    <border>
      <left style="medium">
        <color indexed="64"/>
      </left>
      <right style="thin">
        <color indexed="64"/>
      </right>
      <top style="thin">
        <color theme="1" tint="0.499984740745262"/>
      </top>
      <bottom style="thin">
        <color theme="1" tint="0.499984740745262"/>
      </bottom>
      <diagonal/>
    </border>
    <border>
      <left style="medium">
        <color indexed="64"/>
      </left>
      <right style="thin">
        <color indexed="64"/>
      </right>
      <top style="thin">
        <color theme="1" tint="0.499984740745262"/>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thin">
        <color theme="1" tint="0.34998626667073579"/>
      </top>
      <bottom style="medium">
        <color indexed="64"/>
      </bottom>
      <diagonal/>
    </border>
    <border>
      <left style="thin">
        <color indexed="64"/>
      </left>
      <right style="thin">
        <color indexed="64"/>
      </right>
      <top style="medium">
        <color indexed="64"/>
      </top>
      <bottom style="thin">
        <color theme="1" tint="0.499984740745262"/>
      </bottom>
      <diagonal/>
    </border>
    <border>
      <left style="thin">
        <color indexed="64"/>
      </left>
      <right style="medium">
        <color indexed="64"/>
      </right>
      <top style="medium">
        <color indexed="64"/>
      </top>
      <bottom style="thin">
        <color theme="1" tint="0.499984740745262"/>
      </bottom>
      <diagonal/>
    </border>
    <border>
      <left style="thin">
        <color indexed="64"/>
      </left>
      <right style="thin">
        <color indexed="64"/>
      </right>
      <top style="thin">
        <color theme="1" tint="0.499984740745262"/>
      </top>
      <bottom style="thin">
        <color theme="1" tint="0.499984740745262"/>
      </bottom>
      <diagonal/>
    </border>
    <border>
      <left style="thin">
        <color indexed="64"/>
      </left>
      <right style="medium">
        <color indexed="64"/>
      </right>
      <top style="thin">
        <color theme="1" tint="0.499984740745262"/>
      </top>
      <bottom style="thin">
        <color theme="1" tint="0.499984740745262"/>
      </bottom>
      <diagonal/>
    </border>
    <border>
      <left style="medium">
        <color indexed="64"/>
      </left>
      <right style="thin">
        <color indexed="64"/>
      </right>
      <top style="thin">
        <color theme="1" tint="0.499984740745262"/>
      </top>
      <bottom/>
      <diagonal/>
    </border>
    <border>
      <left style="thin">
        <color indexed="64"/>
      </left>
      <right style="thin">
        <color indexed="64"/>
      </right>
      <top style="thin">
        <color theme="1" tint="0.499984740745262"/>
      </top>
      <bottom/>
      <diagonal/>
    </border>
    <border>
      <left style="thin">
        <color indexed="64"/>
      </left>
      <right style="medium">
        <color indexed="64"/>
      </right>
      <top style="thin">
        <color theme="1" tint="0.499984740745262"/>
      </top>
      <bottom style="medium">
        <color indexed="64"/>
      </bottom>
      <diagonal/>
    </border>
    <border>
      <left style="thin">
        <color indexed="64"/>
      </left>
      <right style="medium">
        <color indexed="64"/>
      </right>
      <top/>
      <bottom style="thin">
        <color theme="1" tint="0.499984740745262"/>
      </bottom>
      <diagonal/>
    </border>
    <border>
      <left style="medium">
        <color indexed="64"/>
      </left>
      <right style="thin">
        <color indexed="64"/>
      </right>
      <top style="medium">
        <color theme="1" tint="0.34998626667073579"/>
      </top>
      <bottom style="thin">
        <color theme="1" tint="0.499984740745262"/>
      </bottom>
      <diagonal/>
    </border>
    <border>
      <left style="thin">
        <color indexed="64"/>
      </left>
      <right style="thin">
        <color indexed="64"/>
      </right>
      <top style="medium">
        <color theme="1" tint="0.34998626667073579"/>
      </top>
      <bottom style="thin">
        <color theme="1" tint="0.499984740745262"/>
      </bottom>
      <diagonal/>
    </border>
    <border>
      <left style="medium">
        <color indexed="64"/>
      </left>
      <right style="thin">
        <color indexed="64"/>
      </right>
      <top style="thin">
        <color theme="1" tint="0.499984740745262"/>
      </top>
      <bottom style="medium">
        <color theme="1" tint="0.34998626667073579"/>
      </bottom>
      <diagonal/>
    </border>
    <border>
      <left style="thin">
        <color indexed="64"/>
      </left>
      <right style="thin">
        <color indexed="64"/>
      </right>
      <top style="thin">
        <color theme="1" tint="0.499984740745262"/>
      </top>
      <bottom style="medium">
        <color theme="1" tint="0.34998626667073579"/>
      </bottom>
      <diagonal/>
    </border>
    <border>
      <left style="thin">
        <color indexed="64"/>
      </left>
      <right style="thin">
        <color indexed="64"/>
      </right>
      <top style="thin">
        <color theme="1" tint="0.499984740745262"/>
      </top>
      <bottom style="medium">
        <color indexed="64"/>
      </bottom>
      <diagonal/>
    </border>
    <border>
      <left style="thin">
        <color indexed="64"/>
      </left>
      <right style="thin">
        <color indexed="64"/>
      </right>
      <top/>
      <bottom style="thin">
        <color theme="1" tint="0.499984740745262"/>
      </bottom>
      <diagonal/>
    </border>
    <border>
      <left style="thin">
        <color indexed="64"/>
      </left>
      <right style="medium">
        <color indexed="64"/>
      </right>
      <top style="thin">
        <color theme="1" tint="0.499984740745262"/>
      </top>
      <bottom/>
      <diagonal/>
    </border>
    <border>
      <left style="medium">
        <color rgb="FF000000"/>
      </left>
      <right style="thin">
        <color theme="1" tint="0.34998626667073579"/>
      </right>
      <top style="medium">
        <color rgb="FF000000"/>
      </top>
      <bottom style="thin">
        <color theme="1" tint="0.34998626667073579"/>
      </bottom>
      <diagonal/>
    </border>
    <border>
      <left style="thin">
        <color indexed="64"/>
      </left>
      <right style="thin">
        <color indexed="64"/>
      </right>
      <top style="medium">
        <color rgb="FF000000"/>
      </top>
      <bottom style="thin">
        <color indexed="64"/>
      </bottom>
      <diagonal/>
    </border>
    <border>
      <left style="thin">
        <color indexed="64"/>
      </left>
      <right style="medium">
        <color rgb="FF000000"/>
      </right>
      <top style="medium">
        <color rgb="FF000000"/>
      </top>
      <bottom style="thin">
        <color indexed="64"/>
      </bottom>
      <diagonal/>
    </border>
    <border>
      <left style="medium">
        <color rgb="FF000000"/>
      </left>
      <right style="thin">
        <color theme="1" tint="0.34998626667073579"/>
      </right>
      <top style="thin">
        <color theme="1" tint="0.34998626667073579"/>
      </top>
      <bottom style="thin">
        <color theme="1" tint="0.34998626667073579"/>
      </bottom>
      <diagonal/>
    </border>
    <border>
      <left style="thin">
        <color indexed="64"/>
      </left>
      <right style="medium">
        <color rgb="FF000000"/>
      </right>
      <top style="thin">
        <color indexed="64"/>
      </top>
      <bottom style="thin">
        <color indexed="64"/>
      </bottom>
      <diagonal/>
    </border>
    <border>
      <left style="medium">
        <color rgb="FF000000"/>
      </left>
      <right style="thin">
        <color theme="1" tint="0.34998626667073579"/>
      </right>
      <top style="thin">
        <color theme="1" tint="0.34998626667073579"/>
      </top>
      <bottom style="medium">
        <color rgb="FF000000"/>
      </bottom>
      <diagonal/>
    </border>
    <border>
      <left style="thin">
        <color indexed="64"/>
      </left>
      <right style="thin">
        <color indexed="64"/>
      </right>
      <top style="thin">
        <color indexed="64"/>
      </top>
      <bottom style="medium">
        <color rgb="FF000000"/>
      </bottom>
      <diagonal/>
    </border>
    <border>
      <left style="thin">
        <color indexed="64"/>
      </left>
      <right style="medium">
        <color rgb="FF000000"/>
      </right>
      <top style="thin">
        <color indexed="64"/>
      </top>
      <bottom style="medium">
        <color rgb="FF000000"/>
      </bottom>
      <diagonal/>
    </border>
    <border>
      <left style="thin">
        <color indexed="64"/>
      </left>
      <right/>
      <top style="medium">
        <color indexed="64"/>
      </top>
      <bottom style="thin">
        <color theme="1" tint="0.34998626667073579"/>
      </bottom>
      <diagonal/>
    </border>
    <border>
      <left style="thin">
        <color indexed="64"/>
      </left>
      <right/>
      <top style="thin">
        <color theme="1" tint="0.34998626667073579"/>
      </top>
      <bottom style="thin">
        <color theme="1" tint="0.34998626667073579"/>
      </bottom>
      <diagonal/>
    </border>
    <border>
      <left style="thin">
        <color indexed="64"/>
      </left>
      <right/>
      <top style="thin">
        <color theme="1" tint="0.34998626667073579"/>
      </top>
      <bottom/>
      <diagonal/>
    </border>
    <border>
      <left style="thin">
        <color theme="1" tint="0.34998626667073579"/>
      </left>
      <right style="medium">
        <color theme="1" tint="0.34998626667073579"/>
      </right>
      <top style="thin">
        <color theme="1" tint="0.34998626667073579"/>
      </top>
      <bottom/>
      <diagonal/>
    </border>
    <border>
      <left style="thin">
        <color rgb="FF000000"/>
      </left>
      <right style="thin">
        <color rgb="FF000000"/>
      </right>
      <top style="thin">
        <color rgb="FF000000"/>
      </top>
      <bottom style="thin">
        <color rgb="FF000000"/>
      </bottom>
      <diagonal/>
    </border>
    <border>
      <left style="medium">
        <color rgb="FF000000"/>
      </left>
      <right style="thin">
        <color indexed="64"/>
      </right>
      <top style="medium">
        <color rgb="FF000000"/>
      </top>
      <bottom style="thin">
        <color theme="1" tint="0.499984740745262"/>
      </bottom>
      <diagonal/>
    </border>
    <border>
      <left style="thin">
        <color indexed="64"/>
      </left>
      <right style="thin">
        <color indexed="64"/>
      </right>
      <top style="medium">
        <color rgb="FF000000"/>
      </top>
      <bottom/>
      <diagonal/>
    </border>
    <border>
      <left style="thin">
        <color indexed="64"/>
      </left>
      <right style="thin">
        <color indexed="64"/>
      </right>
      <top style="medium">
        <color rgb="FF000000"/>
      </top>
      <bottom style="thin">
        <color theme="1" tint="0.34998626667073579"/>
      </bottom>
      <diagonal/>
    </border>
    <border>
      <left style="thin">
        <color indexed="64"/>
      </left>
      <right style="medium">
        <color rgb="FF000000"/>
      </right>
      <top style="medium">
        <color rgb="FF000000"/>
      </top>
      <bottom/>
      <diagonal/>
    </border>
    <border>
      <left style="medium">
        <color rgb="FF000000"/>
      </left>
      <right style="thin">
        <color indexed="64"/>
      </right>
      <top style="thin">
        <color theme="1" tint="0.499984740745262"/>
      </top>
      <bottom style="thin">
        <color theme="1" tint="0.499984740745262"/>
      </bottom>
      <diagonal/>
    </border>
    <border>
      <left style="thin">
        <color indexed="64"/>
      </left>
      <right style="medium">
        <color rgb="FF000000"/>
      </right>
      <top/>
      <bottom/>
      <diagonal/>
    </border>
    <border>
      <left style="medium">
        <color rgb="FF000000"/>
      </left>
      <right style="thin">
        <color indexed="64"/>
      </right>
      <top style="thin">
        <color theme="1" tint="0.499984740745262"/>
      </top>
      <bottom style="medium">
        <color rgb="FF000000"/>
      </bottom>
      <diagonal/>
    </border>
    <border>
      <left style="thin">
        <color indexed="64"/>
      </left>
      <right style="thin">
        <color indexed="64"/>
      </right>
      <top/>
      <bottom style="medium">
        <color rgb="FF000000"/>
      </bottom>
      <diagonal/>
    </border>
    <border>
      <left style="thin">
        <color indexed="64"/>
      </left>
      <right style="thin">
        <color indexed="64"/>
      </right>
      <top style="thin">
        <color theme="1" tint="0.34998626667073579"/>
      </top>
      <bottom style="medium">
        <color rgb="FF000000"/>
      </bottom>
      <diagonal/>
    </border>
    <border>
      <left style="thin">
        <color indexed="64"/>
      </left>
      <right style="medium">
        <color rgb="FF000000"/>
      </right>
      <top/>
      <bottom style="medium">
        <color rgb="FF000000"/>
      </bottom>
      <diagonal/>
    </border>
    <border>
      <left style="thin">
        <color theme="1" tint="0.499984740745262"/>
      </left>
      <right style="thin">
        <color indexed="64"/>
      </right>
      <top/>
      <bottom style="thin">
        <color theme="1" tint="0.499984740745262"/>
      </bottom>
      <diagonal/>
    </border>
    <border>
      <left style="thin">
        <color indexed="64"/>
      </left>
      <right style="thin">
        <color indexed="64"/>
      </right>
      <top style="medium">
        <color rgb="FF000000"/>
      </top>
      <bottom style="thin">
        <color theme="1" tint="0.499984740745262"/>
      </bottom>
      <diagonal/>
    </border>
    <border>
      <left style="thin">
        <color indexed="64"/>
      </left>
      <right style="thin">
        <color indexed="64"/>
      </right>
      <top style="thin">
        <color theme="1" tint="0.499984740745262"/>
      </top>
      <bottom style="medium">
        <color rgb="FF000000"/>
      </bottom>
      <diagonal/>
    </border>
    <border>
      <left style="thin">
        <color indexed="64"/>
      </left>
      <right/>
      <top style="medium">
        <color indexed="64"/>
      </top>
      <bottom style="thin">
        <color theme="1" tint="0.499984740745262"/>
      </bottom>
      <diagonal/>
    </border>
    <border>
      <left style="thin">
        <color indexed="64"/>
      </left>
      <right/>
      <top style="thin">
        <color theme="1" tint="0.499984740745262"/>
      </top>
      <bottom style="thin">
        <color theme="1" tint="0.499984740745262"/>
      </bottom>
      <diagonal/>
    </border>
    <border>
      <left style="thin">
        <color indexed="64"/>
      </left>
      <right/>
      <top style="thin">
        <color theme="1" tint="0.499984740745262"/>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rgb="FF000000"/>
      </top>
      <bottom style="thin">
        <color theme="1" tint="0.499984740745262"/>
      </bottom>
      <diagonal/>
    </border>
    <border>
      <left style="thin">
        <color indexed="64"/>
      </left>
      <right/>
      <top style="thin">
        <color theme="1" tint="0.499984740745262"/>
      </top>
      <bottom style="medium">
        <color rgb="FF000000"/>
      </bottom>
      <diagonal/>
    </border>
    <border>
      <left style="thin">
        <color indexed="64"/>
      </left>
      <right/>
      <top/>
      <bottom style="thin">
        <color theme="1" tint="0.499984740745262"/>
      </bottom>
      <diagonal/>
    </border>
    <border>
      <left/>
      <right/>
      <top/>
      <bottom style="thin">
        <color theme="0" tint="-0.499984740745262"/>
      </bottom>
      <diagonal/>
    </border>
    <border>
      <left style="thin">
        <color rgb="FF808080"/>
      </left>
      <right style="thin">
        <color rgb="FF000000"/>
      </right>
      <top style="thin">
        <color rgb="FF000000"/>
      </top>
      <bottom/>
      <diagonal/>
    </border>
    <border>
      <left style="thin">
        <color rgb="FF808080"/>
      </left>
      <right style="thin">
        <color rgb="FF000000"/>
      </right>
      <top/>
      <bottom/>
      <diagonal/>
    </border>
    <border>
      <left style="thin">
        <color rgb="FF808080"/>
      </left>
      <right style="thin">
        <color rgb="FF000000"/>
      </right>
      <top/>
      <bottom style="thin">
        <color rgb="FF808080"/>
      </bottom>
      <diagonal/>
    </border>
    <border>
      <left style="thin">
        <color rgb="FF808080"/>
      </left>
      <right/>
      <top/>
      <bottom/>
      <diagonal/>
    </border>
    <border>
      <left style="thin">
        <color rgb="FF808080"/>
      </left>
      <right style="thin">
        <color rgb="FF808080"/>
      </right>
      <top style="thin">
        <color rgb="FF808080"/>
      </top>
      <bottom style="thin">
        <color rgb="FF808080"/>
      </bottom>
      <diagonal/>
    </border>
    <border>
      <left style="thin">
        <color rgb="FF808080"/>
      </left>
      <right/>
      <top/>
      <bottom style="thin">
        <color rgb="FF808080"/>
      </bottom>
      <diagonal/>
    </border>
    <border>
      <left style="thin">
        <color rgb="FF000000"/>
      </left>
      <right style="thin">
        <color rgb="FF000000"/>
      </right>
      <top style="thin">
        <color rgb="FF000000"/>
      </top>
      <bottom/>
      <diagonal/>
    </border>
    <border>
      <left style="thin">
        <color rgb="FF000000"/>
      </left>
      <right style="thin">
        <color rgb="FF000000"/>
      </right>
      <top style="thin">
        <color indexed="64"/>
      </top>
      <bottom/>
      <diagonal/>
    </border>
    <border>
      <left style="thin">
        <color rgb="FF000000"/>
      </left>
      <right style="thin">
        <color rgb="FF000000"/>
      </right>
      <top style="thin">
        <color indexed="64"/>
      </top>
      <bottom style="thin">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top/>
      <bottom/>
      <diagonal/>
    </border>
    <border>
      <left style="thin">
        <color indexed="64"/>
      </left>
      <right style="thin">
        <color indexed="64"/>
      </right>
      <top style="thin">
        <color indexed="64"/>
      </top>
      <bottom style="thin">
        <color theme="1" tint="0.34998626667073579"/>
      </bottom>
      <diagonal/>
    </border>
    <border>
      <left style="thin">
        <color indexed="64"/>
      </left>
      <right style="thin">
        <color indexed="64"/>
      </right>
      <top style="thin">
        <color indexed="64"/>
      </top>
      <bottom style="thin">
        <color theme="1" tint="4.9989318521683403E-2"/>
      </bottom>
      <diagonal/>
    </border>
    <border>
      <left style="thin">
        <color theme="1" tint="0.34998626667073579"/>
      </left>
      <right style="thin">
        <color theme="1" tint="0.34998626667073579"/>
      </right>
      <top style="thin">
        <color theme="1" tint="0.34998626667073579"/>
      </top>
      <bottom style="thin">
        <color theme="1" tint="4.9989318521683403E-2"/>
      </bottom>
      <diagonal/>
    </border>
    <border>
      <left style="thin">
        <color indexed="64"/>
      </left>
      <right style="thin">
        <color theme="1" tint="4.9989318521683403E-2"/>
      </right>
      <top style="thin">
        <color theme="1" tint="4.9989318521683403E-2"/>
      </top>
      <bottom style="thin">
        <color indexed="64"/>
      </bottom>
      <diagonal/>
    </border>
    <border>
      <left style="thin">
        <color theme="1" tint="4.9989318521683403E-2"/>
      </left>
      <right style="thin">
        <color theme="1" tint="4.9989318521683403E-2"/>
      </right>
      <top style="thin">
        <color theme="1" tint="0.34998626667073579"/>
      </top>
      <bottom style="thin">
        <color indexed="64"/>
      </bottom>
      <diagonal/>
    </border>
    <border>
      <left style="thin">
        <color theme="1" tint="4.9989318521683403E-2"/>
      </left>
      <right style="thin">
        <color theme="1" tint="4.9989318521683403E-2"/>
      </right>
      <top style="thin">
        <color theme="1" tint="4.9989318521683403E-2"/>
      </top>
      <bottom style="thin">
        <color indexed="64"/>
      </bottom>
      <diagonal/>
    </border>
    <border>
      <left style="thin">
        <color indexed="64"/>
      </left>
      <right style="thin">
        <color theme="1" tint="4.9989318521683403E-2"/>
      </right>
      <top style="thin">
        <color indexed="64"/>
      </top>
      <bottom style="thin">
        <color indexed="64"/>
      </bottom>
      <diagonal/>
    </border>
    <border>
      <left style="thin">
        <color theme="1" tint="4.9989318521683403E-2"/>
      </left>
      <right style="thin">
        <color theme="1" tint="4.9989318521683403E-2"/>
      </right>
      <top style="thin">
        <color indexed="64"/>
      </top>
      <bottom style="thin">
        <color indexed="64"/>
      </bottom>
      <diagonal/>
    </border>
    <border>
      <left style="thin">
        <color theme="1" tint="4.9989318521683403E-2"/>
      </left>
      <right style="thin">
        <color theme="1" tint="4.9989318521683403E-2"/>
      </right>
      <top style="thin">
        <color indexed="64"/>
      </top>
      <bottom style="thin">
        <color theme="1" tint="0.34998626667073579"/>
      </bottom>
      <diagonal/>
    </border>
    <border>
      <left style="thin">
        <color indexed="64"/>
      </left>
      <right style="thin">
        <color theme="1" tint="4.9989318521683403E-2"/>
      </right>
      <top style="thin">
        <color indexed="64"/>
      </top>
      <bottom style="thin">
        <color theme="1" tint="0.34998626667073579"/>
      </bottom>
      <diagonal/>
    </border>
    <border>
      <left style="thin">
        <color theme="1" tint="0.34998626667073579"/>
      </left>
      <right style="thin">
        <color theme="1" tint="4.9989318521683403E-2"/>
      </right>
      <top style="thin">
        <color theme="1" tint="0.34998626667073579"/>
      </top>
      <bottom style="thin">
        <color indexed="64"/>
      </bottom>
      <diagonal/>
    </border>
    <border>
      <left style="thin">
        <color theme="1" tint="4.9989318521683403E-2"/>
      </left>
      <right style="thin">
        <color indexed="64"/>
      </right>
      <top style="thin">
        <color theme="1" tint="0.34998626667073579"/>
      </top>
      <bottom style="thin">
        <color theme="1" tint="4.9989318521683403E-2"/>
      </bottom>
      <diagonal/>
    </border>
    <border>
      <left style="thin">
        <color indexed="64"/>
      </left>
      <right style="thin">
        <color theme="1" tint="4.9989318521683403E-2"/>
      </right>
      <top style="thin">
        <color theme="1" tint="0.34998626667073579"/>
      </top>
      <bottom style="thin">
        <color theme="1" tint="4.9989318521683403E-2"/>
      </bottom>
      <diagonal/>
    </border>
    <border>
      <left style="thin">
        <color theme="1" tint="0.34998626667073579"/>
      </left>
      <right style="thin">
        <color theme="1" tint="4.9989318521683403E-2"/>
      </right>
      <top style="thin">
        <color indexed="64"/>
      </top>
      <bottom style="thin">
        <color indexed="64"/>
      </bottom>
      <diagonal/>
    </border>
    <border>
      <left style="thin">
        <color theme="1" tint="4.9989318521683403E-2"/>
      </left>
      <right style="thin">
        <color indexed="64"/>
      </right>
      <top style="thin">
        <color theme="1" tint="4.9989318521683403E-2"/>
      </top>
      <bottom style="thin">
        <color theme="1" tint="4.9989318521683403E-2"/>
      </bottom>
      <diagonal/>
    </border>
    <border>
      <left style="thin">
        <color indexed="64"/>
      </left>
      <right style="thin">
        <color theme="1" tint="4.9989318521683403E-2"/>
      </right>
      <top style="thin">
        <color theme="1" tint="4.9989318521683403E-2"/>
      </top>
      <bottom style="thin">
        <color theme="1" tint="4.9989318521683403E-2"/>
      </bottom>
      <diagonal/>
    </border>
    <border>
      <left style="thin">
        <color theme="1" tint="4.9989318521683403E-2"/>
      </left>
      <right style="thin">
        <color theme="1" tint="4.9989318521683403E-2"/>
      </right>
      <top/>
      <bottom/>
      <diagonal/>
    </border>
    <border>
      <left style="thin">
        <color theme="1" tint="4.9989318521683403E-2"/>
      </left>
      <right style="thin">
        <color theme="1" tint="4.9989318521683403E-2"/>
      </right>
      <top/>
      <bottom style="thin">
        <color theme="1" tint="0.34998626667073579"/>
      </bottom>
      <diagonal/>
    </border>
    <border>
      <left/>
      <right style="thin">
        <color rgb="FF000000"/>
      </right>
      <top style="thin">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808080"/>
      </left>
      <right/>
      <top style="thin">
        <color rgb="FF808080"/>
      </top>
      <bottom style="thin">
        <color rgb="FF808080"/>
      </bottom>
      <diagonal/>
    </border>
    <border>
      <left/>
      <right style="thin">
        <color indexed="64"/>
      </right>
      <top style="thin">
        <color rgb="FF808080"/>
      </top>
      <bottom style="thin">
        <color rgb="FF80808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theme="1" tint="0.34998626667073579"/>
      </left>
      <right/>
      <top style="thin">
        <color theme="1" tint="0.34998626667073579"/>
      </top>
      <bottom/>
      <diagonal/>
    </border>
    <border>
      <left style="thin">
        <color theme="1" tint="0.34998626667073579"/>
      </left>
      <right style="thin">
        <color theme="1" tint="0.34998626667073579"/>
      </right>
      <top style="thin">
        <color theme="1" tint="0.34998626667073579"/>
      </top>
      <bottom style="thin">
        <color rgb="FF000000"/>
      </bottom>
      <diagonal/>
    </border>
    <border>
      <left style="thin">
        <color theme="1" tint="0.34998626667073579"/>
      </left>
      <right style="thin">
        <color theme="1" tint="0.34998626667073579"/>
      </right>
      <top/>
      <bottom style="thin">
        <color rgb="FF000000"/>
      </bottom>
      <diagonal/>
    </border>
    <border>
      <left style="thin">
        <color theme="1" tint="0.34998626667073579"/>
      </left>
      <right/>
      <top/>
      <bottom style="thin">
        <color rgb="FF000000"/>
      </bottom>
      <diagonal/>
    </border>
    <border>
      <left style="thin">
        <color rgb="FF000000"/>
      </left>
      <right style="thin">
        <color rgb="FF000000"/>
      </right>
      <top style="thin">
        <color indexed="64"/>
      </top>
      <bottom style="thin">
        <color indexed="64"/>
      </bottom>
      <diagonal/>
    </border>
    <border>
      <left style="thin">
        <color rgb="FF000000"/>
      </left>
      <right style="thin">
        <color indexed="64"/>
      </right>
      <top style="thin">
        <color indexed="64"/>
      </top>
      <bottom/>
      <diagonal/>
    </border>
    <border>
      <left style="thin">
        <color rgb="FF000000"/>
      </left>
      <right style="thin">
        <color indexed="64"/>
      </right>
      <top/>
      <bottom/>
      <diagonal/>
    </border>
    <border>
      <left style="thin">
        <color rgb="FF000000"/>
      </left>
      <right style="thin">
        <color indexed="64"/>
      </right>
      <top/>
      <bottom style="thin">
        <color indexed="64"/>
      </bottom>
      <diagonal/>
    </border>
    <border>
      <left style="thin">
        <color theme="1" tint="4.9989318521683403E-2"/>
      </left>
      <right style="thin">
        <color indexed="64"/>
      </right>
      <top style="thin">
        <color theme="1" tint="4.9989318521683403E-2"/>
      </top>
      <bottom style="thin">
        <color indexed="64"/>
      </bottom>
      <diagonal/>
    </border>
  </borders>
  <cellStyleXfs count="57">
    <xf numFmtId="0" fontId="0" fillId="0" borderId="0"/>
    <xf numFmtId="0" fontId="1" fillId="0" borderId="0"/>
    <xf numFmtId="9" fontId="2" fillId="0" borderId="0" applyFont="0" applyFill="0" applyBorder="0" applyAlignment="0" applyProtection="0"/>
    <xf numFmtId="0" fontId="4" fillId="0" borderId="0" applyNumberFormat="0" applyFill="0" applyBorder="0" applyAlignment="0" applyProtection="0"/>
    <xf numFmtId="0" fontId="6" fillId="0" borderId="0"/>
    <xf numFmtId="0" fontId="8" fillId="0" borderId="0" applyNumberFormat="0" applyFill="0" applyBorder="0" applyAlignment="0" applyProtection="0"/>
    <xf numFmtId="43" fontId="2" fillId="0" borderId="0" applyFont="0" applyFill="0" applyBorder="0" applyAlignment="0" applyProtection="0"/>
    <xf numFmtId="0" fontId="2" fillId="0" borderId="0"/>
    <xf numFmtId="9" fontId="6" fillId="0" borderId="0" applyFont="0" applyFill="0" applyBorder="0" applyAlignment="0" applyProtection="0"/>
    <xf numFmtId="0" fontId="14" fillId="0" borderId="0"/>
    <xf numFmtId="0" fontId="16" fillId="0" borderId="0" applyNumberFormat="0" applyFill="0" applyBorder="0" applyAlignment="0" applyProtection="0"/>
    <xf numFmtId="0" fontId="6" fillId="0" borderId="0"/>
    <xf numFmtId="0" fontId="6" fillId="0" borderId="0"/>
    <xf numFmtId="0" fontId="38" fillId="0" borderId="98" applyNumberFormat="0" applyFill="0" applyAlignment="0" applyProtection="0"/>
    <xf numFmtId="0" fontId="39" fillId="0" borderId="99" applyNumberFormat="0" applyFill="0" applyAlignment="0" applyProtection="0"/>
    <xf numFmtId="0" fontId="40" fillId="0" borderId="100" applyNumberFormat="0" applyFill="0" applyAlignment="0" applyProtection="0"/>
    <xf numFmtId="0" fontId="40" fillId="0" borderId="0" applyNumberFormat="0" applyFill="0" applyBorder="0" applyAlignment="0" applyProtection="0"/>
    <xf numFmtId="0" fontId="41" fillId="12" borderId="0" applyNumberFormat="0" applyBorder="0" applyAlignment="0" applyProtection="0"/>
    <xf numFmtId="0" fontId="42" fillId="13" borderId="0" applyNumberFormat="0" applyBorder="0" applyAlignment="0" applyProtection="0"/>
    <xf numFmtId="0" fontId="43" fillId="15" borderId="101" applyNumberFormat="0" applyAlignment="0" applyProtection="0"/>
    <xf numFmtId="0" fontId="44" fillId="16" borderId="102" applyNumberFormat="0" applyAlignment="0" applyProtection="0"/>
    <xf numFmtId="0" fontId="45" fillId="16" borderId="101" applyNumberFormat="0" applyAlignment="0" applyProtection="0"/>
    <xf numFmtId="0" fontId="46" fillId="0" borderId="103" applyNumberFormat="0" applyFill="0" applyAlignment="0" applyProtection="0"/>
    <xf numFmtId="0" fontId="9" fillId="17" borderId="104" applyNumberFormat="0" applyAlignment="0" applyProtection="0"/>
    <xf numFmtId="0" fontId="47" fillId="0" borderId="0" applyNumberFormat="0" applyFill="0" applyBorder="0" applyAlignment="0" applyProtection="0"/>
    <xf numFmtId="0" fontId="2" fillId="18" borderId="105" applyNumberFormat="0" applyFont="0" applyAlignment="0" applyProtection="0"/>
    <xf numFmtId="0" fontId="48" fillId="0" borderId="0" applyNumberFormat="0" applyFill="0" applyBorder="0" applyAlignment="0" applyProtection="0"/>
    <xf numFmtId="0" fontId="3" fillId="0" borderId="106" applyNumberFormat="0" applyFill="0" applyAlignment="0" applyProtection="0"/>
    <xf numFmtId="0" fontId="11" fillId="19"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11" fillId="23"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11" fillId="27"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11" fillId="31"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11" fillId="35"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11" fillId="39"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51" fillId="0" borderId="0" applyNumberFormat="0" applyFill="0" applyBorder="0" applyAlignment="0" applyProtection="0"/>
    <xf numFmtId="0" fontId="52" fillId="14" borderId="0" applyNumberFormat="0" applyBorder="0" applyAlignment="0" applyProtection="0"/>
    <xf numFmtId="0" fontId="11" fillId="22" borderId="0" applyNumberFormat="0" applyBorder="0" applyAlignment="0" applyProtection="0"/>
    <xf numFmtId="0" fontId="11" fillId="26" borderId="0" applyNumberFormat="0" applyBorder="0" applyAlignment="0" applyProtection="0"/>
    <xf numFmtId="0" fontId="11" fillId="30" borderId="0" applyNumberFormat="0" applyBorder="0" applyAlignment="0" applyProtection="0"/>
    <xf numFmtId="0" fontId="11" fillId="34" borderId="0" applyNumberFormat="0" applyBorder="0" applyAlignment="0" applyProtection="0"/>
    <xf numFmtId="0" fontId="11" fillId="38" borderId="0" applyNumberFormat="0" applyBorder="0" applyAlignment="0" applyProtection="0"/>
    <xf numFmtId="0" fontId="11" fillId="42" borderId="0" applyNumberFormat="0" applyBorder="0" applyAlignment="0" applyProtection="0"/>
    <xf numFmtId="0" fontId="2" fillId="0" borderId="0"/>
    <xf numFmtId="0" fontId="12" fillId="0" borderId="0"/>
    <xf numFmtId="0" fontId="63" fillId="0" borderId="0"/>
  </cellStyleXfs>
  <cellXfs count="836">
    <xf numFmtId="0" fontId="0" fillId="0" borderId="0" xfId="0"/>
    <xf numFmtId="0" fontId="3" fillId="0" borderId="0" xfId="0" applyFont="1"/>
    <xf numFmtId="0" fontId="12" fillId="0" borderId="0" xfId="0" applyFont="1"/>
    <xf numFmtId="0" fontId="12" fillId="0" borderId="0" xfId="0" applyFont="1" applyAlignment="1">
      <alignment horizontal="center" vertical="center"/>
    </xf>
    <xf numFmtId="0" fontId="6" fillId="0" borderId="0" xfId="0" applyFont="1"/>
    <xf numFmtId="0" fontId="7" fillId="0" borderId="0" xfId="0" applyFont="1"/>
    <xf numFmtId="0" fontId="6" fillId="0" borderId="0" xfId="0" applyFont="1" applyAlignment="1">
      <alignment horizontal="center" vertical="center" wrapText="1"/>
    </xf>
    <xf numFmtId="0" fontId="16" fillId="0" borderId="0" xfId="5" applyFont="1"/>
    <xf numFmtId="0" fontId="6" fillId="0" borderId="0" xfId="0" applyFont="1" applyAlignment="1">
      <alignment wrapText="1"/>
    </xf>
    <xf numFmtId="0" fontId="15" fillId="0" borderId="0" xfId="0" applyFont="1" applyAlignment="1">
      <alignment vertical="center"/>
    </xf>
    <xf numFmtId="0" fontId="1" fillId="0" borderId="2" xfId="1" applyBorder="1" applyAlignment="1">
      <alignment vertical="center" wrapText="1"/>
    </xf>
    <xf numFmtId="3" fontId="1" fillId="0" borderId="2" xfId="1" applyNumberFormat="1" applyBorder="1" applyAlignment="1">
      <alignment horizontal="center" vertical="center" wrapText="1"/>
    </xf>
    <xf numFmtId="0" fontId="1" fillId="0" borderId="2" xfId="1" applyBorder="1" applyAlignment="1">
      <alignment vertical="center"/>
    </xf>
    <xf numFmtId="0" fontId="1" fillId="0" borderId="2" xfId="1" applyBorder="1" applyAlignment="1">
      <alignment horizontal="center" vertical="center" wrapText="1"/>
    </xf>
    <xf numFmtId="0" fontId="6" fillId="0" borderId="2" xfId="0" applyFont="1" applyBorder="1" applyAlignment="1">
      <alignment vertical="center"/>
    </xf>
    <xf numFmtId="0" fontId="6" fillId="0" borderId="2" xfId="0" applyFont="1" applyBorder="1" applyAlignment="1">
      <alignment horizontal="center" vertical="center" wrapText="1"/>
    </xf>
    <xf numFmtId="0" fontId="6" fillId="0" borderId="2" xfId="0" applyFont="1" applyBorder="1" applyAlignment="1">
      <alignment vertical="center" wrapText="1"/>
    </xf>
    <xf numFmtId="0" fontId="19" fillId="6" borderId="2" xfId="0" applyFont="1" applyFill="1" applyBorder="1" applyAlignment="1">
      <alignment vertical="center"/>
    </xf>
    <xf numFmtId="0" fontId="19" fillId="6" borderId="2" xfId="0" applyFont="1" applyFill="1" applyBorder="1" applyAlignment="1">
      <alignment horizontal="left" vertical="center"/>
    </xf>
    <xf numFmtId="3" fontId="6" fillId="0" borderId="2" xfId="7" applyNumberFormat="1" applyFont="1" applyBorder="1" applyAlignment="1">
      <alignment horizontal="center" vertical="center"/>
    </xf>
    <xf numFmtId="1" fontId="1" fillId="0" borderId="2" xfId="7" applyNumberFormat="1" applyFont="1" applyBorder="1" applyAlignment="1">
      <alignment horizontal="center" vertical="center"/>
    </xf>
    <xf numFmtId="3" fontId="10" fillId="0" borderId="2" xfId="3" applyNumberFormat="1" applyFont="1" applyBorder="1" applyAlignment="1">
      <alignment horizontal="center" vertical="center" wrapText="1"/>
    </xf>
    <xf numFmtId="0" fontId="6" fillId="0" borderId="0" xfId="0" applyFont="1" applyAlignment="1">
      <alignment horizontal="center" vertical="top" wrapText="1"/>
    </xf>
    <xf numFmtId="0" fontId="6" fillId="0" borderId="0" xfId="0" applyFont="1" applyAlignment="1">
      <alignment horizontal="left" vertical="top" wrapText="1"/>
    </xf>
    <xf numFmtId="0" fontId="7" fillId="0" borderId="0" xfId="0" applyFont="1" applyAlignment="1">
      <alignment horizontal="center" vertical="top" wrapText="1"/>
    </xf>
    <xf numFmtId="167" fontId="16" fillId="0" borderId="0" xfId="5" applyNumberFormat="1" applyFont="1" applyAlignment="1">
      <alignment horizontal="left" vertical="top"/>
    </xf>
    <xf numFmtId="0" fontId="7" fillId="2" borderId="0" xfId="0" applyFont="1" applyFill="1"/>
    <xf numFmtId="0" fontId="7" fillId="2" borderId="0" xfId="0" applyFont="1" applyFill="1" applyAlignment="1">
      <alignment wrapText="1"/>
    </xf>
    <xf numFmtId="0" fontId="7" fillId="2" borderId="0" xfId="0" applyFont="1" applyFill="1" applyAlignment="1">
      <alignment horizontal="left"/>
    </xf>
    <xf numFmtId="0" fontId="7" fillId="2" borderId="0" xfId="0" applyFont="1" applyFill="1" applyAlignment="1">
      <alignment horizontal="center"/>
    </xf>
    <xf numFmtId="0" fontId="20" fillId="6" borderId="2" xfId="0" applyFont="1" applyFill="1" applyBorder="1" applyAlignment="1">
      <alignment horizontal="center" vertical="center" wrapText="1"/>
    </xf>
    <xf numFmtId="0" fontId="19" fillId="6" borderId="2" xfId="0" applyFont="1" applyFill="1" applyBorder="1" applyAlignment="1">
      <alignment horizontal="center" vertical="center"/>
    </xf>
    <xf numFmtId="9" fontId="6" fillId="0" borderId="0" xfId="2" applyFont="1" applyFill="1" applyBorder="1" applyAlignment="1">
      <alignment horizontal="center" vertical="center"/>
    </xf>
    <xf numFmtId="0" fontId="19" fillId="6" borderId="22" xfId="0" applyFont="1" applyFill="1" applyBorder="1" applyAlignment="1">
      <alignment horizontal="center" vertical="center" wrapText="1"/>
    </xf>
    <xf numFmtId="9" fontId="6" fillId="0" borderId="0" xfId="2" applyFont="1" applyFill="1" applyBorder="1"/>
    <xf numFmtId="9" fontId="6" fillId="0" borderId="0" xfId="0" applyNumberFormat="1" applyFont="1"/>
    <xf numFmtId="0" fontId="1" fillId="0" borderId="2" xfId="0" applyFont="1" applyBorder="1" applyAlignment="1">
      <alignment horizontal="center" vertical="center"/>
    </xf>
    <xf numFmtId="0" fontId="7" fillId="6" borderId="22" xfId="0" applyFont="1" applyFill="1" applyBorder="1" applyAlignment="1">
      <alignment horizontal="center" vertical="center"/>
    </xf>
    <xf numFmtId="9" fontId="6" fillId="0" borderId="0" xfId="0" applyNumberFormat="1" applyFont="1" applyAlignment="1">
      <alignment vertical="center"/>
    </xf>
    <xf numFmtId="0" fontId="7" fillId="0" borderId="0" xfId="0" applyFont="1" applyAlignment="1">
      <alignment vertical="center"/>
    </xf>
    <xf numFmtId="0" fontId="23" fillId="0" borderId="0" xfId="0" applyFont="1" applyAlignment="1">
      <alignment horizontal="left" vertical="center"/>
    </xf>
    <xf numFmtId="0" fontId="22" fillId="0" borderId="0" xfId="0" applyFont="1" applyAlignment="1">
      <alignment horizontal="center" vertical="center"/>
    </xf>
    <xf numFmtId="0" fontId="25" fillId="4" borderId="0" xfId="0" applyFont="1" applyFill="1" applyAlignment="1">
      <alignment vertical="center" wrapText="1"/>
    </xf>
    <xf numFmtId="0" fontId="22" fillId="4" borderId="0" xfId="0" applyFont="1" applyFill="1" applyAlignment="1">
      <alignment horizontal="center" vertical="center"/>
    </xf>
    <xf numFmtId="165" fontId="22" fillId="4" borderId="0" xfId="0" applyNumberFormat="1" applyFont="1" applyFill="1" applyAlignment="1">
      <alignment horizontal="center" vertical="center"/>
    </xf>
    <xf numFmtId="0" fontId="23" fillId="0" borderId="0" xfId="0" applyFont="1" applyAlignment="1">
      <alignment horizontal="left"/>
    </xf>
    <xf numFmtId="0" fontId="24" fillId="0" borderId="0" xfId="0" applyFont="1" applyAlignment="1">
      <alignment horizontal="left" vertical="center" wrapText="1"/>
    </xf>
    <xf numFmtId="0" fontId="24" fillId="0" borderId="0" xfId="0" applyFont="1" applyAlignment="1">
      <alignment horizontal="left" vertical="center"/>
    </xf>
    <xf numFmtId="0" fontId="24" fillId="0" borderId="0" xfId="0" applyFont="1" applyAlignment="1">
      <alignment horizontal="center" vertical="center" wrapText="1"/>
    </xf>
    <xf numFmtId="10" fontId="6" fillId="0" borderId="0" xfId="8" applyNumberFormat="1" applyFont="1" applyFill="1" applyBorder="1" applyAlignment="1">
      <alignment horizontal="center"/>
    </xf>
    <xf numFmtId="9" fontId="6" fillId="0" borderId="0" xfId="2" applyFont="1" applyFill="1" applyBorder="1" applyAlignment="1">
      <alignment horizontal="left"/>
    </xf>
    <xf numFmtId="1" fontId="6" fillId="0" borderId="0" xfId="2" applyNumberFormat="1" applyFont="1" applyFill="1" applyBorder="1"/>
    <xf numFmtId="167" fontId="22" fillId="0" borderId="0" xfId="0" applyNumberFormat="1" applyFont="1" applyAlignment="1">
      <alignment horizontal="center" vertical="center"/>
    </xf>
    <xf numFmtId="0" fontId="13" fillId="0" borderId="0" xfId="0" applyFont="1" applyAlignment="1">
      <alignment vertical="center"/>
    </xf>
    <xf numFmtId="0" fontId="26" fillId="0" borderId="0" xfId="0" applyFont="1"/>
    <xf numFmtId="0" fontId="27" fillId="2" borderId="0" xfId="0" applyFont="1" applyFill="1"/>
    <xf numFmtId="0" fontId="28" fillId="0" borderId="0" xfId="0" quotePrefix="1" applyFont="1"/>
    <xf numFmtId="0" fontId="26" fillId="0" borderId="0" xfId="0" applyFont="1" applyAlignment="1">
      <alignment wrapText="1"/>
    </xf>
    <xf numFmtId="0" fontId="26" fillId="0" borderId="0" xfId="0" applyFont="1" applyAlignment="1">
      <alignment horizontal="center"/>
    </xf>
    <xf numFmtId="166" fontId="1" fillId="0" borderId="2" xfId="1" applyNumberFormat="1" applyBorder="1" applyAlignment="1">
      <alignment horizontal="center" vertical="center" wrapText="1"/>
    </xf>
    <xf numFmtId="0" fontId="8" fillId="0" borderId="0" xfId="5" applyAlignment="1">
      <alignment vertical="center"/>
    </xf>
    <xf numFmtId="0" fontId="6" fillId="0" borderId="0" xfId="4" applyAlignment="1">
      <alignment horizontal="center" vertical="center"/>
    </xf>
    <xf numFmtId="9" fontId="6" fillId="0" borderId="0" xfId="0" applyNumberFormat="1" applyFont="1" applyAlignment="1">
      <alignment horizontal="center"/>
    </xf>
    <xf numFmtId="9" fontId="6" fillId="0" borderId="0" xfId="0" applyNumberFormat="1" applyFont="1" applyAlignment="1">
      <alignment horizontal="left"/>
    </xf>
    <xf numFmtId="0" fontId="1" fillId="0" borderId="2" xfId="0" applyFont="1" applyBorder="1" applyAlignment="1">
      <alignment horizontal="left" vertical="center" wrapText="1"/>
    </xf>
    <xf numFmtId="0" fontId="7" fillId="6" borderId="22" xfId="0" applyFont="1" applyFill="1" applyBorder="1" applyAlignment="1">
      <alignment horizontal="center" vertical="center" wrapText="1"/>
    </xf>
    <xf numFmtId="0" fontId="6" fillId="0" borderId="2" xfId="0" applyFont="1" applyBorder="1"/>
    <xf numFmtId="0" fontId="19" fillId="6" borderId="11" xfId="0" applyFont="1" applyFill="1" applyBorder="1" applyAlignment="1">
      <alignment horizontal="center" vertical="center" wrapText="1"/>
    </xf>
    <xf numFmtId="0" fontId="7" fillId="6" borderId="25" xfId="0" applyFont="1" applyFill="1" applyBorder="1" applyAlignment="1">
      <alignment horizontal="center" vertical="center"/>
    </xf>
    <xf numFmtId="0" fontId="29" fillId="0" borderId="0" xfId="0" applyFont="1"/>
    <xf numFmtId="0" fontId="31" fillId="0" borderId="0" xfId="0" applyFont="1" applyAlignment="1">
      <alignment vertical="center"/>
    </xf>
    <xf numFmtId="0" fontId="6" fillId="0" borderId="20" xfId="0" applyFont="1" applyBorder="1"/>
    <xf numFmtId="168" fontId="6" fillId="0" borderId="0" xfId="6" applyNumberFormat="1" applyFont="1"/>
    <xf numFmtId="168" fontId="6" fillId="0" borderId="20" xfId="6" applyNumberFormat="1" applyFont="1" applyBorder="1"/>
    <xf numFmtId="0" fontId="6" fillId="0" borderId="2" xfId="0" applyFont="1" applyBorder="1" applyAlignment="1">
      <alignment wrapText="1"/>
    </xf>
    <xf numFmtId="0" fontId="6" fillId="0" borderId="15" xfId="0" applyFont="1" applyBorder="1"/>
    <xf numFmtId="0" fontId="6" fillId="0" borderId="18" xfId="0" applyFont="1" applyBorder="1"/>
    <xf numFmtId="0" fontId="6" fillId="0" borderId="15" xfId="0" applyFont="1" applyBorder="1" applyAlignment="1">
      <alignment horizontal="right" vertical="center"/>
    </xf>
    <xf numFmtId="3" fontId="6" fillId="0" borderId="10" xfId="7" applyNumberFormat="1" applyFont="1" applyBorder="1" applyAlignment="1">
      <alignment horizontal="center" vertical="center"/>
    </xf>
    <xf numFmtId="3" fontId="6" fillId="0" borderId="27" xfId="7" applyNumberFormat="1" applyFont="1" applyBorder="1" applyAlignment="1">
      <alignment horizontal="center" vertical="center"/>
    </xf>
    <xf numFmtId="3" fontId="6" fillId="0" borderId="18" xfId="7" applyNumberFormat="1" applyFont="1" applyBorder="1" applyAlignment="1">
      <alignment horizontal="center" vertical="center"/>
    </xf>
    <xf numFmtId="10" fontId="6" fillId="0" borderId="2" xfId="0" applyNumberFormat="1" applyFont="1" applyBorder="1" applyAlignment="1">
      <alignment horizontal="center" vertical="center" wrapText="1"/>
    </xf>
    <xf numFmtId="0" fontId="1" fillId="0" borderId="22" xfId="0" applyFont="1" applyBorder="1" applyAlignment="1">
      <alignment horizontal="center" wrapText="1"/>
    </xf>
    <xf numFmtId="0" fontId="10" fillId="0" borderId="2" xfId="3" applyFont="1" applyFill="1" applyBorder="1" applyAlignment="1">
      <alignment horizontal="left" vertical="center" wrapText="1"/>
    </xf>
    <xf numFmtId="0" fontId="23" fillId="0" borderId="0" xfId="0" applyFont="1" applyAlignment="1">
      <alignment horizontal="center" vertical="center" wrapText="1"/>
    </xf>
    <xf numFmtId="0" fontId="32" fillId="0" borderId="2" xfId="0" applyFont="1" applyBorder="1" applyAlignment="1">
      <alignment horizontal="left" vertical="center" wrapText="1"/>
    </xf>
    <xf numFmtId="0" fontId="33" fillId="0" borderId="2" xfId="0" applyFont="1" applyBorder="1" applyAlignment="1">
      <alignment horizontal="center" vertical="center" wrapText="1"/>
    </xf>
    <xf numFmtId="0" fontId="33" fillId="0" borderId="2" xfId="0" applyFont="1" applyBorder="1" applyAlignment="1">
      <alignment horizontal="left" vertical="center" wrapText="1"/>
    </xf>
    <xf numFmtId="0" fontId="21" fillId="0" borderId="0" xfId="0" applyFont="1" applyAlignment="1">
      <alignment horizontal="left" vertical="center"/>
    </xf>
    <xf numFmtId="3" fontId="6" fillId="0" borderId="0" xfId="0" applyNumberFormat="1" applyFont="1" applyAlignment="1">
      <alignment horizontal="left"/>
    </xf>
    <xf numFmtId="0" fontId="23" fillId="0" borderId="0" xfId="0" applyFont="1" applyAlignment="1">
      <alignment wrapText="1"/>
    </xf>
    <xf numFmtId="0" fontId="21" fillId="0" borderId="0" xfId="0" applyFont="1"/>
    <xf numFmtId="0" fontId="12" fillId="0" borderId="0" xfId="0" applyFont="1" applyAlignment="1">
      <alignment vertical="center"/>
    </xf>
    <xf numFmtId="0" fontId="6" fillId="4" borderId="0" xfId="0" applyFont="1" applyFill="1"/>
    <xf numFmtId="0" fontId="6" fillId="4" borderId="0" xfId="0" applyFont="1" applyFill="1" applyAlignment="1">
      <alignment horizontal="center"/>
    </xf>
    <xf numFmtId="0" fontId="6" fillId="8" borderId="0" xfId="0" applyFont="1" applyFill="1" applyAlignment="1">
      <alignment horizontal="center" vertical="center"/>
    </xf>
    <xf numFmtId="0" fontId="12" fillId="0" borderId="0" xfId="0" applyFont="1" applyAlignment="1">
      <alignment wrapText="1"/>
    </xf>
    <xf numFmtId="0" fontId="12" fillId="0" borderId="0" xfId="0" applyFont="1" applyAlignment="1">
      <alignment horizontal="center"/>
    </xf>
    <xf numFmtId="0" fontId="15" fillId="2" borderId="0" xfId="0" applyFont="1" applyFill="1"/>
    <xf numFmtId="0" fontId="15" fillId="2" borderId="0" xfId="0" applyFont="1" applyFill="1" applyAlignment="1">
      <alignment wrapText="1"/>
    </xf>
    <xf numFmtId="0" fontId="15" fillId="2" borderId="0" xfId="0" applyFont="1" applyFill="1" applyAlignment="1">
      <alignment horizontal="left"/>
    </xf>
    <xf numFmtId="0" fontId="15" fillId="2" borderId="0" xfId="0" applyFont="1" applyFill="1" applyAlignment="1">
      <alignment horizontal="center"/>
    </xf>
    <xf numFmtId="0" fontId="6" fillId="0" borderId="39" xfId="0" applyFont="1" applyBorder="1" applyAlignment="1">
      <alignment horizontal="center" vertical="center"/>
    </xf>
    <xf numFmtId="0" fontId="6" fillId="0" borderId="40" xfId="0" applyFont="1" applyBorder="1" applyAlignment="1">
      <alignment horizontal="center" vertical="center"/>
    </xf>
    <xf numFmtId="0" fontId="6" fillId="0" borderId="42" xfId="0" applyFont="1" applyBorder="1" applyAlignment="1">
      <alignment horizontal="center" vertical="center"/>
    </xf>
    <xf numFmtId="0" fontId="6" fillId="0" borderId="43" xfId="0" applyFont="1" applyBorder="1" applyAlignment="1">
      <alignment horizontal="center" vertical="center"/>
    </xf>
    <xf numFmtId="0" fontId="1" fillId="0" borderId="0" xfId="0" applyFont="1"/>
    <xf numFmtId="0" fontId="22" fillId="0" borderId="49" xfId="0" applyFont="1" applyBorder="1" applyAlignment="1">
      <alignment horizontal="center" vertical="center"/>
    </xf>
    <xf numFmtId="2" fontId="22" fillId="0" borderId="47" xfId="0" applyNumberFormat="1" applyFont="1" applyBorder="1" applyAlignment="1">
      <alignment horizontal="center" vertical="center"/>
    </xf>
    <xf numFmtId="2" fontId="22" fillId="0" borderId="48" xfId="0" applyNumberFormat="1" applyFont="1" applyBorder="1" applyAlignment="1">
      <alignment horizontal="center" vertical="center"/>
    </xf>
    <xf numFmtId="0" fontId="22" fillId="0" borderId="52" xfId="0" applyFont="1" applyBorder="1" applyAlignment="1">
      <alignment horizontal="center" vertical="center"/>
    </xf>
    <xf numFmtId="2" fontId="22" fillId="0" borderId="50" xfId="0" applyNumberFormat="1" applyFont="1" applyBorder="1" applyAlignment="1">
      <alignment horizontal="center" vertical="center"/>
    </xf>
    <xf numFmtId="2" fontId="22" fillId="0" borderId="51" xfId="0" applyNumberFormat="1" applyFont="1" applyBorder="1" applyAlignment="1">
      <alignment horizontal="center" vertical="center"/>
    </xf>
    <xf numFmtId="0" fontId="22" fillId="0" borderId="55" xfId="0" applyFont="1" applyBorder="1" applyAlignment="1">
      <alignment horizontal="center" vertical="center"/>
    </xf>
    <xf numFmtId="2" fontId="22" fillId="0" borderId="53" xfId="0" applyNumberFormat="1" applyFont="1" applyBorder="1" applyAlignment="1">
      <alignment horizontal="center" vertical="center"/>
    </xf>
    <xf numFmtId="2" fontId="22" fillId="0" borderId="54" xfId="0" applyNumberFormat="1" applyFont="1" applyBorder="1" applyAlignment="1">
      <alignment horizontal="center" vertical="center"/>
    </xf>
    <xf numFmtId="0" fontId="22" fillId="0" borderId="58" xfId="0" applyFont="1" applyBorder="1" applyAlignment="1">
      <alignment horizontal="center" vertical="center"/>
    </xf>
    <xf numFmtId="2" fontId="22" fillId="0" borderId="56" xfId="0" applyNumberFormat="1" applyFont="1" applyBorder="1" applyAlignment="1">
      <alignment horizontal="center" vertical="center"/>
    </xf>
    <xf numFmtId="2" fontId="22" fillId="0" borderId="57" xfId="0" applyNumberFormat="1" applyFont="1" applyBorder="1" applyAlignment="1">
      <alignment horizontal="center" vertical="center"/>
    </xf>
    <xf numFmtId="0" fontId="22" fillId="0" borderId="61" xfId="0" applyFont="1" applyBorder="1" applyAlignment="1">
      <alignment horizontal="center" vertical="center"/>
    </xf>
    <xf numFmtId="2" fontId="22" fillId="0" borderId="59" xfId="0" applyNumberFormat="1" applyFont="1" applyBorder="1" applyAlignment="1">
      <alignment horizontal="center" vertical="center"/>
    </xf>
    <xf numFmtId="2" fontId="22" fillId="0" borderId="60" xfId="0" applyNumberFormat="1" applyFont="1" applyBorder="1" applyAlignment="1">
      <alignment horizontal="center" vertical="center"/>
    </xf>
    <xf numFmtId="0" fontId="22" fillId="0" borderId="64" xfId="0" applyFont="1" applyBorder="1" applyAlignment="1">
      <alignment horizontal="center" vertical="center"/>
    </xf>
    <xf numFmtId="2" fontId="22" fillId="0" borderId="1" xfId="0" applyNumberFormat="1" applyFont="1" applyBorder="1" applyAlignment="1">
      <alignment horizontal="center" vertical="center"/>
    </xf>
    <xf numFmtId="2" fontId="22" fillId="0" borderId="4" xfId="0" applyNumberFormat="1" applyFont="1" applyBorder="1" applyAlignment="1">
      <alignment horizontal="center" vertical="center"/>
    </xf>
    <xf numFmtId="0" fontId="22" fillId="0" borderId="10" xfId="0" applyFont="1" applyBorder="1" applyAlignment="1">
      <alignment horizontal="center" vertical="center"/>
    </xf>
    <xf numFmtId="2" fontId="22" fillId="0" borderId="2" xfId="0" applyNumberFormat="1" applyFont="1" applyBorder="1" applyAlignment="1">
      <alignment horizontal="center" vertical="center"/>
    </xf>
    <xf numFmtId="2" fontId="22" fillId="0" borderId="6" xfId="0" applyNumberFormat="1" applyFont="1" applyBorder="1" applyAlignment="1">
      <alignment horizontal="center" vertical="center"/>
    </xf>
    <xf numFmtId="0" fontId="22" fillId="0" borderId="14" xfId="0" applyFont="1" applyBorder="1" applyAlignment="1">
      <alignment horizontal="center" vertical="center"/>
    </xf>
    <xf numFmtId="2" fontId="22" fillId="0" borderId="11" xfId="0" applyNumberFormat="1" applyFont="1" applyBorder="1" applyAlignment="1">
      <alignment horizontal="center" vertical="center"/>
    </xf>
    <xf numFmtId="2" fontId="22" fillId="0" borderId="37" xfId="0" applyNumberFormat="1" applyFont="1" applyBorder="1" applyAlignment="1">
      <alignment horizontal="center" vertical="center"/>
    </xf>
    <xf numFmtId="2" fontId="22" fillId="0" borderId="26" xfId="0" applyNumberFormat="1" applyFont="1" applyBorder="1" applyAlignment="1">
      <alignment horizontal="center" vertical="center"/>
    </xf>
    <xf numFmtId="2" fontId="22" fillId="0" borderId="8" xfId="0" applyNumberFormat="1" applyFont="1" applyBorder="1" applyAlignment="1">
      <alignment horizontal="center" vertical="center"/>
    </xf>
    <xf numFmtId="2" fontId="22" fillId="0" borderId="18" xfId="0" applyNumberFormat="1" applyFont="1" applyBorder="1" applyAlignment="1">
      <alignment horizontal="center" vertical="center"/>
    </xf>
    <xf numFmtId="2" fontId="22" fillId="0" borderId="66" xfId="0" applyNumberFormat="1" applyFont="1" applyBorder="1" applyAlignment="1">
      <alignment horizontal="center" vertical="center"/>
    </xf>
    <xf numFmtId="0" fontId="22" fillId="0" borderId="0" xfId="0" applyFont="1" applyAlignment="1">
      <alignment horizontal="left" vertical="center" wrapText="1"/>
    </xf>
    <xf numFmtId="0" fontId="22" fillId="0" borderId="68" xfId="0" applyFont="1" applyBorder="1" applyAlignment="1">
      <alignment horizontal="center" vertical="center"/>
    </xf>
    <xf numFmtId="0" fontId="22" fillId="0" borderId="72" xfId="0" applyFont="1" applyBorder="1" applyAlignment="1">
      <alignment horizontal="center" vertical="center"/>
    </xf>
    <xf numFmtId="2" fontId="22" fillId="0" borderId="71" xfId="0" applyNumberFormat="1" applyFont="1" applyBorder="1" applyAlignment="1">
      <alignment horizontal="center" vertical="center"/>
    </xf>
    <xf numFmtId="2" fontId="22" fillId="0" borderId="73" xfId="0" applyNumberFormat="1" applyFont="1" applyBorder="1" applyAlignment="1">
      <alignment horizontal="center" vertical="center"/>
    </xf>
    <xf numFmtId="0" fontId="6" fillId="0" borderId="75" xfId="0" applyFont="1" applyBorder="1" applyAlignment="1">
      <alignment horizontal="center" vertical="center"/>
    </xf>
    <xf numFmtId="0" fontId="23" fillId="0" borderId="39" xfId="0" applyFont="1" applyBorder="1" applyAlignment="1">
      <alignment horizontal="center" vertical="center"/>
    </xf>
    <xf numFmtId="0" fontId="23" fillId="0" borderId="40" xfId="0" applyFont="1" applyBorder="1" applyAlignment="1">
      <alignment horizontal="center" vertical="center"/>
    </xf>
    <xf numFmtId="0" fontId="23" fillId="0" borderId="75" xfId="0" applyFont="1" applyBorder="1" applyAlignment="1">
      <alignment horizontal="center" vertical="center"/>
    </xf>
    <xf numFmtId="0" fontId="1" fillId="0" borderId="42" xfId="0" applyFont="1" applyBorder="1" applyAlignment="1">
      <alignment horizontal="center" vertical="center"/>
    </xf>
    <xf numFmtId="0" fontId="1" fillId="0" borderId="43" xfId="0" applyFont="1" applyBorder="1" applyAlignment="1">
      <alignment horizontal="center" vertical="center"/>
    </xf>
    <xf numFmtId="0" fontId="0" fillId="0" borderId="76" xfId="0" applyBorder="1" applyAlignment="1">
      <alignment horizontal="center" vertical="center" wrapText="1"/>
    </xf>
    <xf numFmtId="0" fontId="6" fillId="0" borderId="77" xfId="0" applyFont="1" applyBorder="1" applyAlignment="1">
      <alignment horizontal="center" vertical="center"/>
    </xf>
    <xf numFmtId="0" fontId="6" fillId="0" borderId="78" xfId="0" applyFont="1" applyBorder="1" applyAlignment="1">
      <alignment horizontal="center" vertical="center"/>
    </xf>
    <xf numFmtId="0" fontId="6" fillId="0" borderId="79" xfId="0" applyFont="1" applyBorder="1" applyAlignment="1">
      <alignment horizontal="center" vertical="center"/>
    </xf>
    <xf numFmtId="0" fontId="7" fillId="6" borderId="23" xfId="0" applyFont="1" applyFill="1" applyBorder="1" applyAlignment="1">
      <alignment horizontal="center" vertical="center"/>
    </xf>
    <xf numFmtId="0" fontId="0" fillId="0" borderId="36" xfId="0" applyBorder="1" applyAlignment="1">
      <alignment horizontal="center" vertical="center" wrapText="1"/>
    </xf>
    <xf numFmtId="0" fontId="37" fillId="8" borderId="0" xfId="0" applyFont="1" applyFill="1" applyAlignment="1">
      <alignment horizontal="center" vertical="center"/>
    </xf>
    <xf numFmtId="0" fontId="7" fillId="6" borderId="84" xfId="0" applyFont="1" applyFill="1" applyBorder="1" applyAlignment="1">
      <alignment horizontal="center" vertical="center"/>
    </xf>
    <xf numFmtId="0" fontId="16" fillId="0" borderId="84" xfId="5" applyFont="1" applyBorder="1" applyAlignment="1">
      <alignment horizontal="center" vertical="center"/>
    </xf>
    <xf numFmtId="0" fontId="14" fillId="0" borderId="0" xfId="0" applyFont="1" applyAlignment="1">
      <alignment vertical="center" wrapText="1"/>
    </xf>
    <xf numFmtId="0" fontId="36" fillId="0" borderId="0" xfId="0" applyFont="1" applyAlignment="1">
      <alignment horizontal="center"/>
    </xf>
    <xf numFmtId="0" fontId="13" fillId="0" borderId="28" xfId="0" applyFont="1" applyBorder="1" applyAlignment="1">
      <alignment vertical="center"/>
    </xf>
    <xf numFmtId="0" fontId="30" fillId="0" borderId="28" xfId="0" applyFont="1" applyBorder="1" applyAlignment="1">
      <alignment vertical="center"/>
    </xf>
    <xf numFmtId="0" fontId="6" fillId="0" borderId="27" xfId="0" applyFont="1" applyBorder="1"/>
    <xf numFmtId="0" fontId="7" fillId="0" borderId="86" xfId="0" applyFont="1" applyBorder="1" applyAlignment="1">
      <alignment horizontal="center" vertical="center"/>
    </xf>
    <xf numFmtId="0" fontId="6" fillId="0" borderId="29" xfId="0" applyFont="1" applyBorder="1" applyAlignment="1">
      <alignment vertical="center"/>
    </xf>
    <xf numFmtId="10" fontId="6" fillId="0" borderId="84" xfId="0" applyNumberFormat="1" applyFont="1" applyBorder="1"/>
    <xf numFmtId="0" fontId="6" fillId="0" borderId="84" xfId="0" applyFont="1" applyBorder="1"/>
    <xf numFmtId="168" fontId="6" fillId="0" borderId="87" xfId="6" applyNumberFormat="1" applyFont="1" applyBorder="1" applyAlignment="1">
      <alignment horizontal="right" vertical="center"/>
    </xf>
    <xf numFmtId="168" fontId="6" fillId="0" borderId="88" xfId="6" applyNumberFormat="1" applyFont="1" applyBorder="1" applyAlignment="1">
      <alignment horizontal="right" vertical="center"/>
    </xf>
    <xf numFmtId="1" fontId="6" fillId="0" borderId="29" xfId="0" applyNumberFormat="1" applyFont="1" applyBorder="1" applyAlignment="1">
      <alignment horizontal="right"/>
    </xf>
    <xf numFmtId="0" fontId="6" fillId="0" borderId="29" xfId="0" applyFont="1" applyBorder="1" applyAlignment="1">
      <alignment horizontal="right"/>
    </xf>
    <xf numFmtId="0" fontId="6" fillId="0" borderId="27" xfId="0" applyFont="1" applyBorder="1" applyAlignment="1">
      <alignment horizontal="right"/>
    </xf>
    <xf numFmtId="0" fontId="21" fillId="0" borderId="0" xfId="0" applyFont="1" applyAlignment="1">
      <alignment vertical="center"/>
    </xf>
    <xf numFmtId="0" fontId="23" fillId="0" borderId="31" xfId="0" applyFont="1" applyBorder="1" applyAlignment="1">
      <alignment horizontal="center" vertical="center" wrapText="1"/>
    </xf>
    <xf numFmtId="0" fontId="23" fillId="4" borderId="90" xfId="0" applyFont="1" applyFill="1" applyBorder="1" applyAlignment="1">
      <alignment horizontal="center" vertical="center" wrapText="1"/>
    </xf>
    <xf numFmtId="0" fontId="23" fillId="4" borderId="85" xfId="0" applyFont="1" applyFill="1" applyBorder="1" applyAlignment="1">
      <alignment horizontal="center" vertical="center" wrapText="1"/>
    </xf>
    <xf numFmtId="0" fontId="23" fillId="4" borderId="83" xfId="0" applyFont="1" applyFill="1" applyBorder="1" applyAlignment="1">
      <alignment horizontal="center" vertical="center" wrapText="1"/>
    </xf>
    <xf numFmtId="0" fontId="23" fillId="4" borderId="31" xfId="0" applyFont="1" applyFill="1" applyBorder="1" applyAlignment="1">
      <alignment horizontal="center" vertical="center" wrapText="1"/>
    </xf>
    <xf numFmtId="0" fontId="6" fillId="7" borderId="22" xfId="0" applyFont="1" applyFill="1" applyBorder="1" applyAlignment="1">
      <alignment horizontal="center" vertical="center"/>
    </xf>
    <xf numFmtId="0" fontId="6" fillId="7" borderId="22" xfId="0" applyFont="1" applyFill="1" applyBorder="1" applyAlignment="1">
      <alignment horizontal="center" vertical="center" wrapText="1"/>
    </xf>
    <xf numFmtId="0" fontId="8" fillId="0" borderId="0" xfId="5"/>
    <xf numFmtId="0" fontId="6" fillId="0" borderId="84" xfId="0" applyFont="1" applyBorder="1" applyAlignment="1">
      <alignment horizontal="center" vertical="center" wrapText="1"/>
    </xf>
    <xf numFmtId="0" fontId="7" fillId="6" borderId="84" xfId="0" applyFont="1" applyFill="1" applyBorder="1" applyAlignment="1">
      <alignment horizontal="center" vertical="center" wrapText="1"/>
    </xf>
    <xf numFmtId="0" fontId="23" fillId="43" borderId="14" xfId="0" applyFont="1" applyFill="1" applyBorder="1" applyAlignment="1">
      <alignment horizontal="left" vertical="center" wrapText="1"/>
    </xf>
    <xf numFmtId="0" fontId="23" fillId="43" borderId="17" xfId="0" applyFont="1" applyFill="1" applyBorder="1" applyAlignment="1">
      <alignment horizontal="left" vertical="center" wrapText="1"/>
    </xf>
    <xf numFmtId="0" fontId="23" fillId="43" borderId="21" xfId="0" applyFont="1" applyFill="1" applyBorder="1" applyAlignment="1">
      <alignment horizontal="left" vertical="center" wrapText="1"/>
    </xf>
    <xf numFmtId="0" fontId="23" fillId="43" borderId="15" xfId="0" applyFont="1" applyFill="1" applyBorder="1" applyAlignment="1">
      <alignment wrapText="1"/>
    </xf>
    <xf numFmtId="0" fontId="23" fillId="43" borderId="18" xfId="0" applyFont="1" applyFill="1" applyBorder="1" applyAlignment="1">
      <alignment wrapText="1"/>
    </xf>
    <xf numFmtId="0" fontId="23" fillId="43" borderId="17" xfId="0" applyFont="1" applyFill="1" applyBorder="1" applyAlignment="1">
      <alignment wrapText="1"/>
    </xf>
    <xf numFmtId="0" fontId="23" fillId="43" borderId="21" xfId="0" applyFont="1" applyFill="1" applyBorder="1" applyAlignment="1">
      <alignment wrapText="1"/>
    </xf>
    <xf numFmtId="0" fontId="23" fillId="44" borderId="0" xfId="0" applyFont="1" applyFill="1" applyAlignment="1">
      <alignment vertical="center"/>
    </xf>
    <xf numFmtId="0" fontId="23" fillId="44" borderId="0" xfId="0" applyFont="1" applyFill="1" applyAlignment="1">
      <alignment wrapText="1"/>
    </xf>
    <xf numFmtId="0" fontId="36" fillId="44" borderId="0" xfId="0" applyFont="1" applyFill="1"/>
    <xf numFmtId="0" fontId="23" fillId="9" borderId="2" xfId="0" applyFont="1" applyFill="1" applyBorder="1"/>
    <xf numFmtId="0" fontId="23" fillId="9" borderId="107" xfId="0" applyFont="1" applyFill="1" applyBorder="1" applyAlignment="1">
      <alignment horizontal="left" vertical="center" wrapText="1"/>
    </xf>
    <xf numFmtId="0" fontId="23" fillId="9" borderId="108" xfId="0" applyFont="1" applyFill="1" applyBorder="1" applyAlignment="1">
      <alignment horizontal="left" vertical="center" wrapText="1"/>
    </xf>
    <xf numFmtId="0" fontId="23" fillId="9" borderId="109" xfId="0" applyFont="1" applyFill="1" applyBorder="1" applyAlignment="1">
      <alignment horizontal="left" vertical="center" wrapText="1"/>
    </xf>
    <xf numFmtId="0" fontId="23" fillId="9" borderId="110" xfId="0" applyFont="1" applyFill="1" applyBorder="1" applyAlignment="1">
      <alignment horizontal="left" vertical="center" wrapText="1"/>
    </xf>
    <xf numFmtId="0" fontId="23" fillId="9" borderId="11" xfId="0" applyFont="1" applyFill="1" applyBorder="1" applyAlignment="1">
      <alignment wrapText="1"/>
    </xf>
    <xf numFmtId="0" fontId="23" fillId="9" borderId="15" xfId="0" applyFont="1" applyFill="1" applyBorder="1" applyAlignment="1">
      <alignment wrapText="1"/>
    </xf>
    <xf numFmtId="0" fontId="23" fillId="9" borderId="18" xfId="0" applyFont="1" applyFill="1" applyBorder="1" applyAlignment="1">
      <alignment wrapText="1"/>
    </xf>
    <xf numFmtId="0" fontId="49" fillId="45" borderId="18" xfId="0" applyFont="1" applyFill="1" applyBorder="1" applyAlignment="1">
      <alignment wrapText="1"/>
    </xf>
    <xf numFmtId="0" fontId="50" fillId="45" borderId="18" xfId="0" applyFont="1" applyFill="1" applyBorder="1" applyAlignment="1">
      <alignment wrapText="1"/>
    </xf>
    <xf numFmtId="0" fontId="23" fillId="45" borderId="2" xfId="0" applyFont="1" applyFill="1" applyBorder="1" applyAlignment="1">
      <alignment wrapText="1"/>
    </xf>
    <xf numFmtId="2" fontId="35" fillId="0" borderId="57" xfId="0" applyNumberFormat="1" applyFont="1" applyBorder="1" applyAlignment="1">
      <alignment horizontal="center" vertical="center"/>
    </xf>
    <xf numFmtId="2" fontId="35" fillId="0" borderId="47" xfId="0" applyNumberFormat="1" applyFont="1" applyBorder="1" applyAlignment="1">
      <alignment horizontal="center" vertical="center"/>
    </xf>
    <xf numFmtId="0" fontId="22" fillId="0" borderId="0" xfId="0" applyFont="1" applyAlignment="1">
      <alignment horizontal="left" vertical="center"/>
    </xf>
    <xf numFmtId="2" fontId="35" fillId="0" borderId="56" xfId="0" applyNumberFormat="1" applyFont="1" applyBorder="1" applyAlignment="1">
      <alignment horizontal="center" vertical="center"/>
    </xf>
    <xf numFmtId="2" fontId="55" fillId="0" borderId="59" xfId="0" applyNumberFormat="1" applyFont="1" applyBorder="1" applyAlignment="1">
      <alignment horizontal="center" vertical="center"/>
    </xf>
    <xf numFmtId="2" fontId="35" fillId="0" borderId="48" xfId="0" applyNumberFormat="1" applyFont="1" applyBorder="1" applyAlignment="1">
      <alignment horizontal="center" vertical="center"/>
    </xf>
    <xf numFmtId="2" fontId="55" fillId="0" borderId="47" xfId="0" applyNumberFormat="1" applyFont="1" applyBorder="1" applyAlignment="1">
      <alignment horizontal="center" vertical="center"/>
    </xf>
    <xf numFmtId="2" fontId="35" fillId="0" borderId="51" xfId="0" applyNumberFormat="1" applyFont="1" applyBorder="1" applyAlignment="1">
      <alignment horizontal="center" vertical="center"/>
    </xf>
    <xf numFmtId="0" fontId="7" fillId="0" borderId="0" xfId="0" applyFont="1" applyAlignment="1">
      <alignment horizontal="left" vertical="center"/>
    </xf>
    <xf numFmtId="2" fontId="35" fillId="0" borderId="50" xfId="0" applyNumberFormat="1" applyFont="1" applyBorder="1" applyAlignment="1">
      <alignment horizontal="center" vertical="center"/>
    </xf>
    <xf numFmtId="2" fontId="35" fillId="0" borderId="69" xfId="0" applyNumberFormat="1" applyFont="1" applyBorder="1" applyAlignment="1">
      <alignment horizontal="center" vertical="center"/>
    </xf>
    <xf numFmtId="2" fontId="35" fillId="0" borderId="67" xfId="0" applyNumberFormat="1" applyFont="1" applyBorder="1" applyAlignment="1">
      <alignment horizontal="center" vertical="center"/>
    </xf>
    <xf numFmtId="0" fontId="23" fillId="0" borderId="2" xfId="0" applyFont="1" applyBorder="1" applyAlignment="1">
      <alignment horizontal="center" vertical="center" wrapText="1"/>
    </xf>
    <xf numFmtId="169" fontId="56" fillId="0" borderId="0" xfId="0" applyNumberFormat="1" applyFont="1" applyAlignment="1">
      <alignment vertical="center"/>
    </xf>
    <xf numFmtId="169" fontId="1" fillId="0" borderId="0" xfId="0" applyNumberFormat="1" applyFont="1"/>
    <xf numFmtId="0" fontId="15" fillId="0" borderId="0" xfId="0" applyFont="1"/>
    <xf numFmtId="0" fontId="15" fillId="0" borderId="0" xfId="0" applyFont="1" applyAlignment="1">
      <alignment wrapText="1"/>
    </xf>
    <xf numFmtId="0" fontId="15" fillId="0" borderId="0" xfId="0" applyFont="1" applyAlignment="1">
      <alignment horizontal="left"/>
    </xf>
    <xf numFmtId="0" fontId="15" fillId="0" borderId="0" xfId="0" applyFont="1" applyAlignment="1">
      <alignment horizontal="center"/>
    </xf>
    <xf numFmtId="0" fontId="27" fillId="0" borderId="0" xfId="0" applyFont="1"/>
    <xf numFmtId="0" fontId="12" fillId="0" borderId="112" xfId="0" applyFont="1" applyBorder="1"/>
    <xf numFmtId="0" fontId="12" fillId="0" borderId="113" xfId="0" applyFont="1" applyBorder="1"/>
    <xf numFmtId="0" fontId="12" fillId="0" borderId="113" xfId="0" applyFont="1" applyBorder="1" applyAlignment="1">
      <alignment horizontal="center"/>
    </xf>
    <xf numFmtId="0" fontId="0" fillId="0" borderId="62" xfId="0" applyBorder="1"/>
    <xf numFmtId="0" fontId="12" fillId="0" borderId="62" xfId="0" applyFont="1" applyBorder="1"/>
    <xf numFmtId="0" fontId="12" fillId="0" borderId="63" xfId="0" applyFont="1" applyBorder="1"/>
    <xf numFmtId="0" fontId="12" fillId="0" borderId="63" xfId="0" applyFont="1" applyBorder="1" applyAlignment="1">
      <alignment horizontal="center"/>
    </xf>
    <xf numFmtId="0" fontId="12" fillId="0" borderId="115" xfId="0" applyFont="1" applyBorder="1"/>
    <xf numFmtId="0" fontId="12" fillId="0" borderId="116" xfId="0" applyFont="1" applyBorder="1" applyAlignment="1">
      <alignment wrapText="1"/>
    </xf>
    <xf numFmtId="0" fontId="12" fillId="0" borderId="116" xfId="0" applyFont="1" applyBorder="1"/>
    <xf numFmtId="0" fontId="12" fillId="0" borderId="117" xfId="0" applyFont="1" applyBorder="1" applyAlignment="1">
      <alignment horizontal="center"/>
    </xf>
    <xf numFmtId="0" fontId="12" fillId="0" borderId="114" xfId="0" applyFont="1" applyBorder="1"/>
    <xf numFmtId="9" fontId="12" fillId="0" borderId="63" xfId="2" applyFont="1" applyBorder="1"/>
    <xf numFmtId="0" fontId="12" fillId="0" borderId="117" xfId="0" applyFont="1" applyBorder="1"/>
    <xf numFmtId="0" fontId="7" fillId="0" borderId="0" xfId="0" applyFont="1" applyAlignment="1">
      <alignment wrapText="1"/>
    </xf>
    <xf numFmtId="0" fontId="7" fillId="0" borderId="0" xfId="0" applyFont="1" applyAlignment="1">
      <alignment horizontal="left"/>
    </xf>
    <xf numFmtId="0" fontId="7" fillId="0" borderId="0" xfId="0" applyFont="1" applyAlignment="1">
      <alignment horizontal="center"/>
    </xf>
    <xf numFmtId="167" fontId="6" fillId="0" borderId="2" xfId="0" applyNumberFormat="1" applyFont="1" applyBorder="1" applyAlignment="1">
      <alignment horizontal="center"/>
    </xf>
    <xf numFmtId="0" fontId="7" fillId="0" borderId="2" xfId="0" applyFont="1" applyBorder="1" applyAlignment="1">
      <alignment horizontal="left"/>
    </xf>
    <xf numFmtId="167" fontId="6" fillId="0" borderId="0" xfId="0" applyNumberFormat="1" applyFont="1" applyAlignment="1">
      <alignment horizontal="center" vertical="center"/>
    </xf>
    <xf numFmtId="9" fontId="6" fillId="4" borderId="0" xfId="0" applyNumberFormat="1" applyFont="1" applyFill="1"/>
    <xf numFmtId="0" fontId="6" fillId="4" borderId="0" xfId="0" applyFont="1" applyFill="1" applyAlignment="1">
      <alignment vertical="center"/>
    </xf>
    <xf numFmtId="0" fontId="7" fillId="6" borderId="44" xfId="0" applyFont="1" applyFill="1" applyBorder="1" applyAlignment="1">
      <alignment horizontal="center" vertical="center"/>
    </xf>
    <xf numFmtId="0" fontId="6" fillId="0" borderId="44" xfId="0" applyFont="1" applyBorder="1" applyAlignment="1">
      <alignment vertical="center" wrapText="1"/>
    </xf>
    <xf numFmtId="0" fontId="24" fillId="6" borderId="44" xfId="0" applyFont="1" applyFill="1" applyBorder="1" applyAlignment="1">
      <alignment horizontal="left" vertical="center" wrapText="1"/>
    </xf>
    <xf numFmtId="0" fontId="24" fillId="6" borderId="44" xfId="0" applyFont="1" applyFill="1" applyBorder="1" applyAlignment="1">
      <alignment horizontal="center" vertical="center" wrapText="1"/>
    </xf>
    <xf numFmtId="0" fontId="6" fillId="0" borderId="44" xfId="0" applyFont="1" applyBorder="1" applyAlignment="1">
      <alignment vertical="center"/>
    </xf>
    <xf numFmtId="0" fontId="6" fillId="0" borderId="44" xfId="0" applyFont="1" applyBorder="1" applyAlignment="1">
      <alignment horizontal="right" vertical="center"/>
    </xf>
    <xf numFmtId="169" fontId="6" fillId="0" borderId="44" xfId="0" applyNumberFormat="1" applyFont="1" applyBorder="1" applyAlignment="1">
      <alignment vertical="center"/>
    </xf>
    <xf numFmtId="168" fontId="6" fillId="0" borderId="44" xfId="6" applyNumberFormat="1" applyFont="1" applyBorder="1" applyAlignment="1">
      <alignment horizontal="right" vertical="center" wrapText="1"/>
    </xf>
    <xf numFmtId="168" fontId="6" fillId="0" borderId="44" xfId="6" applyNumberFormat="1" applyFont="1" applyBorder="1" applyAlignment="1">
      <alignment horizontal="right" vertical="center"/>
    </xf>
    <xf numFmtId="169" fontId="1" fillId="0" borderId="44" xfId="0" applyNumberFormat="1" applyFont="1" applyBorder="1" applyAlignment="1">
      <alignment vertical="center"/>
    </xf>
    <xf numFmtId="169" fontId="56" fillId="7" borderId="44" xfId="0" applyNumberFormat="1" applyFont="1" applyFill="1" applyBorder="1" applyAlignment="1">
      <alignment vertical="center"/>
    </xf>
    <xf numFmtId="3" fontId="6" fillId="0" borderId="44" xfId="0" applyNumberFormat="1" applyFont="1" applyBorder="1" applyAlignment="1">
      <alignment horizontal="center" vertical="center"/>
    </xf>
    <xf numFmtId="0" fontId="7" fillId="6" borderId="44" xfId="0" applyFont="1" applyFill="1" applyBorder="1" applyAlignment="1">
      <alignment horizontal="center" vertical="center" wrapText="1"/>
    </xf>
    <xf numFmtId="1" fontId="6" fillId="0" borderId="44" xfId="0" applyNumberFormat="1" applyFont="1" applyBorder="1" applyAlignment="1">
      <alignment horizontal="center" vertical="center" wrapText="1"/>
    </xf>
    <xf numFmtId="168" fontId="6" fillId="0" borderId="44" xfId="6" applyNumberFormat="1" applyFont="1" applyBorder="1" applyAlignment="1">
      <alignment horizontal="center" vertical="center"/>
    </xf>
    <xf numFmtId="168" fontId="6" fillId="0" borderId="44" xfId="6" applyNumberFormat="1" applyFont="1" applyBorder="1" applyAlignment="1">
      <alignment horizontal="center" vertical="center" wrapText="1"/>
    </xf>
    <xf numFmtId="2" fontId="6" fillId="0" borderId="44" xfId="6" applyNumberFormat="1" applyFont="1" applyFill="1" applyBorder="1" applyAlignment="1">
      <alignment horizontal="center" vertical="center"/>
    </xf>
    <xf numFmtId="2" fontId="6" fillId="0" borderId="44" xfId="6" applyNumberFormat="1" applyFont="1" applyBorder="1" applyAlignment="1">
      <alignment horizontal="center" vertical="center"/>
    </xf>
    <xf numFmtId="2" fontId="1" fillId="0" borderId="44" xfId="6" applyNumberFormat="1" applyFont="1" applyBorder="1" applyAlignment="1">
      <alignment horizontal="center" vertical="center"/>
    </xf>
    <xf numFmtId="0" fontId="24" fillId="9" borderId="44" xfId="0" applyFont="1" applyFill="1" applyBorder="1" applyAlignment="1">
      <alignment horizontal="center" vertical="center" wrapText="1"/>
    </xf>
    <xf numFmtId="0" fontId="10" fillId="0" borderId="44" xfId="3" applyFont="1" applyBorder="1" applyAlignment="1">
      <alignment horizontal="center" vertical="center" wrapText="1"/>
    </xf>
    <xf numFmtId="165" fontId="6" fillId="0" borderId="44" xfId="0" quotePrefix="1" applyNumberFormat="1" applyFont="1" applyBorder="1" applyAlignment="1">
      <alignment horizontal="center" vertical="center"/>
    </xf>
    <xf numFmtId="165" fontId="6" fillId="0" borderId="44" xfId="0" applyNumberFormat="1" applyFont="1" applyBorder="1" applyAlignment="1">
      <alignment horizontal="center" vertical="center"/>
    </xf>
    <xf numFmtId="0" fontId="17" fillId="0" borderId="0" xfId="0" applyFont="1"/>
    <xf numFmtId="167" fontId="7" fillId="0" borderId="0" xfId="0" applyNumberFormat="1" applyFont="1" applyAlignment="1">
      <alignment horizontal="center"/>
    </xf>
    <xf numFmtId="167" fontId="7" fillId="0" borderId="2" xfId="0" applyNumberFormat="1" applyFont="1" applyBorder="1" applyAlignment="1">
      <alignment horizontal="center"/>
    </xf>
    <xf numFmtId="165" fontId="6" fillId="0" borderId="84" xfId="0" applyNumberFormat="1" applyFont="1" applyBorder="1" applyAlignment="1">
      <alignment horizontal="center" vertical="center"/>
    </xf>
    <xf numFmtId="9" fontId="6" fillId="0" borderId="44" xfId="0" applyNumberFormat="1" applyFont="1" applyBorder="1" applyAlignment="1">
      <alignment horizontal="center"/>
    </xf>
    <xf numFmtId="0" fontId="6" fillId="0" borderId="44" xfId="4" applyBorder="1" applyAlignment="1">
      <alignment horizontal="center" vertical="center"/>
    </xf>
    <xf numFmtId="0" fontId="1" fillId="0" borderId="44" xfId="0" applyFont="1" applyBorder="1" applyAlignment="1">
      <alignment horizontal="center" vertical="center"/>
    </xf>
    <xf numFmtId="164" fontId="6" fillId="0" borderId="27" xfId="7" applyNumberFormat="1" applyFont="1" applyBorder="1" applyAlignment="1">
      <alignment horizontal="center" vertical="center"/>
    </xf>
    <xf numFmtId="164" fontId="10" fillId="0" borderId="2" xfId="3" applyNumberFormat="1" applyFont="1" applyBorder="1" applyAlignment="1">
      <alignment horizontal="center" vertical="center" wrapText="1"/>
    </xf>
    <xf numFmtId="0" fontId="7" fillId="6" borderId="12" xfId="0" applyFont="1" applyFill="1" applyBorder="1" applyAlignment="1">
      <alignment horizontal="center" vertical="center" wrapText="1"/>
    </xf>
    <xf numFmtId="0" fontId="7" fillId="6" borderId="16" xfId="0" applyFont="1" applyFill="1" applyBorder="1" applyAlignment="1">
      <alignment horizontal="center" vertical="center" wrapText="1"/>
    </xf>
    <xf numFmtId="0" fontId="6" fillId="0" borderId="44" xfId="0" applyFont="1" applyBorder="1"/>
    <xf numFmtId="0" fontId="6" fillId="4" borderId="122" xfId="0" applyFont="1" applyFill="1" applyBorder="1" applyAlignment="1">
      <alignment horizontal="left" vertical="center"/>
    </xf>
    <xf numFmtId="0" fontId="6" fillId="4" borderId="122" xfId="0" applyFont="1" applyFill="1" applyBorder="1" applyAlignment="1">
      <alignment vertical="center"/>
    </xf>
    <xf numFmtId="0" fontId="23" fillId="4" borderId="122" xfId="0" applyFont="1" applyFill="1" applyBorder="1" applyAlignment="1">
      <alignment horizontal="center" vertical="center" wrapText="1"/>
    </xf>
    <xf numFmtId="0" fontId="6" fillId="4" borderId="123" xfId="0" applyFont="1" applyFill="1" applyBorder="1"/>
    <xf numFmtId="0" fontId="6" fillId="4" borderId="124" xfId="0" applyFont="1" applyFill="1" applyBorder="1"/>
    <xf numFmtId="0" fontId="6" fillId="0" borderId="125" xfId="0" applyFont="1" applyBorder="1" applyAlignment="1">
      <alignment horizontal="center" vertical="center" wrapText="1"/>
    </xf>
    <xf numFmtId="0" fontId="12" fillId="0" borderId="114" xfId="0" applyFont="1" applyBorder="1" applyAlignment="1">
      <alignment horizontal="center"/>
    </xf>
    <xf numFmtId="0" fontId="12" fillId="0" borderId="44" xfId="0" applyFont="1" applyBorder="1"/>
    <xf numFmtId="0" fontId="1" fillId="0" borderId="2" xfId="0" applyFont="1" applyBorder="1" applyAlignment="1">
      <alignment horizontal="center" vertical="center" wrapText="1"/>
    </xf>
    <xf numFmtId="3" fontId="10" fillId="0" borderId="10" xfId="3" applyNumberFormat="1" applyFont="1" applyFill="1" applyBorder="1" applyAlignment="1">
      <alignment horizontal="center" vertical="center" wrapText="1"/>
    </xf>
    <xf numFmtId="0" fontId="6" fillId="0" borderId="0" xfId="0" applyFont="1" applyAlignment="1">
      <alignment horizontal="left"/>
    </xf>
    <xf numFmtId="0" fontId="23" fillId="0" borderId="0" xfId="0" applyFont="1"/>
    <xf numFmtId="0" fontId="8" fillId="0" borderId="0" xfId="5" applyAlignment="1">
      <alignment horizontal="left"/>
    </xf>
    <xf numFmtId="0" fontId="8" fillId="0" borderId="0" xfId="5" applyAlignment="1"/>
    <xf numFmtId="0" fontId="8" fillId="0" borderId="0" xfId="5" applyFill="1" applyBorder="1" applyAlignment="1">
      <alignment vertical="center"/>
    </xf>
    <xf numFmtId="0" fontId="23" fillId="0" borderId="0" xfId="0" applyFont="1" applyAlignment="1">
      <alignment vertical="center" wrapText="1"/>
    </xf>
    <xf numFmtId="0" fontId="22" fillId="0" borderId="0" xfId="0" applyFont="1" applyAlignment="1">
      <alignment horizontal="center" vertical="center" wrapText="1"/>
    </xf>
    <xf numFmtId="0" fontId="20" fillId="6" borderId="44" xfId="0" applyFont="1" applyFill="1" applyBorder="1" applyAlignment="1">
      <alignment horizontal="center" vertical="center" wrapText="1"/>
    </xf>
    <xf numFmtId="0" fontId="23" fillId="0" borderId="10" xfId="0" applyFont="1" applyBorder="1" applyAlignment="1">
      <alignment horizontal="center" vertical="center" wrapText="1"/>
    </xf>
    <xf numFmtId="1" fontId="22" fillId="0" borderId="0" xfId="0" applyNumberFormat="1" applyFont="1" applyAlignment="1">
      <alignment horizontal="center" vertical="center"/>
    </xf>
    <xf numFmtId="1" fontId="53" fillId="0" borderId="47" xfId="0" applyNumberFormat="1" applyFont="1" applyBorder="1" applyAlignment="1">
      <alignment horizontal="center" vertical="center"/>
    </xf>
    <xf numFmtId="1" fontId="53" fillId="0" borderId="48" xfId="0" applyNumberFormat="1" applyFont="1" applyBorder="1" applyAlignment="1">
      <alignment horizontal="center" vertical="center"/>
    </xf>
    <xf numFmtId="1" fontId="53" fillId="0" borderId="50" xfId="0" applyNumberFormat="1" applyFont="1" applyBorder="1" applyAlignment="1">
      <alignment horizontal="center" vertical="center"/>
    </xf>
    <xf numFmtId="1" fontId="53" fillId="0" borderId="51" xfId="0" applyNumberFormat="1" applyFont="1" applyBorder="1" applyAlignment="1">
      <alignment horizontal="center" vertical="center"/>
    </xf>
    <xf numFmtId="1" fontId="53" fillId="0" borderId="56" xfId="0" applyNumberFormat="1" applyFont="1" applyBorder="1" applyAlignment="1">
      <alignment horizontal="center" vertical="center"/>
    </xf>
    <xf numFmtId="1" fontId="53" fillId="0" borderId="57" xfId="0" applyNumberFormat="1" applyFont="1" applyBorder="1" applyAlignment="1">
      <alignment horizontal="center" vertical="center"/>
    </xf>
    <xf numFmtId="2" fontId="35" fillId="0" borderId="11" xfId="0" applyNumberFormat="1" applyFont="1" applyBorder="1" applyAlignment="1">
      <alignment horizontal="center" vertical="center"/>
    </xf>
    <xf numFmtId="2" fontId="35" fillId="0" borderId="2" xfId="0" applyNumberFormat="1" applyFont="1" applyBorder="1" applyAlignment="1">
      <alignment horizontal="center" vertical="center"/>
    </xf>
    <xf numFmtId="0" fontId="22" fillId="0" borderId="133" xfId="0" applyFont="1" applyBorder="1" applyAlignment="1">
      <alignment horizontal="center" vertical="center"/>
    </xf>
    <xf numFmtId="2" fontId="22" fillId="0" borderId="134" xfId="0" applyNumberFormat="1" applyFont="1" applyBorder="1" applyAlignment="1">
      <alignment horizontal="center" vertical="center"/>
    </xf>
    <xf numFmtId="0" fontId="22" fillId="0" borderId="46" xfId="0" applyFont="1" applyBorder="1" applyAlignment="1">
      <alignment horizontal="center" vertical="center"/>
    </xf>
    <xf numFmtId="0" fontId="22" fillId="0" borderId="123" xfId="0" applyFont="1" applyBorder="1" applyAlignment="1">
      <alignment horizontal="center" vertical="center"/>
    </xf>
    <xf numFmtId="0" fontId="22" fillId="0" borderId="137" xfId="0" applyFont="1" applyBorder="1" applyAlignment="1">
      <alignment horizontal="center" vertical="center"/>
    </xf>
    <xf numFmtId="0" fontId="22" fillId="0" borderId="139" xfId="0" applyFont="1" applyBorder="1" applyAlignment="1">
      <alignment horizontal="center" vertical="center"/>
    </xf>
    <xf numFmtId="2" fontId="22" fillId="0" borderId="138" xfId="0" applyNumberFormat="1" applyFont="1" applyBorder="1" applyAlignment="1">
      <alignment horizontal="center" vertical="center"/>
    </xf>
    <xf numFmtId="2" fontId="22" fillId="0" borderId="141" xfId="0" applyNumberFormat="1" applyFont="1" applyBorder="1" applyAlignment="1">
      <alignment horizontal="center" vertical="center"/>
    </xf>
    <xf numFmtId="2" fontId="22" fillId="0" borderId="44" xfId="0" applyNumberFormat="1" applyFont="1" applyBorder="1" applyAlignment="1">
      <alignment horizontal="center" vertical="center"/>
    </xf>
    <xf numFmtId="2" fontId="22" fillId="0" borderId="143" xfId="0" applyNumberFormat="1" applyFont="1" applyBorder="1" applyAlignment="1">
      <alignment horizontal="center" vertical="center"/>
    </xf>
    <xf numFmtId="0" fontId="22" fillId="0" borderId="5" xfId="0" applyFont="1" applyBorder="1" applyAlignment="1">
      <alignment horizontal="center" vertical="center"/>
    </xf>
    <xf numFmtId="1" fontId="22" fillId="0" borderId="2" xfId="0" applyNumberFormat="1" applyFont="1" applyBorder="1" applyAlignment="1">
      <alignment horizontal="center" vertical="center"/>
    </xf>
    <xf numFmtId="1" fontId="22" fillId="0" borderId="6" xfId="0" applyNumberFormat="1" applyFont="1" applyBorder="1" applyAlignment="1">
      <alignment horizontal="center" vertical="center"/>
    </xf>
    <xf numFmtId="0" fontId="22" fillId="0" borderId="7" xfId="0" applyFont="1" applyBorder="1" applyAlignment="1">
      <alignment horizontal="center" vertical="center"/>
    </xf>
    <xf numFmtId="1" fontId="22" fillId="0" borderId="26" xfId="0" applyNumberFormat="1" applyFont="1" applyBorder="1" applyAlignment="1">
      <alignment horizontal="center" vertical="center"/>
    </xf>
    <xf numFmtId="1" fontId="22" fillId="0" borderId="8" xfId="0" applyNumberFormat="1" applyFont="1" applyBorder="1" applyAlignment="1">
      <alignment horizontal="center" vertical="center"/>
    </xf>
    <xf numFmtId="0" fontId="22" fillId="0" borderId="65" xfId="0" applyFont="1" applyBorder="1" applyAlignment="1">
      <alignment horizontal="center" vertical="center"/>
    </xf>
    <xf numFmtId="1" fontId="22" fillId="0" borderId="18" xfId="0" applyNumberFormat="1" applyFont="1" applyBorder="1" applyAlignment="1">
      <alignment horizontal="center" vertical="center"/>
    </xf>
    <xf numFmtId="1" fontId="22" fillId="0" borderId="66" xfId="0" applyNumberFormat="1" applyFont="1" applyBorder="1" applyAlignment="1">
      <alignment horizontal="center" vertical="center"/>
    </xf>
    <xf numFmtId="1" fontId="22" fillId="0" borderId="132" xfId="0" applyNumberFormat="1" applyFont="1" applyBorder="1" applyAlignment="1">
      <alignment horizontal="center" vertical="center"/>
    </xf>
    <xf numFmtId="1" fontId="22" fillId="0" borderId="158" xfId="0" applyNumberFormat="1" applyFont="1" applyBorder="1" applyAlignment="1">
      <alignment horizontal="center" vertical="center"/>
    </xf>
    <xf numFmtId="1" fontId="22" fillId="0" borderId="44" xfId="0" applyNumberFormat="1" applyFont="1" applyBorder="1" applyAlignment="1">
      <alignment horizontal="center" vertical="center"/>
    </xf>
    <xf numFmtId="1" fontId="22" fillId="0" borderId="143" xfId="0" applyNumberFormat="1" applyFont="1" applyBorder="1" applyAlignment="1">
      <alignment horizontal="center" vertical="center"/>
    </xf>
    <xf numFmtId="1" fontId="22" fillId="0" borderId="136" xfId="0" applyNumberFormat="1" applyFont="1" applyBorder="1" applyAlignment="1">
      <alignment horizontal="center" vertical="center"/>
    </xf>
    <xf numFmtId="1" fontId="22" fillId="0" borderId="144" xfId="0" applyNumberFormat="1" applyFont="1" applyBorder="1" applyAlignment="1">
      <alignment horizontal="center" vertical="center"/>
    </xf>
    <xf numFmtId="2" fontId="6" fillId="0" borderId="0" xfId="0" applyNumberFormat="1" applyFont="1"/>
    <xf numFmtId="0" fontId="22" fillId="0" borderId="200" xfId="0" applyFont="1" applyBorder="1" applyAlignment="1">
      <alignment horizontal="center" vertical="center"/>
    </xf>
    <xf numFmtId="2" fontId="22" fillId="0" borderId="201" xfId="0" applyNumberFormat="1" applyFont="1" applyBorder="1" applyAlignment="1">
      <alignment horizontal="center" vertical="center"/>
    </xf>
    <xf numFmtId="2" fontId="22" fillId="0" borderId="202" xfId="0" applyNumberFormat="1" applyFont="1" applyBorder="1" applyAlignment="1">
      <alignment horizontal="center" vertical="center"/>
    </xf>
    <xf numFmtId="0" fontId="22" fillId="0" borderId="203" xfId="0" applyFont="1" applyBorder="1" applyAlignment="1">
      <alignment horizontal="center" vertical="center"/>
    </xf>
    <xf numFmtId="2" fontId="22" fillId="0" borderId="204" xfId="0" applyNumberFormat="1" applyFont="1" applyBorder="1" applyAlignment="1">
      <alignment horizontal="center" vertical="center"/>
    </xf>
    <xf numFmtId="0" fontId="22" fillId="0" borderId="205" xfId="0" applyFont="1" applyBorder="1" applyAlignment="1">
      <alignment horizontal="center" vertical="center"/>
    </xf>
    <xf numFmtId="2" fontId="22" fillId="0" borderId="206" xfId="0" applyNumberFormat="1" applyFont="1" applyBorder="1" applyAlignment="1">
      <alignment horizontal="center" vertical="center"/>
    </xf>
    <xf numFmtId="2" fontId="22" fillId="0" borderId="207" xfId="0" applyNumberFormat="1" applyFont="1" applyBorder="1" applyAlignment="1">
      <alignment horizontal="center" vertical="center"/>
    </xf>
    <xf numFmtId="2" fontId="22" fillId="0" borderId="97" xfId="0" applyNumberFormat="1" applyFont="1" applyBorder="1" applyAlignment="1">
      <alignment horizontal="center" vertical="center"/>
    </xf>
    <xf numFmtId="2" fontId="22" fillId="0" borderId="211" xfId="0" applyNumberFormat="1" applyFont="1" applyBorder="1" applyAlignment="1">
      <alignment horizontal="center" vertical="center"/>
    </xf>
    <xf numFmtId="166" fontId="6" fillId="0" borderId="0" xfId="7" applyNumberFormat="1" applyFont="1" applyAlignment="1">
      <alignment horizontal="left" vertical="center"/>
    </xf>
    <xf numFmtId="165" fontId="22" fillId="0" borderId="49" xfId="0" applyNumberFormat="1" applyFont="1" applyBorder="1" applyAlignment="1">
      <alignment horizontal="center" vertical="center"/>
    </xf>
    <xf numFmtId="2" fontId="53" fillId="0" borderId="47" xfId="0" applyNumberFormat="1" applyFont="1" applyBorder="1" applyAlignment="1">
      <alignment horizontal="center" vertical="center"/>
    </xf>
    <xf numFmtId="2" fontId="53" fillId="0" borderId="48" xfId="0" applyNumberFormat="1" applyFont="1" applyBorder="1" applyAlignment="1">
      <alignment horizontal="center" vertical="center"/>
    </xf>
    <xf numFmtId="0" fontId="12" fillId="0" borderId="212" xfId="0" applyFont="1" applyBorder="1" applyAlignment="1">
      <alignment horizontal="center" vertical="center"/>
    </xf>
    <xf numFmtId="2" fontId="53" fillId="0" borderId="53" xfId="0" applyNumberFormat="1" applyFont="1" applyBorder="1" applyAlignment="1">
      <alignment horizontal="center" vertical="center"/>
    </xf>
    <xf numFmtId="2" fontId="53" fillId="0" borderId="54" xfId="0" applyNumberFormat="1" applyFont="1" applyBorder="1" applyAlignment="1">
      <alignment horizontal="center" vertical="center"/>
    </xf>
    <xf numFmtId="0" fontId="8" fillId="0" borderId="0" xfId="5" applyAlignment="1">
      <alignment horizontal="left" vertical="center"/>
    </xf>
    <xf numFmtId="2" fontId="57" fillId="0" borderId="2" xfId="0" applyNumberFormat="1" applyFont="1" applyBorder="1" applyAlignment="1">
      <alignment horizontal="center" vertical="center"/>
    </xf>
    <xf numFmtId="0" fontId="22" fillId="0" borderId="229" xfId="0" applyFont="1" applyBorder="1" applyAlignment="1">
      <alignment horizontal="center" vertical="center"/>
    </xf>
    <xf numFmtId="2" fontId="55" fillId="0" borderId="1" xfId="0" applyNumberFormat="1" applyFont="1" applyBorder="1" applyAlignment="1">
      <alignment horizontal="center" vertical="center"/>
    </xf>
    <xf numFmtId="2" fontId="57" fillId="0" borderId="59" xfId="0" applyNumberFormat="1" applyFont="1" applyBorder="1" applyAlignment="1">
      <alignment horizontal="center" vertical="center"/>
    </xf>
    <xf numFmtId="2" fontId="53" fillId="0" borderId="2" xfId="0" applyNumberFormat="1" applyFont="1" applyBorder="1" applyAlignment="1">
      <alignment horizontal="center" vertical="center"/>
    </xf>
    <xf numFmtId="165" fontId="22" fillId="0" borderId="229" xfId="0" applyNumberFormat="1" applyFont="1" applyBorder="1" applyAlignment="1">
      <alignment horizontal="center" vertical="center"/>
    </xf>
    <xf numFmtId="2" fontId="53" fillId="0" borderId="1" xfId="0" applyNumberFormat="1" applyFont="1" applyBorder="1" applyAlignment="1">
      <alignment horizontal="center" vertical="center"/>
    </xf>
    <xf numFmtId="2" fontId="53" fillId="0" borderId="4" xfId="0" applyNumberFormat="1" applyFont="1" applyBorder="1" applyAlignment="1">
      <alignment horizontal="center" vertical="center"/>
    </xf>
    <xf numFmtId="2" fontId="53" fillId="0" borderId="6" xfId="0" applyNumberFormat="1" applyFont="1" applyBorder="1" applyAlignment="1">
      <alignment horizontal="center" vertical="center"/>
    </xf>
    <xf numFmtId="2" fontId="53" fillId="0" borderId="26" xfId="0" applyNumberFormat="1" applyFont="1" applyBorder="1" applyAlignment="1">
      <alignment horizontal="center" vertical="center"/>
    </xf>
    <xf numFmtId="2" fontId="53" fillId="0" borderId="8" xfId="0" applyNumberFormat="1" applyFont="1" applyBorder="1" applyAlignment="1">
      <alignment horizontal="center" vertical="center"/>
    </xf>
    <xf numFmtId="2" fontId="35" fillId="0" borderId="18" xfId="0" applyNumberFormat="1" applyFont="1" applyBorder="1" applyAlignment="1">
      <alignment horizontal="center" vertical="center"/>
    </xf>
    <xf numFmtId="2" fontId="35" fillId="0" borderId="66" xfId="0" applyNumberFormat="1" applyFont="1" applyBorder="1" applyAlignment="1">
      <alignment horizontal="center" vertical="center"/>
    </xf>
    <xf numFmtId="2" fontId="57" fillId="0" borderId="6" xfId="0" applyNumberFormat="1" applyFont="1" applyBorder="1" applyAlignment="1">
      <alignment horizontal="center" vertical="center"/>
    </xf>
    <xf numFmtId="2" fontId="57" fillId="0" borderId="60" xfId="0" applyNumberFormat="1" applyFont="1" applyBorder="1" applyAlignment="1">
      <alignment horizontal="center" vertical="center"/>
    </xf>
    <xf numFmtId="2" fontId="55" fillId="0" borderId="18" xfId="0" applyNumberFormat="1" applyFont="1" applyBorder="1" applyAlignment="1">
      <alignment horizontal="center" vertical="center"/>
    </xf>
    <xf numFmtId="2" fontId="57" fillId="0" borderId="50" xfId="0" applyNumberFormat="1" applyFont="1" applyBorder="1" applyAlignment="1">
      <alignment horizontal="center" vertical="center"/>
    </xf>
    <xf numFmtId="2" fontId="57" fillId="0" borderId="51" xfId="0" applyNumberFormat="1" applyFont="1" applyBorder="1" applyAlignment="1">
      <alignment horizontal="center" vertical="center"/>
    </xf>
    <xf numFmtId="2" fontId="57" fillId="0" borderId="70" xfId="0" applyNumberFormat="1" applyFont="1" applyBorder="1" applyAlignment="1">
      <alignment horizontal="center" vertical="center"/>
    </xf>
    <xf numFmtId="0" fontId="57" fillId="0" borderId="52" xfId="0" applyFont="1" applyBorder="1" applyAlignment="1">
      <alignment horizontal="center" vertical="center"/>
    </xf>
    <xf numFmtId="2" fontId="6" fillId="0" borderId="0" xfId="0" applyNumberFormat="1" applyFont="1" applyAlignment="1">
      <alignment horizontal="center"/>
    </xf>
    <xf numFmtId="170" fontId="56" fillId="7" borderId="44" xfId="0" applyNumberFormat="1" applyFont="1" applyFill="1" applyBorder="1" applyAlignment="1">
      <alignment vertical="center"/>
    </xf>
    <xf numFmtId="0" fontId="19" fillId="0" borderId="2" xfId="0" applyFont="1" applyBorder="1" applyAlignment="1">
      <alignment horizontal="center" vertical="center" wrapText="1"/>
    </xf>
    <xf numFmtId="165" fontId="23" fillId="0" borderId="2" xfId="0" applyNumberFormat="1" applyFont="1" applyBorder="1" applyAlignment="1">
      <alignment horizontal="center" vertical="center"/>
    </xf>
    <xf numFmtId="0" fontId="19" fillId="9" borderId="2" xfId="0" applyFont="1" applyFill="1" applyBorder="1" applyAlignment="1">
      <alignment horizontal="center" vertical="center" wrapText="1"/>
    </xf>
    <xf numFmtId="171" fontId="23" fillId="0" borderId="2" xfId="0" applyNumberFormat="1" applyFont="1" applyBorder="1" applyAlignment="1">
      <alignment horizontal="center" vertical="center"/>
    </xf>
    <xf numFmtId="171" fontId="6" fillId="0" borderId="2" xfId="0" applyNumberFormat="1" applyFont="1" applyBorder="1"/>
    <xf numFmtId="165" fontId="14" fillId="0" borderId="0" xfId="0" applyNumberFormat="1" applyFont="1"/>
    <xf numFmtId="0" fontId="19" fillId="0" borderId="0" xfId="0" applyFont="1" applyAlignment="1">
      <alignment horizontal="center" vertical="center" wrapText="1"/>
    </xf>
    <xf numFmtId="0" fontId="24" fillId="6" borderId="2" xfId="0" applyFont="1" applyFill="1" applyBorder="1" applyAlignment="1">
      <alignment horizontal="center" vertical="center"/>
    </xf>
    <xf numFmtId="0" fontId="6" fillId="0" borderId="2" xfId="4" applyBorder="1" applyAlignment="1">
      <alignment horizontal="center" vertical="center"/>
    </xf>
    <xf numFmtId="168" fontId="6" fillId="0" borderId="2" xfId="6" applyNumberFormat="1" applyFont="1" applyBorder="1" applyAlignment="1">
      <alignment horizontal="center" vertical="center"/>
    </xf>
    <xf numFmtId="171" fontId="6" fillId="0" borderId="2" xfId="6" applyNumberFormat="1" applyFont="1" applyBorder="1" applyAlignment="1">
      <alignment horizontal="center" vertical="center"/>
    </xf>
    <xf numFmtId="0" fontId="24" fillId="0" borderId="0" xfId="0" applyFont="1" applyAlignment="1">
      <alignment horizontal="center" vertical="center"/>
    </xf>
    <xf numFmtId="10" fontId="6" fillId="0" borderId="0" xfId="2" applyNumberFormat="1" applyFont="1" applyFill="1" applyBorder="1"/>
    <xf numFmtId="0" fontId="13" fillId="0" borderId="0" xfId="0" applyFont="1" applyAlignment="1">
      <alignment vertical="center" wrapText="1"/>
    </xf>
    <xf numFmtId="0" fontId="24" fillId="0" borderId="0" xfId="0" applyFont="1" applyAlignment="1">
      <alignment vertical="center"/>
    </xf>
    <xf numFmtId="0" fontId="22" fillId="0" borderId="147" xfId="0" applyFont="1" applyBorder="1" applyAlignment="1">
      <alignment horizontal="center" vertical="center"/>
    </xf>
    <xf numFmtId="1" fontId="22" fillId="0" borderId="126" xfId="0" applyNumberFormat="1" applyFont="1" applyBorder="1" applyAlignment="1">
      <alignment horizontal="center" vertical="center"/>
    </xf>
    <xf numFmtId="1" fontId="22" fillId="0" borderId="140" xfId="0" applyNumberFormat="1" applyFont="1" applyBorder="1" applyAlignment="1">
      <alignment horizontal="center" vertical="center"/>
    </xf>
    <xf numFmtId="1" fontId="22" fillId="0" borderId="142" xfId="0" applyNumberFormat="1" applyFont="1" applyBorder="1" applyAlignment="1">
      <alignment horizontal="center" vertical="center"/>
    </xf>
    <xf numFmtId="0" fontId="22" fillId="0" borderId="151" xfId="0" applyFont="1" applyBorder="1" applyAlignment="1">
      <alignment horizontal="center" vertical="center"/>
    </xf>
    <xf numFmtId="1" fontId="22" fillId="0" borderId="150" xfId="0" applyNumberFormat="1" applyFont="1" applyBorder="1" applyAlignment="1">
      <alignment horizontal="center" vertical="center"/>
    </xf>
    <xf numFmtId="1" fontId="22" fillId="0" borderId="152" xfId="0" applyNumberFormat="1" applyFont="1" applyBorder="1" applyAlignment="1">
      <alignment horizontal="center" vertical="center"/>
    </xf>
    <xf numFmtId="1" fontId="22" fillId="0" borderId="138" xfId="0" applyNumberFormat="1" applyFont="1" applyBorder="1" applyAlignment="1">
      <alignment horizontal="center" vertical="center"/>
    </xf>
    <xf numFmtId="1" fontId="22" fillId="0" borderId="141" xfId="0" applyNumberFormat="1" applyFont="1" applyBorder="1" applyAlignment="1">
      <alignment horizontal="center" vertical="center"/>
    </xf>
    <xf numFmtId="1" fontId="6" fillId="0" borderId="2" xfId="7" applyNumberFormat="1" applyFont="1" applyBorder="1" applyAlignment="1">
      <alignment horizontal="center" vertical="center"/>
    </xf>
    <xf numFmtId="172" fontId="12" fillId="0" borderId="0" xfId="0" applyNumberFormat="1" applyFont="1"/>
    <xf numFmtId="0" fontId="59" fillId="0" borderId="0" xfId="5" applyFont="1" applyAlignment="1">
      <alignment horizontal="left" vertical="center"/>
    </xf>
    <xf numFmtId="0" fontId="6" fillId="0" borderId="0" xfId="0" applyFont="1" applyAlignment="1">
      <alignment horizontal="left" vertical="center"/>
    </xf>
    <xf numFmtId="0" fontId="19" fillId="6" borderId="44" xfId="0" applyFont="1" applyFill="1" applyBorder="1" applyAlignment="1">
      <alignment horizontal="center" vertical="center" wrapText="1"/>
    </xf>
    <xf numFmtId="0" fontId="62" fillId="0" borderId="2" xfId="0" applyFont="1" applyBorder="1" applyAlignment="1">
      <alignment horizontal="left" vertical="center" wrapText="1"/>
    </xf>
    <xf numFmtId="0" fontId="7" fillId="9" borderId="2" xfId="0" applyFont="1" applyFill="1" applyBorder="1" applyAlignment="1">
      <alignment horizontal="center" vertical="center" wrapText="1"/>
    </xf>
    <xf numFmtId="0" fontId="19" fillId="0" borderId="0" xfId="0" applyFont="1" applyAlignment="1">
      <alignment wrapText="1"/>
    </xf>
    <xf numFmtId="2" fontId="6" fillId="0" borderId="2" xfId="0" applyNumberFormat="1" applyFont="1" applyBorder="1" applyAlignment="1">
      <alignment horizontal="center" vertical="center" wrapText="1"/>
    </xf>
    <xf numFmtId="43" fontId="6" fillId="0" borderId="2" xfId="6" applyFont="1" applyBorder="1" applyAlignment="1">
      <alignment horizontal="center" vertical="center"/>
    </xf>
    <xf numFmtId="0" fontId="6" fillId="0" borderId="0" xfId="56" applyFont="1"/>
    <xf numFmtId="0" fontId="23" fillId="0" borderId="0" xfId="56" applyFont="1" applyAlignment="1">
      <alignment vertical="center" wrapText="1"/>
    </xf>
    <xf numFmtId="165" fontId="23" fillId="0" borderId="0" xfId="56" applyNumberFormat="1" applyFont="1" applyAlignment="1">
      <alignment horizontal="left" vertical="center" wrapText="1"/>
    </xf>
    <xf numFmtId="0" fontId="23" fillId="0" borderId="0" xfId="56" applyFont="1" applyAlignment="1">
      <alignment vertical="center"/>
    </xf>
    <xf numFmtId="0" fontId="61" fillId="0" borderId="0" xfId="56" applyFont="1" applyAlignment="1">
      <alignment vertical="center" wrapText="1"/>
    </xf>
    <xf numFmtId="167" fontId="23" fillId="0" borderId="0" xfId="56" applyNumberFormat="1" applyFont="1" applyAlignment="1">
      <alignment horizontal="left" vertical="center" wrapText="1"/>
    </xf>
    <xf numFmtId="0" fontId="61" fillId="0" borderId="0" xfId="56" applyFont="1" applyAlignment="1">
      <alignment vertical="center"/>
    </xf>
    <xf numFmtId="0" fontId="23" fillId="0" borderId="0" xfId="56" applyFont="1" applyAlignment="1">
      <alignment horizontal="left" vertical="center" wrapText="1"/>
    </xf>
    <xf numFmtId="173" fontId="23" fillId="0" borderId="0" xfId="56" applyNumberFormat="1" applyFont="1" applyAlignment="1">
      <alignment horizontal="left" vertical="center" wrapText="1"/>
    </xf>
    <xf numFmtId="0" fontId="6" fillId="0" borderId="0" xfId="56" applyFont="1" applyAlignment="1">
      <alignment horizontal="left"/>
    </xf>
    <xf numFmtId="0" fontId="63" fillId="0" borderId="0" xfId="56"/>
    <xf numFmtId="0" fontId="8" fillId="0" borderId="0" xfId="5" applyAlignment="1">
      <alignment horizontal="left" vertical="top"/>
    </xf>
    <xf numFmtId="0" fontId="6" fillId="0" borderId="0" xfId="56" applyFont="1" applyAlignment="1">
      <alignment wrapText="1"/>
    </xf>
    <xf numFmtId="0" fontId="63" fillId="0" borderId="0" xfId="56" applyAlignment="1">
      <alignment horizontal="left" vertical="center"/>
    </xf>
    <xf numFmtId="0" fontId="6" fillId="0" borderId="0" xfId="56" applyFont="1" applyAlignment="1">
      <alignment horizontal="left" vertical="center"/>
    </xf>
    <xf numFmtId="0" fontId="65" fillId="0" borderId="0" xfId="5" applyFont="1" applyAlignment="1">
      <alignment horizontal="left"/>
    </xf>
    <xf numFmtId="0" fontId="6" fillId="0" borderId="245" xfId="0" applyFont="1" applyBorder="1" applyAlignment="1">
      <alignment wrapText="1"/>
    </xf>
    <xf numFmtId="0" fontId="6" fillId="0" borderId="245" xfId="0" applyFont="1" applyBorder="1"/>
    <xf numFmtId="0" fontId="47" fillId="0" borderId="0" xfId="0" applyFont="1"/>
    <xf numFmtId="0" fontId="60" fillId="5" borderId="243" xfId="56" applyFont="1" applyFill="1" applyBorder="1" applyAlignment="1">
      <alignment vertical="center" wrapText="1"/>
    </xf>
    <xf numFmtId="0" fontId="67" fillId="7" borderId="13" xfId="56" applyFont="1" applyFill="1" applyBorder="1" applyAlignment="1">
      <alignment horizontal="left" vertical="center"/>
    </xf>
    <xf numFmtId="0" fontId="67" fillId="7" borderId="0" xfId="56" applyFont="1" applyFill="1" applyAlignment="1">
      <alignment horizontal="left" vertical="center"/>
    </xf>
    <xf numFmtId="0" fontId="21" fillId="7" borderId="0" xfId="56" applyFont="1" applyFill="1" applyAlignment="1">
      <alignment horizontal="left" vertical="center"/>
    </xf>
    <xf numFmtId="0" fontId="21" fillId="7" borderId="17" xfId="56" applyFont="1" applyFill="1" applyBorder="1" applyAlignment="1">
      <alignment horizontal="left" vertical="center"/>
    </xf>
    <xf numFmtId="3" fontId="21" fillId="51" borderId="0" xfId="6" applyNumberFormat="1" applyFont="1" applyFill="1" applyBorder="1" applyAlignment="1">
      <alignment horizontal="left" vertical="center"/>
    </xf>
    <xf numFmtId="3" fontId="21" fillId="0" borderId="238" xfId="56" applyNumberFormat="1" applyFont="1" applyBorder="1" applyAlignment="1">
      <alignment horizontal="center" vertical="center" wrapText="1"/>
    </xf>
    <xf numFmtId="0" fontId="21" fillId="7" borderId="21" xfId="56" applyFont="1" applyFill="1" applyBorder="1" applyAlignment="1">
      <alignment horizontal="left" vertical="center"/>
    </xf>
    <xf numFmtId="0" fontId="68" fillId="0" borderId="2" xfId="0" applyFont="1" applyBorder="1" applyAlignment="1">
      <alignment vertical="center" wrapText="1"/>
    </xf>
    <xf numFmtId="4" fontId="21" fillId="0" borderId="238" xfId="56" applyNumberFormat="1" applyFont="1" applyBorder="1" applyAlignment="1">
      <alignment horizontal="center" vertical="center" wrapText="1"/>
    </xf>
    <xf numFmtId="2" fontId="21" fillId="49" borderId="83" xfId="56" applyNumberFormat="1" applyFont="1" applyFill="1" applyBorder="1" applyAlignment="1">
      <alignment horizontal="center" vertical="center" wrapText="1"/>
    </xf>
    <xf numFmtId="0" fontId="7" fillId="6" borderId="247" xfId="0" applyFont="1" applyFill="1" applyBorder="1" applyAlignment="1">
      <alignment horizontal="center" vertical="center"/>
    </xf>
    <xf numFmtId="0" fontId="7" fillId="9" borderId="248" xfId="0" applyFont="1" applyFill="1" applyBorder="1" applyAlignment="1">
      <alignment horizontal="center" vertical="center"/>
    </xf>
    <xf numFmtId="0" fontId="6" fillId="0" borderId="257" xfId="0" applyFont="1" applyBorder="1" applyAlignment="1">
      <alignment horizontal="center" vertical="center" wrapText="1"/>
    </xf>
    <xf numFmtId="0" fontId="0" fillId="0" borderId="258" xfId="0" applyBorder="1" applyAlignment="1">
      <alignment horizontal="center" vertical="center" wrapText="1"/>
    </xf>
    <xf numFmtId="0" fontId="6" fillId="0" borderId="260" xfId="0" applyFont="1" applyBorder="1" applyAlignment="1">
      <alignment horizontal="center" vertical="center" wrapText="1"/>
    </xf>
    <xf numFmtId="0" fontId="0" fillId="0" borderId="261" xfId="0" applyBorder="1" applyAlignment="1">
      <alignment horizontal="center" vertical="center" wrapText="1"/>
    </xf>
    <xf numFmtId="0" fontId="7" fillId="6" borderId="97" xfId="0" applyFont="1" applyFill="1" applyBorder="1" applyAlignment="1">
      <alignment horizontal="center" vertical="center"/>
    </xf>
    <xf numFmtId="0" fontId="7" fillId="9" borderId="97" xfId="0" applyFont="1" applyFill="1" applyBorder="1" applyAlignment="1">
      <alignment horizontal="center" vertical="center" wrapText="1"/>
    </xf>
    <xf numFmtId="0" fontId="34" fillId="44" borderId="245" xfId="0" applyFont="1" applyFill="1" applyBorder="1" applyAlignment="1">
      <alignment horizontal="left" vertical="center"/>
    </xf>
    <xf numFmtId="0" fontId="6" fillId="0" borderId="24" xfId="0" applyFont="1" applyBorder="1" applyAlignment="1">
      <alignment horizontal="center" vertical="center"/>
    </xf>
    <xf numFmtId="0" fontId="6" fillId="0" borderId="22" xfId="0" applyFont="1" applyBorder="1" applyAlignment="1">
      <alignment horizontal="center" vertical="center" wrapText="1"/>
    </xf>
    <xf numFmtId="0" fontId="6" fillId="0" borderId="22" xfId="0" applyFont="1" applyBorder="1" applyAlignment="1">
      <alignment horizontal="center" vertical="center"/>
    </xf>
    <xf numFmtId="0" fontId="19" fillId="6" borderId="10" xfId="0" applyFont="1" applyFill="1" applyBorder="1" applyAlignment="1">
      <alignment horizontal="center" vertical="center"/>
    </xf>
    <xf numFmtId="0" fontId="23" fillId="0" borderId="30" xfId="0" applyFont="1" applyBorder="1" applyAlignment="1">
      <alignment horizontal="center" vertical="center" wrapText="1"/>
    </xf>
    <xf numFmtId="0" fontId="10" fillId="0" borderId="9" xfId="3" applyFont="1" applyFill="1" applyBorder="1" applyAlignment="1">
      <alignment horizontal="center" vertical="center" wrapText="1"/>
    </xf>
    <xf numFmtId="0" fontId="10" fillId="0" borderId="2" xfId="3" applyFont="1" applyFill="1" applyBorder="1" applyAlignment="1">
      <alignment horizontal="center" vertical="center" wrapText="1"/>
    </xf>
    <xf numFmtId="0" fontId="10" fillId="0" borderId="3" xfId="3" applyFont="1" applyFill="1" applyBorder="1" applyAlignment="1">
      <alignment horizontal="center" vertical="center" wrapText="1"/>
    </xf>
    <xf numFmtId="0" fontId="60" fillId="6" borderId="212" xfId="0" applyFont="1" applyFill="1" applyBorder="1" applyAlignment="1">
      <alignment horizontal="center" vertical="center"/>
    </xf>
    <xf numFmtId="0" fontId="21" fillId="0" borderId="212" xfId="0" applyFont="1" applyBorder="1" applyAlignment="1">
      <alignment horizontal="center" vertical="center"/>
    </xf>
    <xf numFmtId="0" fontId="12" fillId="0" borderId="212" xfId="0" applyFont="1" applyBorder="1" applyAlignment="1">
      <alignment horizontal="center" vertical="center" wrapText="1"/>
    </xf>
    <xf numFmtId="0" fontId="12" fillId="0" borderId="212" xfId="0" applyFont="1" applyBorder="1" applyAlignment="1">
      <alignment horizontal="left" vertical="center" wrapText="1"/>
    </xf>
    <xf numFmtId="0" fontId="21" fillId="51" borderId="0" xfId="56" applyFont="1" applyFill="1" applyAlignment="1">
      <alignment horizontal="left" vertical="center"/>
    </xf>
    <xf numFmtId="0" fontId="21" fillId="51" borderId="243" xfId="56" applyFont="1" applyFill="1" applyBorder="1" applyAlignment="1">
      <alignment horizontal="left" vertical="center"/>
    </xf>
    <xf numFmtId="3" fontId="21" fillId="51" borderId="244" xfId="6" applyNumberFormat="1" applyFont="1" applyFill="1" applyBorder="1" applyAlignment="1">
      <alignment horizontal="left" vertical="center"/>
    </xf>
    <xf numFmtId="0" fontId="21" fillId="51" borderId="244" xfId="56" applyFont="1" applyFill="1" applyBorder="1" applyAlignment="1">
      <alignment horizontal="left" vertical="center"/>
    </xf>
    <xf numFmtId="0" fontId="21" fillId="51" borderId="264" xfId="56" applyFont="1" applyFill="1" applyBorder="1" applyAlignment="1">
      <alignment horizontal="left" vertical="center"/>
    </xf>
    <xf numFmtId="0" fontId="21" fillId="51" borderId="245" xfId="56" applyFont="1" applyFill="1" applyBorder="1" applyAlignment="1">
      <alignment horizontal="left" vertical="center"/>
    </xf>
    <xf numFmtId="0" fontId="21" fillId="51" borderId="265" xfId="56" applyFont="1" applyFill="1" applyBorder="1" applyAlignment="1">
      <alignment horizontal="left" vertical="center"/>
    </xf>
    <xf numFmtId="0" fontId="21" fillId="51" borderId="266" xfId="56" applyFont="1" applyFill="1" applyBorder="1" applyAlignment="1">
      <alignment horizontal="left" vertical="center"/>
    </xf>
    <xf numFmtId="0" fontId="21" fillId="51" borderId="267" xfId="56" applyFont="1" applyFill="1" applyBorder="1" applyAlignment="1">
      <alignment horizontal="left" vertical="center"/>
    </xf>
    <xf numFmtId="0" fontId="21" fillId="51" borderId="268" xfId="56" applyFont="1" applyFill="1" applyBorder="1" applyAlignment="1">
      <alignment horizontal="left" vertical="center"/>
    </xf>
    <xf numFmtId="0" fontId="67" fillId="52" borderId="0" xfId="56" applyFont="1" applyFill="1" applyAlignment="1">
      <alignment horizontal="left" vertical="center"/>
    </xf>
    <xf numFmtId="37" fontId="21" fillId="52" borderId="12" xfId="6" applyNumberFormat="1" applyFont="1" applyFill="1" applyBorder="1" applyAlignment="1">
      <alignment horizontal="left" vertical="center"/>
    </xf>
    <xf numFmtId="37" fontId="21" fillId="52" borderId="16" xfId="6" applyNumberFormat="1" applyFont="1" applyFill="1" applyBorder="1" applyAlignment="1">
      <alignment horizontal="left" vertical="center"/>
    </xf>
    <xf numFmtId="37" fontId="21" fillId="52" borderId="19" xfId="6" applyNumberFormat="1" applyFont="1" applyFill="1" applyBorder="1" applyAlignment="1">
      <alignment horizontal="left" vertical="center"/>
    </xf>
    <xf numFmtId="0" fontId="69" fillId="5" borderId="244" xfId="56" applyFont="1" applyFill="1" applyBorder="1" applyAlignment="1">
      <alignment vertical="center" wrapText="1"/>
    </xf>
    <xf numFmtId="0" fontId="69" fillId="50" borderId="12" xfId="56" applyFont="1" applyFill="1" applyBorder="1" applyAlignment="1">
      <alignment vertical="center" wrapText="1"/>
    </xf>
    <xf numFmtId="0" fontId="69" fillId="50" borderId="13" xfId="56" applyFont="1" applyFill="1" applyBorder="1" applyAlignment="1">
      <alignment vertical="center" wrapText="1"/>
    </xf>
    <xf numFmtId="0" fontId="60" fillId="50" borderId="13" xfId="56" applyFont="1" applyFill="1" applyBorder="1" applyAlignment="1">
      <alignment vertical="center" wrapText="1"/>
    </xf>
    <xf numFmtId="0" fontId="69" fillId="50" borderId="13" xfId="56" applyFont="1" applyFill="1" applyBorder="1" applyAlignment="1">
      <alignment horizontal="left" vertical="center" wrapText="1"/>
    </xf>
    <xf numFmtId="0" fontId="69" fillId="50" borderId="14" xfId="56" applyFont="1" applyFill="1" applyBorder="1" applyAlignment="1">
      <alignment vertical="center" wrapText="1"/>
    </xf>
    <xf numFmtId="0" fontId="60" fillId="47" borderId="238" xfId="56" applyFont="1" applyFill="1" applyBorder="1" applyAlignment="1">
      <alignment horizontal="center" vertical="center" wrapText="1"/>
    </xf>
    <xf numFmtId="0" fontId="60" fillId="47" borderId="11" xfId="56" applyFont="1" applyFill="1" applyBorder="1" applyAlignment="1">
      <alignment vertical="center" wrapText="1"/>
    </xf>
    <xf numFmtId="0" fontId="21" fillId="0" borderId="238" xfId="56" applyFont="1" applyBorder="1" applyAlignment="1">
      <alignment horizontal="center" vertical="center" wrapText="1"/>
    </xf>
    <xf numFmtId="165" fontId="21" fillId="48" borderId="238" xfId="56" applyNumberFormat="1" applyFont="1" applyFill="1" applyBorder="1" applyAlignment="1">
      <alignment horizontal="center" vertical="center" wrapText="1"/>
    </xf>
    <xf numFmtId="3" fontId="21" fillId="0" borderId="239" xfId="56" applyNumberFormat="1" applyFont="1" applyBorder="1" applyAlignment="1">
      <alignment horizontal="center" vertical="center" wrapText="1"/>
    </xf>
    <xf numFmtId="0" fontId="60" fillId="9" borderId="2" xfId="0" applyFont="1" applyFill="1" applyBorder="1" applyAlignment="1">
      <alignment horizontal="center" vertical="center" wrapText="1"/>
    </xf>
    <xf numFmtId="1" fontId="21" fillId="0" borderId="2" xfId="0" applyNumberFormat="1" applyFont="1" applyBorder="1" applyAlignment="1">
      <alignment horizontal="center" vertical="center" wrapText="1"/>
    </xf>
    <xf numFmtId="43" fontId="6" fillId="0" borderId="45" xfId="0" applyNumberFormat="1" applyFont="1" applyBorder="1" applyAlignment="1">
      <alignment horizontal="center" vertical="center"/>
    </xf>
    <xf numFmtId="2" fontId="1" fillId="0" borderId="2" xfId="0" applyNumberFormat="1" applyFont="1" applyBorder="1" applyAlignment="1">
      <alignment horizontal="center" vertical="center" wrapText="1"/>
    </xf>
    <xf numFmtId="0" fontId="21" fillId="0" borderId="2" xfId="0" applyFont="1" applyBorder="1" applyAlignment="1">
      <alignment vertical="center"/>
    </xf>
    <xf numFmtId="0" fontId="21" fillId="0" borderId="2" xfId="0" applyFont="1" applyBorder="1" applyAlignment="1">
      <alignment horizontal="center" vertical="center"/>
    </xf>
    <xf numFmtId="0" fontId="6" fillId="0" borderId="84" xfId="0" applyFont="1" applyBorder="1" applyAlignment="1">
      <alignment horizontal="center" vertical="center"/>
    </xf>
    <xf numFmtId="0" fontId="6" fillId="7" borderId="44" xfId="0" applyFont="1" applyFill="1" applyBorder="1" applyAlignment="1">
      <alignment horizontal="center" vertical="center"/>
    </xf>
    <xf numFmtId="0" fontId="6" fillId="5" borderId="44" xfId="0" applyFont="1" applyFill="1" applyBorder="1" applyAlignment="1">
      <alignment horizontal="center" vertical="center"/>
    </xf>
    <xf numFmtId="0" fontId="1" fillId="5" borderId="44" xfId="0" applyFont="1" applyFill="1" applyBorder="1" applyAlignment="1">
      <alignment horizontal="center" vertical="center"/>
    </xf>
    <xf numFmtId="0" fontId="6" fillId="3" borderId="44" xfId="0" applyFont="1" applyFill="1" applyBorder="1" applyAlignment="1">
      <alignment horizontal="center" vertical="center"/>
    </xf>
    <xf numFmtId="0" fontId="1" fillId="3" borderId="44" xfId="0" applyFont="1" applyFill="1" applyBorder="1" applyAlignment="1">
      <alignment horizontal="center" vertical="center"/>
    </xf>
    <xf numFmtId="0" fontId="21" fillId="11" borderId="44" xfId="0" applyFont="1" applyFill="1" applyBorder="1" applyAlignment="1">
      <alignment horizontal="center" vertical="center"/>
    </xf>
    <xf numFmtId="0" fontId="21" fillId="54" borderId="44" xfId="0" applyFont="1" applyFill="1" applyBorder="1" applyAlignment="1">
      <alignment horizontal="center" vertical="center"/>
    </xf>
    <xf numFmtId="0" fontId="6" fillId="53" borderId="44" xfId="0" applyFont="1" applyFill="1" applyBorder="1" applyAlignment="1">
      <alignment horizontal="center" vertical="center"/>
    </xf>
    <xf numFmtId="0" fontId="1" fillId="53" borderId="44" xfId="0" applyFont="1" applyFill="1" applyBorder="1" applyAlignment="1">
      <alignment horizontal="center" vertical="center"/>
    </xf>
    <xf numFmtId="0" fontId="1" fillId="7" borderId="44" xfId="0" applyFont="1" applyFill="1" applyBorder="1" applyAlignment="1">
      <alignment horizontal="center" vertical="center"/>
    </xf>
    <xf numFmtId="2" fontId="6" fillId="7" borderId="44" xfId="0" applyNumberFormat="1" applyFont="1" applyFill="1" applyBorder="1" applyAlignment="1">
      <alignment horizontal="center" vertical="center"/>
    </xf>
    <xf numFmtId="2" fontId="6" fillId="0" borderId="44" xfId="0" applyNumberFormat="1" applyFont="1" applyBorder="1" applyAlignment="1">
      <alignment horizontal="center" vertical="center"/>
    </xf>
    <xf numFmtId="0" fontId="6" fillId="11" borderId="44" xfId="0" applyFont="1" applyFill="1" applyBorder="1" applyAlignment="1">
      <alignment horizontal="center" vertical="center" wrapText="1"/>
    </xf>
    <xf numFmtId="0" fontId="6" fillId="53" borderId="44" xfId="0" applyFont="1" applyFill="1" applyBorder="1" applyAlignment="1">
      <alignment horizontal="center" vertical="center" wrapText="1"/>
    </xf>
    <xf numFmtId="0" fontId="7" fillId="6" borderId="25" xfId="0" applyFont="1" applyFill="1" applyBorder="1" applyAlignment="1">
      <alignment horizontal="center" vertical="center" wrapText="1"/>
    </xf>
    <xf numFmtId="167" fontId="21" fillId="54" borderId="44" xfId="0" applyNumberFormat="1" applyFont="1" applyFill="1" applyBorder="1" applyAlignment="1">
      <alignment horizontal="center" vertical="center"/>
    </xf>
    <xf numFmtId="2" fontId="21" fillId="54" borderId="44" xfId="0" applyNumberFormat="1" applyFont="1" applyFill="1" applyBorder="1" applyAlignment="1">
      <alignment horizontal="center" vertical="center"/>
    </xf>
    <xf numFmtId="0" fontId="60" fillId="6" borderId="22" xfId="0" applyFont="1" applyFill="1" applyBorder="1" applyAlignment="1">
      <alignment horizontal="center" vertical="center" wrapText="1"/>
    </xf>
    <xf numFmtId="0" fontId="6" fillId="0" borderId="212" xfId="0" applyFont="1" applyBorder="1" applyAlignment="1">
      <alignment horizontal="center" vertical="center" wrapText="1"/>
    </xf>
    <xf numFmtId="0" fontId="21" fillId="0" borderId="22" xfId="0" applyFont="1" applyBorder="1" applyAlignment="1">
      <alignment horizontal="center" vertical="center" wrapText="1"/>
    </xf>
    <xf numFmtId="0" fontId="21" fillId="0" borderId="2" xfId="0" applyFont="1" applyBorder="1" applyAlignment="1">
      <alignment horizontal="center" vertical="center" wrapText="1"/>
    </xf>
    <xf numFmtId="0" fontId="6" fillId="0" borderId="212" xfId="0" applyFont="1" applyBorder="1"/>
    <xf numFmtId="0" fontId="21" fillId="0" borderId="212" xfId="0" applyFont="1" applyBorder="1" applyAlignment="1">
      <alignment horizontal="center" vertical="center" wrapText="1"/>
    </xf>
    <xf numFmtId="0" fontId="36" fillId="0" borderId="0" xfId="0" applyFont="1"/>
    <xf numFmtId="0" fontId="21" fillId="45" borderId="2" xfId="0" applyFont="1" applyFill="1" applyBorder="1" applyAlignment="1">
      <alignment wrapText="1"/>
    </xf>
    <xf numFmtId="0" fontId="21" fillId="7" borderId="44" xfId="0" applyFont="1" applyFill="1" applyBorder="1" applyAlignment="1">
      <alignment horizontal="center" vertical="center" wrapText="1"/>
    </xf>
    <xf numFmtId="0" fontId="21" fillId="0" borderId="271" xfId="0" applyFont="1" applyBorder="1" applyAlignment="1">
      <alignment horizontal="center" vertical="center" wrapText="1"/>
    </xf>
    <xf numFmtId="0" fontId="6" fillId="0" borderId="44" xfId="0" applyFont="1" applyBorder="1" applyAlignment="1">
      <alignment horizontal="center" vertical="center"/>
    </xf>
    <xf numFmtId="0" fontId="6" fillId="0" borderId="44" xfId="0" applyFont="1" applyBorder="1" applyAlignment="1">
      <alignment horizontal="center" vertical="center" wrapText="1"/>
    </xf>
    <xf numFmtId="0" fontId="6" fillId="0" borderId="0" xfId="0" applyFont="1" applyAlignment="1">
      <alignment horizontal="center"/>
    </xf>
    <xf numFmtId="0" fontId="6" fillId="0" borderId="0" xfId="0" applyFont="1" applyAlignment="1">
      <alignment vertical="center" wrapText="1"/>
    </xf>
    <xf numFmtId="0" fontId="6" fillId="0" borderId="2" xfId="0" applyFont="1" applyBorder="1" applyAlignment="1">
      <alignment horizontal="center" vertical="center"/>
    </xf>
    <xf numFmtId="0" fontId="6" fillId="0" borderId="0" xfId="0" applyFont="1" applyAlignment="1">
      <alignment vertical="center"/>
    </xf>
    <xf numFmtId="0" fontId="23" fillId="45" borderId="11" xfId="0" applyFont="1" applyFill="1" applyBorder="1" applyAlignment="1">
      <alignment wrapText="1"/>
    </xf>
    <xf numFmtId="0" fontId="23" fillId="45" borderId="15" xfId="0" applyFont="1" applyFill="1" applyBorder="1" applyAlignment="1">
      <alignment wrapText="1"/>
    </xf>
    <xf numFmtId="0" fontId="23" fillId="45" borderId="18" xfId="0" applyFont="1" applyFill="1" applyBorder="1" applyAlignment="1">
      <alignment wrapText="1"/>
    </xf>
    <xf numFmtId="0" fontId="23" fillId="43" borderId="11" xfId="0" applyFont="1" applyFill="1" applyBorder="1" applyAlignment="1">
      <alignment horizontal="left" vertical="center" wrapText="1"/>
    </xf>
    <xf numFmtId="0" fontId="23" fillId="43" borderId="15" xfId="0" applyFont="1" applyFill="1" applyBorder="1" applyAlignment="1">
      <alignment horizontal="left" vertical="center" wrapText="1"/>
    </xf>
    <xf numFmtId="0" fontId="23" fillId="43" borderId="18" xfId="0" applyFont="1" applyFill="1" applyBorder="1" applyAlignment="1">
      <alignment horizontal="left" vertical="center" wrapText="1"/>
    </xf>
    <xf numFmtId="0" fontId="6" fillId="0" borderId="11" xfId="0" applyFont="1" applyBorder="1" applyAlignment="1">
      <alignment horizontal="center" vertical="center" wrapText="1"/>
    </xf>
    <xf numFmtId="0" fontId="6" fillId="0" borderId="0" xfId="0" applyFont="1" applyAlignment="1">
      <alignment horizontal="center" vertical="center"/>
    </xf>
    <xf numFmtId="0" fontId="7" fillId="6" borderId="11" xfId="0" applyFont="1" applyFill="1" applyBorder="1" applyAlignment="1">
      <alignment horizontal="center" vertical="center" wrapText="1"/>
    </xf>
    <xf numFmtId="0" fontId="7" fillId="6" borderId="15" xfId="0" applyFont="1" applyFill="1" applyBorder="1" applyAlignment="1">
      <alignment horizontal="center" vertical="center" wrapText="1"/>
    </xf>
    <xf numFmtId="0" fontId="7" fillId="6" borderId="0" xfId="0" applyFont="1" applyFill="1" applyAlignment="1">
      <alignment horizontal="center" vertical="center"/>
    </xf>
    <xf numFmtId="0" fontId="7" fillId="6" borderId="11" xfId="0" applyFont="1" applyFill="1" applyBorder="1" applyAlignment="1">
      <alignment horizontal="center" vertical="center"/>
    </xf>
    <xf numFmtId="0" fontId="19" fillId="6" borderId="2" xfId="0" applyFont="1" applyFill="1" applyBorder="1" applyAlignment="1">
      <alignment horizontal="center" vertical="center" wrapText="1"/>
    </xf>
    <xf numFmtId="0" fontId="24" fillId="6" borderId="44" xfId="0" applyFont="1" applyFill="1" applyBorder="1" applyAlignment="1">
      <alignment horizontal="center" vertical="center"/>
    </xf>
    <xf numFmtId="9" fontId="6" fillId="0" borderId="44" xfId="2" applyFont="1" applyFill="1" applyBorder="1" applyAlignment="1">
      <alignment horizontal="center" vertical="center"/>
    </xf>
    <xf numFmtId="0" fontId="23" fillId="0" borderId="2" xfId="0" applyFont="1" applyBorder="1" applyAlignment="1">
      <alignment horizontal="center" vertical="center"/>
    </xf>
    <xf numFmtId="10" fontId="6" fillId="0" borderId="0" xfId="2" applyNumberFormat="1" applyFont="1" applyFill="1" applyBorder="1" applyAlignment="1"/>
    <xf numFmtId="9" fontId="6" fillId="0" borderId="0" xfId="2" applyFont="1" applyFill="1" applyBorder="1" applyAlignment="1">
      <alignment vertical="center"/>
    </xf>
    <xf numFmtId="0" fontId="6" fillId="0" borderId="0" xfId="4" applyAlignment="1">
      <alignment vertical="center"/>
    </xf>
    <xf numFmtId="10" fontId="6" fillId="0" borderId="0" xfId="4" applyNumberFormat="1" applyAlignment="1">
      <alignment horizontal="center" vertical="center"/>
    </xf>
    <xf numFmtId="10" fontId="6" fillId="0" borderId="0" xfId="0" applyNumberFormat="1" applyFont="1"/>
    <xf numFmtId="0" fontId="21" fillId="0" borderId="0" xfId="0" applyFont="1" applyAlignment="1">
      <alignment wrapText="1"/>
    </xf>
    <xf numFmtId="0" fontId="21" fillId="0" borderId="0" xfId="0" applyFont="1" applyAlignment="1">
      <alignment horizontal="right"/>
    </xf>
    <xf numFmtId="0" fontId="21" fillId="0" borderId="0" xfId="0" applyFont="1" applyAlignment="1">
      <alignment horizontal="center"/>
    </xf>
    <xf numFmtId="0" fontId="21" fillId="0" borderId="44" xfId="0" applyFont="1" applyBorder="1" applyAlignment="1">
      <alignment horizontal="center" vertical="center"/>
    </xf>
    <xf numFmtId="0" fontId="21" fillId="0" borderId="44" xfId="0" applyFont="1" applyBorder="1" applyAlignment="1">
      <alignment horizontal="center" vertical="center" wrapText="1"/>
    </xf>
    <xf numFmtId="167" fontId="21" fillId="0" borderId="44" xfId="0" applyNumberFormat="1" applyFont="1" applyBorder="1" applyAlignment="1">
      <alignment horizontal="center" vertical="center"/>
    </xf>
    <xf numFmtId="0" fontId="21" fillId="0" borderId="2" xfId="0" applyFont="1" applyBorder="1"/>
    <xf numFmtId="167" fontId="21" fillId="7" borderId="44" xfId="0" applyNumberFormat="1" applyFont="1" applyFill="1" applyBorder="1" applyAlignment="1">
      <alignment horizontal="center" vertical="center"/>
    </xf>
    <xf numFmtId="0" fontId="6" fillId="0" borderId="44" xfId="0" applyFont="1" applyBorder="1" applyAlignment="1">
      <alignment horizontal="center" vertical="center"/>
    </xf>
    <xf numFmtId="0" fontId="6" fillId="0" borderId="44" xfId="0" applyFont="1" applyBorder="1" applyAlignment="1">
      <alignment horizontal="center" vertical="center" wrapText="1"/>
    </xf>
    <xf numFmtId="0" fontId="21" fillId="0" borderId="97" xfId="0" applyFont="1" applyBorder="1" applyAlignment="1">
      <alignment horizontal="center" vertical="center"/>
    </xf>
    <xf numFmtId="0" fontId="21" fillId="0" borderId="128" xfId="0" applyFont="1" applyBorder="1" applyAlignment="1">
      <alignment horizontal="center" vertical="center"/>
    </xf>
    <xf numFmtId="0" fontId="21" fillId="0" borderId="276" xfId="0" applyFont="1" applyBorder="1" applyAlignment="1">
      <alignment horizontal="center" vertical="center"/>
    </xf>
    <xf numFmtId="0" fontId="21" fillId="0" borderId="274" xfId="0" applyFont="1" applyBorder="1" applyAlignment="1">
      <alignment horizontal="center" vertical="center"/>
    </xf>
    <xf numFmtId="0" fontId="21" fillId="0" borderId="121" xfId="0" applyFont="1" applyBorder="1" applyAlignment="1">
      <alignment horizontal="center" vertical="center"/>
    </xf>
    <xf numFmtId="0" fontId="21" fillId="0" borderId="277" xfId="0" applyFont="1" applyBorder="1" applyAlignment="1">
      <alignment horizontal="center" vertical="center"/>
    </xf>
    <xf numFmtId="164" fontId="21" fillId="0" borderId="266" xfId="0" applyNumberFormat="1" applyFont="1" applyBorder="1" applyAlignment="1">
      <alignment horizontal="left" vertical="center"/>
    </xf>
    <xf numFmtId="164" fontId="21" fillId="0" borderId="267" xfId="0" applyNumberFormat="1" applyFont="1" applyBorder="1" applyAlignment="1">
      <alignment horizontal="left" vertical="center"/>
    </xf>
    <xf numFmtId="164" fontId="21" fillId="0" borderId="268" xfId="0" applyNumberFormat="1" applyFont="1" applyBorder="1" applyAlignment="1">
      <alignment horizontal="left" vertical="center"/>
    </xf>
    <xf numFmtId="0" fontId="21" fillId="0" borderId="44" xfId="0" applyFont="1" applyBorder="1" applyAlignment="1">
      <alignment horizontal="center" vertical="center"/>
    </xf>
    <xf numFmtId="0" fontId="21" fillId="0" borderId="44" xfId="0" applyFont="1" applyBorder="1" applyAlignment="1">
      <alignment horizontal="center" vertical="center" wrapText="1"/>
    </xf>
    <xf numFmtId="0" fontId="21" fillId="0" borderId="275" xfId="0" applyFont="1" applyBorder="1" applyAlignment="1">
      <alignment horizontal="center" vertical="center"/>
    </xf>
    <xf numFmtId="0" fontId="6" fillId="0" borderId="0" xfId="0" applyFont="1" applyAlignment="1">
      <alignment horizontal="center"/>
    </xf>
    <xf numFmtId="0" fontId="71" fillId="8" borderId="233" xfId="0" applyFont="1" applyFill="1" applyBorder="1" applyAlignment="1">
      <alignment horizontal="center" vertical="center"/>
    </xf>
    <xf numFmtId="0" fontId="37" fillId="8" borderId="0" xfId="0" applyFont="1" applyFill="1" applyAlignment="1">
      <alignment horizontal="center" vertical="center" wrapText="1"/>
    </xf>
    <xf numFmtId="0" fontId="70" fillId="0" borderId="44" xfId="0" applyFont="1" applyBorder="1" applyAlignment="1">
      <alignment horizontal="center" vertical="center" wrapText="1"/>
    </xf>
    <xf numFmtId="0" fontId="1" fillId="0" borderId="44" xfId="0" applyFont="1" applyBorder="1" applyAlignment="1">
      <alignment horizontal="center" vertical="center" wrapText="1"/>
    </xf>
    <xf numFmtId="0" fontId="37" fillId="8" borderId="0" xfId="0" applyFont="1" applyFill="1" applyAlignment="1">
      <alignment horizontal="center" vertical="center"/>
    </xf>
    <xf numFmtId="0" fontId="6" fillId="0" borderId="119" xfId="0" applyFont="1" applyBorder="1" applyAlignment="1">
      <alignment horizontal="center" vertical="center" wrapText="1"/>
    </xf>
    <xf numFmtId="0" fontId="6" fillId="0" borderId="120" xfId="0" applyFont="1" applyBorder="1" applyAlignment="1">
      <alignment horizontal="center" vertical="center" wrapText="1"/>
    </xf>
    <xf numFmtId="0" fontId="6" fillId="0" borderId="118" xfId="0" applyFont="1" applyBorder="1" applyAlignment="1">
      <alignment horizontal="center" vertical="center" wrapText="1"/>
    </xf>
    <xf numFmtId="0" fontId="7" fillId="6" borderId="119" xfId="0" applyFont="1" applyFill="1" applyBorder="1" applyAlignment="1">
      <alignment horizontal="center" vertical="center" wrapText="1"/>
    </xf>
    <xf numFmtId="0" fontId="7" fillId="6" borderId="120" xfId="0" applyFont="1" applyFill="1" applyBorder="1" applyAlignment="1">
      <alignment horizontal="center" vertical="center" wrapText="1"/>
    </xf>
    <xf numFmtId="0" fontId="7" fillId="6" borderId="118" xfId="0" applyFont="1" applyFill="1" applyBorder="1" applyAlignment="1">
      <alignment horizontal="center" vertical="center" wrapText="1"/>
    </xf>
    <xf numFmtId="0" fontId="21" fillId="0" borderId="25" xfId="0" applyFont="1" applyBorder="1" applyAlignment="1">
      <alignment horizontal="center" vertical="center"/>
    </xf>
    <xf numFmtId="0" fontId="21" fillId="0" borderId="23" xfId="0" applyFont="1" applyBorder="1" applyAlignment="1">
      <alignment horizontal="center" vertical="center"/>
    </xf>
    <xf numFmtId="0" fontId="21" fillId="0" borderId="24" xfId="0" applyFont="1" applyBorder="1" applyAlignment="1">
      <alignment horizontal="center" vertical="center"/>
    </xf>
    <xf numFmtId="0" fontId="23" fillId="0" borderId="44" xfId="0" applyFont="1" applyBorder="1" applyAlignment="1">
      <alignment horizontal="center" vertical="center"/>
    </xf>
    <xf numFmtId="0" fontId="21" fillId="0" borderId="271" xfId="0" applyFont="1" applyBorder="1" applyAlignment="1">
      <alignment horizontal="center" vertical="center" wrapText="1"/>
    </xf>
    <xf numFmtId="0" fontId="21" fillId="0" borderId="272" xfId="0" applyFont="1" applyBorder="1" applyAlignment="1">
      <alignment horizontal="center" vertical="center" wrapText="1"/>
    </xf>
    <xf numFmtId="0" fontId="21" fillId="0" borderId="273" xfId="0" applyFont="1" applyBorder="1" applyAlignment="1">
      <alignment horizontal="center" vertical="center" wrapText="1"/>
    </xf>
    <xf numFmtId="0" fontId="6" fillId="0" borderId="0" xfId="0" applyFont="1" applyAlignment="1">
      <alignment vertical="center" wrapText="1"/>
    </xf>
    <xf numFmtId="0" fontId="6" fillId="0" borderId="2" xfId="0" applyFont="1" applyBorder="1" applyAlignment="1">
      <alignment horizontal="center" vertical="center"/>
    </xf>
    <xf numFmtId="0" fontId="6" fillId="0" borderId="0" xfId="0" applyFont="1" applyAlignment="1">
      <alignment vertical="center"/>
    </xf>
    <xf numFmtId="0" fontId="6" fillId="0" borderId="0" xfId="0" applyFont="1" applyAlignment="1">
      <alignment horizontal="left" vertical="center" wrapText="1"/>
    </xf>
    <xf numFmtId="0" fontId="64" fillId="0" borderId="0" xfId="0" applyFont="1" applyAlignment="1">
      <alignment vertical="center" wrapText="1"/>
    </xf>
    <xf numFmtId="0" fontId="36" fillId="0" borderId="0" xfId="0" applyFont="1"/>
    <xf numFmtId="0" fontId="18" fillId="0" borderId="20" xfId="0" applyFont="1" applyBorder="1" applyAlignment="1">
      <alignment horizontal="left" vertical="center"/>
    </xf>
    <xf numFmtId="0" fontId="37" fillId="8" borderId="3" xfId="1" applyFont="1" applyFill="1" applyBorder="1" applyAlignment="1">
      <alignment horizontal="center" vertical="center" wrapText="1"/>
    </xf>
    <xf numFmtId="0" fontId="37" fillId="8" borderId="9" xfId="1" applyFont="1" applyFill="1" applyBorder="1" applyAlignment="1">
      <alignment horizontal="center" vertical="center" wrapText="1"/>
    </xf>
    <xf numFmtId="0" fontId="23" fillId="43" borderId="11" xfId="0" applyFont="1" applyFill="1" applyBorder="1" applyAlignment="1">
      <alignment horizontal="left" vertical="center"/>
    </xf>
    <xf numFmtId="0" fontId="23" fillId="43" borderId="15" xfId="0" applyFont="1" applyFill="1" applyBorder="1" applyAlignment="1">
      <alignment horizontal="left" vertical="center"/>
    </xf>
    <xf numFmtId="0" fontId="23" fillId="43" borderId="18" xfId="0" applyFont="1" applyFill="1" applyBorder="1" applyAlignment="1">
      <alignment horizontal="left" vertical="center"/>
    </xf>
    <xf numFmtId="0" fontId="36" fillId="0" borderId="16" xfId="0" applyFont="1" applyBorder="1"/>
    <xf numFmtId="0" fontId="23" fillId="43" borderId="11" xfId="0" applyFont="1" applyFill="1" applyBorder="1" applyAlignment="1">
      <alignment horizontal="left" vertical="center" wrapText="1"/>
    </xf>
    <xf numFmtId="0" fontId="23" fillId="43" borderId="15" xfId="0" applyFont="1" applyFill="1" applyBorder="1" applyAlignment="1">
      <alignment horizontal="left" vertical="center" wrapText="1"/>
    </xf>
    <xf numFmtId="0" fontId="23" fillId="43" borderId="18" xfId="0" applyFont="1" applyFill="1" applyBorder="1" applyAlignment="1">
      <alignment horizontal="left" vertical="center" wrapText="1"/>
    </xf>
    <xf numFmtId="0" fontId="23" fillId="43" borderId="11" xfId="0" applyFont="1" applyFill="1" applyBorder="1" applyAlignment="1">
      <alignment vertical="center"/>
    </xf>
    <xf numFmtId="0" fontId="23" fillId="43" borderId="15" xfId="0" applyFont="1" applyFill="1" applyBorder="1" applyAlignment="1">
      <alignment vertical="center"/>
    </xf>
    <xf numFmtId="0" fontId="23" fillId="43" borderId="18" xfId="0" applyFont="1" applyFill="1" applyBorder="1" applyAlignment="1">
      <alignment vertical="center"/>
    </xf>
    <xf numFmtId="0" fontId="23" fillId="9" borderId="11" xfId="0" applyFont="1" applyFill="1" applyBorder="1" applyAlignment="1">
      <alignment vertical="center"/>
    </xf>
    <xf numFmtId="0" fontId="23" fillId="9" borderId="15" xfId="0" applyFont="1" applyFill="1" applyBorder="1" applyAlignment="1">
      <alignment vertical="center"/>
    </xf>
    <xf numFmtId="0" fontId="23" fillId="9" borderId="18" xfId="0" applyFont="1" applyFill="1" applyBorder="1" applyAlignment="1">
      <alignment vertical="center"/>
    </xf>
    <xf numFmtId="0" fontId="36" fillId="0" borderId="111" xfId="0" applyFont="1" applyBorder="1"/>
    <xf numFmtId="0" fontId="23" fillId="45" borderId="11" xfId="0" applyFont="1" applyFill="1" applyBorder="1" applyAlignment="1">
      <alignment horizontal="left" vertical="center" wrapText="1"/>
    </xf>
    <xf numFmtId="0" fontId="23" fillId="45" borderId="18" xfId="0" applyFont="1" applyFill="1" applyBorder="1" applyAlignment="1">
      <alignment horizontal="left" vertical="center" wrapText="1"/>
    </xf>
    <xf numFmtId="0" fontId="23" fillId="45" borderId="11" xfId="0" applyFont="1" applyFill="1" applyBorder="1" applyAlignment="1">
      <alignment vertical="center" wrapText="1"/>
    </xf>
    <xf numFmtId="0" fontId="23" fillId="45" borderId="18" xfId="0" applyFont="1" applyFill="1" applyBorder="1" applyAlignment="1">
      <alignment vertical="center" wrapText="1"/>
    </xf>
    <xf numFmtId="0" fontId="23" fillId="45" borderId="11" xfId="0" applyFont="1" applyFill="1" applyBorder="1" applyAlignment="1">
      <alignment wrapText="1"/>
    </xf>
    <xf numFmtId="0" fontId="23" fillId="45" borderId="15" xfId="0" applyFont="1" applyFill="1" applyBorder="1" applyAlignment="1">
      <alignment wrapText="1"/>
    </xf>
    <xf numFmtId="0" fontId="23" fillId="45" borderId="18" xfId="0" applyFont="1" applyFill="1" applyBorder="1" applyAlignment="1">
      <alignment wrapText="1"/>
    </xf>
    <xf numFmtId="0" fontId="7" fillId="0" borderId="32" xfId="0" applyFont="1" applyBorder="1" applyAlignment="1">
      <alignment horizontal="center" vertical="center"/>
    </xf>
    <xf numFmtId="0" fontId="7" fillId="0" borderId="33" xfId="0" applyFont="1" applyBorder="1" applyAlignment="1">
      <alignment horizontal="center" vertical="center"/>
    </xf>
    <xf numFmtId="0" fontId="7" fillId="0" borderId="34" xfId="0" applyFont="1" applyBorder="1" applyAlignment="1">
      <alignment horizontal="center" vertical="center"/>
    </xf>
    <xf numFmtId="0" fontId="7" fillId="0" borderId="35" xfId="0" applyFont="1" applyBorder="1" applyAlignment="1">
      <alignment horizontal="center" vertical="center"/>
    </xf>
    <xf numFmtId="0" fontId="37" fillId="8" borderId="20" xfId="0" applyFont="1" applyFill="1" applyBorder="1" applyAlignment="1">
      <alignment horizontal="center" vertical="center"/>
    </xf>
    <xf numFmtId="0" fontId="37" fillId="8" borderId="20" xfId="0" applyFont="1" applyFill="1" applyBorder="1" applyAlignment="1">
      <alignment horizontal="center" vertical="center" wrapText="1"/>
    </xf>
    <xf numFmtId="0" fontId="6" fillId="0" borderId="11" xfId="0" applyFont="1" applyBorder="1" applyAlignment="1">
      <alignment horizontal="center" vertical="center"/>
    </xf>
    <xf numFmtId="0" fontId="6" fillId="0" borderId="15" xfId="0" applyFont="1" applyBorder="1" applyAlignment="1">
      <alignment horizontal="center" vertical="center"/>
    </xf>
    <xf numFmtId="0" fontId="6" fillId="0" borderId="18" xfId="0" applyFont="1" applyBorder="1" applyAlignment="1">
      <alignment horizontal="center" vertical="center"/>
    </xf>
    <xf numFmtId="0" fontId="23" fillId="0" borderId="90" xfId="0" applyFont="1" applyBorder="1" applyAlignment="1">
      <alignment horizontal="center" vertical="center" wrapText="1"/>
    </xf>
    <xf numFmtId="0" fontId="23" fillId="0" borderId="85" xfId="0" applyFont="1" applyBorder="1" applyAlignment="1">
      <alignment horizontal="center" vertical="center" wrapText="1"/>
    </xf>
    <xf numFmtId="0" fontId="23" fillId="0" borderId="83" xfId="0" applyFont="1" applyBorder="1" applyAlignment="1">
      <alignment horizontal="center" vertical="center" wrapText="1"/>
    </xf>
    <xf numFmtId="0" fontId="6" fillId="0" borderId="91" xfId="0" quotePrefix="1" applyFont="1" applyBorder="1" applyAlignment="1">
      <alignment horizontal="center" vertical="center" wrapText="1"/>
    </xf>
    <xf numFmtId="0" fontId="6" fillId="0" borderId="92" xfId="0" applyFont="1" applyBorder="1" applyAlignment="1">
      <alignment horizontal="center" vertical="center" wrapText="1"/>
    </xf>
    <xf numFmtId="0" fontId="6" fillId="0" borderId="93" xfId="0" applyFont="1" applyBorder="1" applyAlignment="1">
      <alignment horizontal="center" vertical="center" wrapText="1"/>
    </xf>
    <xf numFmtId="0" fontId="6" fillId="0" borderId="25" xfId="0" applyFont="1" applyBorder="1" applyAlignment="1">
      <alignment horizontal="center" vertical="center" wrapText="1"/>
    </xf>
    <xf numFmtId="0" fontId="6" fillId="0" borderId="23" xfId="0" applyFont="1" applyBorder="1" applyAlignment="1">
      <alignment horizontal="center" vertical="center" wrapText="1"/>
    </xf>
    <xf numFmtId="0" fontId="6" fillId="0" borderId="24" xfId="0" applyFont="1" applyBorder="1" applyAlignment="1">
      <alignment horizontal="center" vertical="center" wrapText="1"/>
    </xf>
    <xf numFmtId="0" fontId="6" fillId="0" borderId="11" xfId="0" applyFont="1" applyBorder="1" applyAlignment="1">
      <alignment horizontal="center" vertical="center" wrapText="1"/>
    </xf>
    <xf numFmtId="0" fontId="6" fillId="0" borderId="15" xfId="0" applyFont="1" applyBorder="1" applyAlignment="1">
      <alignment horizontal="center" vertical="center" wrapText="1"/>
    </xf>
    <xf numFmtId="0" fontId="6" fillId="0" borderId="18" xfId="0" applyFont="1" applyBorder="1" applyAlignment="1">
      <alignment horizontal="center" vertical="center" wrapText="1"/>
    </xf>
    <xf numFmtId="0" fontId="23" fillId="0" borderId="94" xfId="0" applyFont="1" applyBorder="1" applyAlignment="1">
      <alignment horizontal="center" vertical="center" wrapText="1"/>
    </xf>
    <xf numFmtId="0" fontId="23" fillId="0" borderId="95" xfId="0" applyFont="1" applyBorder="1" applyAlignment="1">
      <alignment horizontal="center" vertical="center" wrapText="1"/>
    </xf>
    <xf numFmtId="0" fontId="23" fillId="0" borderId="96" xfId="0" applyFont="1" applyBorder="1" applyAlignment="1">
      <alignment horizontal="center" vertical="center" wrapText="1"/>
    </xf>
    <xf numFmtId="0" fontId="21" fillId="0" borderId="89" xfId="0" applyFont="1" applyBorder="1" applyAlignment="1">
      <alignment horizontal="center" vertical="center" wrapText="1"/>
    </xf>
    <xf numFmtId="0" fontId="6" fillId="0" borderId="262" xfId="0" applyFont="1" applyBorder="1" applyAlignment="1">
      <alignment horizontal="center" vertical="center" wrapText="1"/>
    </xf>
    <xf numFmtId="0" fontId="6" fillId="0" borderId="263" xfId="0" applyFont="1" applyBorder="1" applyAlignment="1">
      <alignment horizontal="center" vertical="center" wrapText="1"/>
    </xf>
    <xf numFmtId="0" fontId="6" fillId="0" borderId="251" xfId="0" quotePrefix="1" applyFont="1" applyBorder="1" applyAlignment="1">
      <alignment horizontal="center" vertical="center" wrapText="1"/>
    </xf>
    <xf numFmtId="0" fontId="6" fillId="0" borderId="253" xfId="0" quotePrefix="1" applyFont="1" applyBorder="1" applyAlignment="1">
      <alignment horizontal="center" vertical="center" wrapText="1"/>
    </xf>
    <xf numFmtId="0" fontId="6" fillId="0" borderId="254" xfId="0" quotePrefix="1" applyFont="1" applyBorder="1" applyAlignment="1">
      <alignment horizontal="center" vertical="center" wrapText="1"/>
    </xf>
    <xf numFmtId="0" fontId="6" fillId="0" borderId="249" xfId="0" applyFont="1" applyBorder="1" applyAlignment="1">
      <alignment horizontal="center" vertical="center" wrapText="1"/>
    </xf>
    <xf numFmtId="0" fontId="6" fillId="0" borderId="252" xfId="0" applyFont="1" applyBorder="1" applyAlignment="1">
      <alignment horizontal="center" vertical="center" wrapText="1"/>
    </xf>
    <xf numFmtId="0" fontId="6" fillId="0" borderId="255" xfId="0" applyFont="1" applyBorder="1" applyAlignment="1">
      <alignment horizontal="center" vertical="center" wrapText="1"/>
    </xf>
    <xf numFmtId="0" fontId="21" fillId="0" borderId="250" xfId="0" applyFont="1" applyBorder="1" applyAlignment="1">
      <alignment horizontal="center" vertical="center" wrapText="1"/>
    </xf>
    <xf numFmtId="0" fontId="6" fillId="0" borderId="253" xfId="0" applyFont="1" applyBorder="1" applyAlignment="1">
      <alignment horizontal="center" vertical="center" wrapText="1"/>
    </xf>
    <xf numFmtId="0" fontId="6" fillId="0" borderId="254" xfId="0" applyFont="1" applyBorder="1" applyAlignment="1">
      <alignment horizontal="center" vertical="center" wrapText="1"/>
    </xf>
    <xf numFmtId="0" fontId="37" fillId="10" borderId="2" xfId="0" applyFont="1" applyFill="1" applyBorder="1" applyAlignment="1">
      <alignment horizontal="center" vertical="center"/>
    </xf>
    <xf numFmtId="0" fontId="37" fillId="10" borderId="246" xfId="0" applyFont="1" applyFill="1" applyBorder="1" applyAlignment="1">
      <alignment horizontal="center" vertical="center"/>
    </xf>
    <xf numFmtId="0" fontId="6" fillId="0" borderId="250" xfId="0" applyFont="1" applyBorder="1" applyAlignment="1">
      <alignment horizontal="center" vertical="center" wrapText="1"/>
    </xf>
    <xf numFmtId="0" fontId="6" fillId="0" borderId="256" xfId="0" applyFont="1" applyBorder="1" applyAlignment="1">
      <alignment horizontal="center" vertical="center" wrapText="1"/>
    </xf>
    <xf numFmtId="0" fontId="6" fillId="0" borderId="259" xfId="0" applyFont="1" applyBorder="1" applyAlignment="1">
      <alignment horizontal="center" vertical="center" wrapText="1"/>
    </xf>
    <xf numFmtId="0" fontId="0" fillId="0" borderId="38" xfId="0" applyBorder="1" applyAlignment="1">
      <alignment horizontal="center" vertical="center" wrapText="1"/>
    </xf>
    <xf numFmtId="0" fontId="0" fillId="0" borderId="74" xfId="0" applyBorder="1" applyAlignment="1">
      <alignment horizontal="center" vertical="center" wrapText="1"/>
    </xf>
    <xf numFmtId="0" fontId="0" fillId="0" borderId="41" xfId="0" applyBorder="1" applyAlignment="1">
      <alignment horizontal="center" vertical="center" wrapText="1"/>
    </xf>
    <xf numFmtId="0" fontId="23" fillId="0" borderId="80" xfId="0" applyFont="1" applyBorder="1" applyAlignment="1">
      <alignment horizontal="center" vertical="center"/>
    </xf>
    <xf numFmtId="0" fontId="23" fillId="0" borderId="81" xfId="0" applyFont="1" applyBorder="1" applyAlignment="1">
      <alignment horizontal="center" vertical="center"/>
    </xf>
    <xf numFmtId="0" fontId="23" fillId="0" borderId="82" xfId="0" applyFont="1" applyBorder="1" applyAlignment="1">
      <alignment horizontal="center" vertical="center"/>
    </xf>
    <xf numFmtId="0" fontId="37" fillId="8" borderId="16" xfId="0" applyFont="1" applyFill="1" applyBorder="1" applyAlignment="1">
      <alignment horizontal="center" vertical="center" wrapText="1"/>
    </xf>
    <xf numFmtId="0" fontId="37" fillId="8" borderId="19" xfId="0" applyFont="1" applyFill="1" applyBorder="1" applyAlignment="1">
      <alignment horizontal="center" vertical="center" wrapText="1"/>
    </xf>
    <xf numFmtId="0" fontId="37" fillId="46" borderId="237" xfId="56" applyFont="1" applyFill="1" applyBorder="1" applyAlignment="1">
      <alignment horizontal="center" vertical="center" wrapText="1"/>
    </xf>
    <xf numFmtId="0" fontId="37" fillId="46" borderId="0" xfId="56" applyFont="1" applyFill="1" applyAlignment="1">
      <alignment horizontal="center" vertical="center" wrapText="1"/>
    </xf>
    <xf numFmtId="0" fontId="60" fillId="47" borderId="269" xfId="56" applyFont="1" applyFill="1" applyBorder="1" applyAlignment="1">
      <alignment horizontal="center" vertical="center" wrapText="1"/>
    </xf>
    <xf numFmtId="0" fontId="60" fillId="47" borderId="270" xfId="56" applyFont="1" applyFill="1" applyBorder="1" applyAlignment="1">
      <alignment horizontal="center" vertical="center" wrapText="1"/>
    </xf>
    <xf numFmtId="0" fontId="60" fillId="47" borderId="2" xfId="56" applyFont="1" applyFill="1" applyBorder="1" applyAlignment="1">
      <alignment horizontal="center" vertical="center" wrapText="1"/>
    </xf>
    <xf numFmtId="0" fontId="21" fillId="0" borderId="240" xfId="0" applyFont="1" applyBorder="1" applyAlignment="1">
      <alignment horizontal="center" vertical="center" wrapText="1"/>
    </xf>
    <xf numFmtId="0" fontId="21" fillId="0" borderId="241" xfId="0" applyFont="1" applyBorder="1" applyAlignment="1">
      <alignment horizontal="center" vertical="center" wrapText="1"/>
    </xf>
    <xf numFmtId="0" fontId="21" fillId="0" borderId="242" xfId="0" applyFont="1" applyBorder="1" applyAlignment="1">
      <alignment horizontal="center" vertical="center" wrapText="1"/>
    </xf>
    <xf numFmtId="0" fontId="6" fillId="0" borderId="234" xfId="0" applyFont="1" applyBorder="1" applyAlignment="1">
      <alignment horizontal="center" vertical="center" wrapText="1"/>
    </xf>
    <xf numFmtId="0" fontId="6" fillId="0" borderId="235" xfId="0" applyFont="1" applyBorder="1" applyAlignment="1">
      <alignment horizontal="center" vertical="center" wrapText="1"/>
    </xf>
    <xf numFmtId="0" fontId="6" fillId="0" borderId="236" xfId="0" applyFont="1" applyBorder="1" applyAlignment="1">
      <alignment horizontal="center" vertical="center" wrapText="1"/>
    </xf>
    <xf numFmtId="43" fontId="6" fillId="0" borderId="3" xfId="6" applyFont="1" applyBorder="1" applyAlignment="1">
      <alignment horizontal="left" vertical="center"/>
    </xf>
    <xf numFmtId="43" fontId="6" fillId="0" borderId="9" xfId="6" applyFont="1" applyBorder="1" applyAlignment="1">
      <alignment horizontal="left" vertical="center"/>
    </xf>
    <xf numFmtId="43" fontId="6" fillId="0" borderId="10" xfId="6" applyFont="1" applyBorder="1" applyAlignment="1">
      <alignment horizontal="left" vertical="center"/>
    </xf>
    <xf numFmtId="43" fontId="21" fillId="0" borderId="15" xfId="6" applyFont="1" applyBorder="1" applyAlignment="1">
      <alignment horizontal="center" vertical="center" wrapText="1"/>
    </xf>
    <xf numFmtId="43" fontId="21" fillId="0" borderId="18" xfId="6" applyFont="1" applyBorder="1" applyAlignment="1">
      <alignment horizontal="center" vertical="center" wrapText="1"/>
    </xf>
    <xf numFmtId="0" fontId="7" fillId="6" borderId="11" xfId="0" applyFont="1" applyFill="1" applyBorder="1" applyAlignment="1">
      <alignment horizontal="center" vertical="center" wrapText="1"/>
    </xf>
    <xf numFmtId="0" fontId="7" fillId="6" borderId="15" xfId="0" applyFont="1" applyFill="1" applyBorder="1" applyAlignment="1">
      <alignment horizontal="center" vertical="center" wrapText="1"/>
    </xf>
    <xf numFmtId="0" fontId="37" fillId="8" borderId="121" xfId="0" applyFont="1" applyFill="1" applyBorder="1" applyAlignment="1">
      <alignment horizontal="center" vertical="center" wrapText="1"/>
    </xf>
    <xf numFmtId="0" fontId="7" fillId="6" borderId="15" xfId="0" applyFont="1" applyFill="1" applyBorder="1" applyAlignment="1">
      <alignment horizontal="center" vertical="center"/>
    </xf>
    <xf numFmtId="0" fontId="7" fillId="6" borderId="3" xfId="0" applyFont="1" applyFill="1" applyBorder="1" applyAlignment="1">
      <alignment horizontal="center" vertical="center" wrapText="1"/>
    </xf>
    <xf numFmtId="0" fontId="7" fillId="6" borderId="9" xfId="0" applyFont="1" applyFill="1" applyBorder="1" applyAlignment="1">
      <alignment horizontal="center" vertical="center" wrapText="1"/>
    </xf>
    <xf numFmtId="0" fontId="7" fillId="6" borderId="10" xfId="0" applyFont="1" applyFill="1" applyBorder="1" applyAlignment="1">
      <alignment horizontal="center" vertical="center" wrapText="1"/>
    </xf>
    <xf numFmtId="0" fontId="1" fillId="0" borderId="22" xfId="0" applyFont="1" applyBorder="1" applyAlignment="1">
      <alignment horizontal="center" vertical="center" wrapText="1"/>
    </xf>
    <xf numFmtId="0" fontId="6" fillId="0" borderId="45" xfId="0" applyFont="1" applyBorder="1" applyAlignment="1">
      <alignment horizontal="center" vertical="center" wrapText="1"/>
    </xf>
    <xf numFmtId="0" fontId="6" fillId="0" borderId="0" xfId="0" applyFont="1" applyAlignment="1">
      <alignment horizontal="center" vertical="center"/>
    </xf>
    <xf numFmtId="0" fontId="37" fillId="8" borderId="12" xfId="0" applyFont="1" applyFill="1" applyBorder="1" applyAlignment="1">
      <alignment horizontal="center" vertical="center"/>
    </xf>
    <xf numFmtId="0" fontId="37" fillId="8" borderId="13" xfId="0" applyFont="1" applyFill="1" applyBorder="1" applyAlignment="1">
      <alignment horizontal="center" vertical="center"/>
    </xf>
    <xf numFmtId="0" fontId="37" fillId="8" borderId="14" xfId="0" applyFont="1" applyFill="1" applyBorder="1" applyAlignment="1">
      <alignment horizontal="center" vertical="center"/>
    </xf>
    <xf numFmtId="0" fontId="6" fillId="7" borderId="44" xfId="0" applyFont="1" applyFill="1" applyBorder="1" applyAlignment="1">
      <alignment horizontal="left" vertical="center"/>
    </xf>
    <xf numFmtId="0" fontId="37" fillId="8" borderId="44" xfId="0" applyFont="1" applyFill="1" applyBorder="1" applyAlignment="1">
      <alignment horizontal="center" vertical="center"/>
    </xf>
    <xf numFmtId="0" fontId="24" fillId="6" borderId="45" xfId="0" applyFont="1" applyFill="1" applyBorder="1" applyAlignment="1">
      <alignment horizontal="center" vertical="center" wrapText="1"/>
    </xf>
    <xf numFmtId="0" fontId="24" fillId="6" borderId="46" xfId="0" applyFont="1" applyFill="1" applyBorder="1" applyAlignment="1">
      <alignment horizontal="center" vertical="center" wrapText="1"/>
    </xf>
    <xf numFmtId="0" fontId="22" fillId="0" borderId="192" xfId="0" applyFont="1" applyBorder="1" applyAlignment="1">
      <alignment horizontal="center" vertical="center" wrapText="1"/>
    </xf>
    <xf numFmtId="0" fontId="22" fillId="0" borderId="188" xfId="0" applyFont="1" applyBorder="1" applyAlignment="1">
      <alignment horizontal="center" vertical="center" wrapText="1"/>
    </xf>
    <xf numFmtId="0" fontId="22" fillId="0" borderId="191" xfId="0" applyFont="1" applyBorder="1" applyAlignment="1">
      <alignment horizontal="center" vertical="center" wrapText="1"/>
    </xf>
    <xf numFmtId="0" fontId="22" fillId="0" borderId="185" xfId="0" applyFont="1" applyBorder="1" applyAlignment="1">
      <alignment horizontal="center" vertical="center" wrapText="1"/>
    </xf>
    <xf numFmtId="0" fontId="22" fillId="0" borderId="187" xfId="0" applyFont="1" applyBorder="1" applyAlignment="1">
      <alignment horizontal="center" vertical="center" wrapText="1"/>
    </xf>
    <xf numFmtId="0" fontId="22" fillId="0" borderId="197" xfId="0" applyFont="1" applyBorder="1" applyAlignment="1">
      <alignment horizontal="center" vertical="center" wrapText="1"/>
    </xf>
    <xf numFmtId="0" fontId="22" fillId="0" borderId="186" xfId="0" applyFont="1" applyBorder="1" applyAlignment="1">
      <alignment horizontal="center" vertical="center" wrapText="1"/>
    </xf>
    <xf numFmtId="0" fontId="7" fillId="6" borderId="0" xfId="0" applyFont="1" applyFill="1" applyAlignment="1">
      <alignment horizontal="center" vertical="center"/>
    </xf>
    <xf numFmtId="0" fontId="7" fillId="6" borderId="63" xfId="0" applyFont="1" applyFill="1" applyBorder="1" applyAlignment="1">
      <alignment horizontal="center" vertical="center"/>
    </xf>
    <xf numFmtId="0" fontId="22" fillId="0" borderId="134" xfId="0" applyFont="1" applyBorder="1" applyAlignment="1">
      <alignment horizontal="center" vertical="center"/>
    </xf>
    <xf numFmtId="0" fontId="22" fillId="0" borderId="15" xfId="0" applyFont="1" applyBorder="1" applyAlignment="1">
      <alignment horizontal="center" vertical="center"/>
    </xf>
    <xf numFmtId="0" fontId="22" fillId="0" borderId="168" xfId="0" applyFont="1" applyBorder="1" applyAlignment="1">
      <alignment horizontal="center" vertical="center"/>
    </xf>
    <xf numFmtId="0" fontId="22" fillId="0" borderId="171" xfId="0" applyFont="1" applyBorder="1" applyAlignment="1">
      <alignment horizontal="center" vertical="center" wrapText="1"/>
    </xf>
    <xf numFmtId="0" fontId="22" fillId="0" borderId="165" xfId="0" applyFont="1" applyBorder="1" applyAlignment="1">
      <alignment horizontal="center" vertical="center" wrapText="1"/>
    </xf>
    <xf numFmtId="0" fontId="22" fillId="0" borderId="174" xfId="0" applyFont="1" applyBorder="1" applyAlignment="1">
      <alignment horizontal="center" vertical="center" wrapText="1"/>
    </xf>
    <xf numFmtId="0" fontId="35" fillId="0" borderId="173" xfId="0" applyFont="1" applyBorder="1" applyAlignment="1">
      <alignment horizontal="center" vertical="center" wrapText="1"/>
    </xf>
    <xf numFmtId="0" fontId="35" fillId="0" borderId="166" xfId="0" applyFont="1" applyBorder="1" applyAlignment="1">
      <alignment horizontal="center" vertical="center" wrapText="1"/>
    </xf>
    <xf numFmtId="0" fontId="35" fillId="0" borderId="170" xfId="0" applyFont="1" applyBorder="1" applyAlignment="1">
      <alignment horizontal="center" vertical="center" wrapText="1"/>
    </xf>
    <xf numFmtId="0" fontId="22" fillId="0" borderId="193" xfId="0" applyFont="1" applyBorder="1" applyAlignment="1">
      <alignment horizontal="center" vertical="center" wrapText="1"/>
    </xf>
    <xf numFmtId="0" fontId="22" fillId="0" borderId="181" xfId="0" applyFont="1" applyBorder="1" applyAlignment="1">
      <alignment horizontal="center" vertical="center" wrapText="1"/>
    </xf>
    <xf numFmtId="0" fontId="22" fillId="0" borderId="195" xfId="0" applyFont="1" applyBorder="1" applyAlignment="1">
      <alignment horizontal="center" vertical="center" wrapText="1"/>
    </xf>
    <xf numFmtId="0" fontId="22" fillId="0" borderId="194" xfId="0" applyFont="1" applyBorder="1" applyAlignment="1">
      <alignment horizontal="center" vertical="center"/>
    </xf>
    <xf numFmtId="0" fontId="22" fillId="0" borderId="187" xfId="0" applyFont="1" applyBorder="1" applyAlignment="1">
      <alignment horizontal="center" vertical="center"/>
    </xf>
    <xf numFmtId="0" fontId="22" fillId="0" borderId="196" xfId="0" applyFont="1" applyBorder="1" applyAlignment="1">
      <alignment horizontal="center" vertical="center"/>
    </xf>
    <xf numFmtId="0" fontId="35" fillId="0" borderId="185" xfId="0" applyFont="1" applyBorder="1" applyAlignment="1">
      <alignment horizontal="center" vertical="center" wrapText="1"/>
    </xf>
    <xf numFmtId="0" fontId="35" fillId="0" borderId="187" xfId="0" applyFont="1" applyBorder="1" applyAlignment="1">
      <alignment horizontal="center" vertical="center" wrapText="1"/>
    </xf>
    <xf numFmtId="0" fontId="35" fillId="0" borderId="197" xfId="0" applyFont="1" applyBorder="1" applyAlignment="1">
      <alignment horizontal="center" vertical="center" wrapText="1"/>
    </xf>
    <xf numFmtId="0" fontId="35" fillId="0" borderId="226" xfId="0" applyFont="1" applyBorder="1" applyAlignment="1">
      <alignment horizontal="center" vertical="center" wrapText="1"/>
    </xf>
    <xf numFmtId="0" fontId="35" fillId="0" borderId="227" xfId="0" applyFont="1" applyBorder="1" applyAlignment="1">
      <alignment horizontal="center" vertical="center" wrapText="1"/>
    </xf>
    <xf numFmtId="0" fontId="35" fillId="0" borderId="228" xfId="0" applyFont="1" applyBorder="1" applyAlignment="1">
      <alignment horizontal="center" vertical="center" wrapText="1"/>
    </xf>
    <xf numFmtId="0" fontId="22" fillId="0" borderId="198" xfId="0" applyFont="1" applyBorder="1" applyAlignment="1">
      <alignment horizontal="center" vertical="center" wrapText="1"/>
    </xf>
    <xf numFmtId="0" fontId="22" fillId="0" borderId="180" xfId="0" applyFont="1" applyBorder="1" applyAlignment="1">
      <alignment horizontal="center" vertical="center" wrapText="1"/>
    </xf>
    <xf numFmtId="0" fontId="22" fillId="0" borderId="182" xfId="0" applyFont="1" applyBorder="1" applyAlignment="1">
      <alignment horizontal="center" vertical="center" wrapText="1"/>
    </xf>
    <xf numFmtId="0" fontId="22" fillId="0" borderId="1" xfId="0" applyFont="1" applyBorder="1" applyAlignment="1">
      <alignment horizontal="center" vertical="center" wrapText="1"/>
    </xf>
    <xf numFmtId="0" fontId="22" fillId="0" borderId="2" xfId="0" applyFont="1" applyBorder="1" applyAlignment="1">
      <alignment horizontal="center" vertical="center" wrapText="1"/>
    </xf>
    <xf numFmtId="0" fontId="22" fillId="0" borderId="26" xfId="0" applyFont="1" applyBorder="1" applyAlignment="1">
      <alignment horizontal="center" vertical="center" wrapText="1"/>
    </xf>
    <xf numFmtId="0" fontId="22" fillId="0" borderId="213" xfId="0" applyFont="1" applyBorder="1" applyAlignment="1">
      <alignment horizontal="center" vertical="center" wrapText="1"/>
    </xf>
    <xf numFmtId="0" fontId="22" fillId="0" borderId="217" xfId="0" applyFont="1" applyBorder="1" applyAlignment="1">
      <alignment horizontal="center" vertical="center" wrapText="1"/>
    </xf>
    <xf numFmtId="0" fontId="22" fillId="0" borderId="219" xfId="0" applyFont="1" applyBorder="1" applyAlignment="1">
      <alignment horizontal="center" vertical="center" wrapText="1"/>
    </xf>
    <xf numFmtId="0" fontId="54" fillId="0" borderId="0" xfId="0" applyFont="1" applyAlignment="1">
      <alignment horizontal="left" vertical="center" wrapText="1"/>
    </xf>
    <xf numFmtId="0" fontId="7" fillId="6" borderId="2" xfId="0" applyFont="1" applyFill="1" applyBorder="1" applyAlignment="1">
      <alignment horizontal="center" vertical="center"/>
    </xf>
    <xf numFmtId="0" fontId="7" fillId="6" borderId="11" xfId="0" applyFont="1" applyFill="1" applyBorder="1" applyAlignment="1">
      <alignment horizontal="center" vertical="center"/>
    </xf>
    <xf numFmtId="0" fontId="19" fillId="6" borderId="2" xfId="0" applyFont="1" applyFill="1" applyBorder="1" applyAlignment="1">
      <alignment horizontal="center" vertical="center" wrapText="1"/>
    </xf>
    <xf numFmtId="0" fontId="22" fillId="0" borderId="175" xfId="0" applyFont="1" applyBorder="1" applyAlignment="1">
      <alignment horizontal="center" vertical="center" wrapText="1"/>
    </xf>
    <xf numFmtId="0" fontId="22" fillId="0" borderId="169" xfId="0" applyFont="1" applyBorder="1" applyAlignment="1">
      <alignment horizontal="center" vertical="center" wrapText="1"/>
    </xf>
    <xf numFmtId="0" fontId="22" fillId="0" borderId="166" xfId="0" applyFont="1" applyBorder="1" applyAlignment="1">
      <alignment horizontal="center" vertical="center" wrapText="1"/>
    </xf>
    <xf numFmtId="0" fontId="22" fillId="0" borderId="172" xfId="0" applyFont="1" applyBorder="1" applyAlignment="1">
      <alignment horizontal="center" vertical="center" wrapText="1"/>
    </xf>
    <xf numFmtId="0" fontId="22" fillId="0" borderId="185" xfId="0" applyFont="1" applyBorder="1" applyAlignment="1">
      <alignment horizontal="center" vertical="center"/>
    </xf>
    <xf numFmtId="0" fontId="22" fillId="0" borderId="190" xfId="0" applyFont="1" applyBorder="1" applyAlignment="1">
      <alignment horizontal="center" vertical="center"/>
    </xf>
    <xf numFmtId="0" fontId="22" fillId="0" borderId="190" xfId="0" applyFont="1" applyBorder="1" applyAlignment="1">
      <alignment horizontal="center" vertical="center" wrapText="1"/>
    </xf>
    <xf numFmtId="0" fontId="35" fillId="0" borderId="186" xfId="0" applyFont="1" applyBorder="1" applyAlignment="1">
      <alignment horizontal="center" vertical="center" wrapText="1"/>
    </xf>
    <xf numFmtId="0" fontId="35" fillId="0" borderId="188" xfId="0" applyFont="1" applyBorder="1" applyAlignment="1">
      <alignment horizontal="center" vertical="center" wrapText="1"/>
    </xf>
    <xf numFmtId="0" fontId="35" fillId="0" borderId="191" xfId="0" applyFont="1" applyBorder="1" applyAlignment="1">
      <alignment horizontal="center" vertical="center" wrapText="1"/>
    </xf>
    <xf numFmtId="0" fontId="22" fillId="0" borderId="214" xfId="0" applyFont="1" applyBorder="1" applyAlignment="1">
      <alignment horizontal="center" vertical="center"/>
    </xf>
    <xf numFmtId="0" fontId="22" fillId="0" borderId="220" xfId="0" applyFont="1" applyBorder="1" applyAlignment="1">
      <alignment horizontal="center" vertical="center"/>
    </xf>
    <xf numFmtId="0" fontId="22" fillId="0" borderId="215" xfId="0" applyFont="1" applyBorder="1" applyAlignment="1">
      <alignment horizontal="center" vertical="center" wrapText="1"/>
    </xf>
    <xf numFmtId="0" fontId="22" fillId="0" borderId="221" xfId="0" applyFont="1" applyBorder="1" applyAlignment="1">
      <alignment horizontal="center" vertical="center" wrapText="1"/>
    </xf>
    <xf numFmtId="0" fontId="22" fillId="0" borderId="199" xfId="0" applyFont="1" applyBorder="1" applyAlignment="1">
      <alignment horizontal="center" vertical="center" wrapText="1"/>
    </xf>
    <xf numFmtId="0" fontId="22" fillId="0" borderId="189" xfId="0" applyFont="1" applyBorder="1" applyAlignment="1">
      <alignment horizontal="center" vertical="center" wrapText="1"/>
    </xf>
    <xf numFmtId="0" fontId="22" fillId="0" borderId="11" xfId="0" applyFont="1" applyBorder="1" applyAlignment="1">
      <alignment horizontal="center" vertical="center" wrapText="1"/>
    </xf>
    <xf numFmtId="0" fontId="37" fillId="8" borderId="21" xfId="0" applyFont="1" applyFill="1" applyBorder="1" applyAlignment="1">
      <alignment horizontal="center" vertical="center" wrapText="1"/>
    </xf>
    <xf numFmtId="0" fontId="22" fillId="0" borderId="226" xfId="0" applyFont="1" applyBorder="1" applyAlignment="1">
      <alignment horizontal="center" vertical="center" wrapText="1"/>
    </xf>
    <xf numFmtId="0" fontId="22" fillId="0" borderId="227" xfId="0" applyFont="1" applyBorder="1" applyAlignment="1">
      <alignment horizontal="center" vertical="center" wrapText="1"/>
    </xf>
    <xf numFmtId="0" fontId="22" fillId="0" borderId="228" xfId="0" applyFont="1" applyBorder="1" applyAlignment="1">
      <alignment horizontal="center" vertical="center" wrapText="1"/>
    </xf>
    <xf numFmtId="0" fontId="22" fillId="0" borderId="232" xfId="0" applyFont="1" applyBorder="1" applyAlignment="1">
      <alignment horizontal="center" vertical="center" wrapText="1"/>
    </xf>
    <xf numFmtId="0" fontId="22" fillId="0" borderId="176" xfId="0" applyFont="1" applyBorder="1" applyAlignment="1">
      <alignment horizontal="center" vertical="center" wrapText="1"/>
    </xf>
    <xf numFmtId="0" fontId="22" fillId="0" borderId="177" xfId="0" applyFont="1" applyBorder="1" applyAlignment="1">
      <alignment horizontal="center" vertical="center" wrapText="1"/>
    </xf>
    <xf numFmtId="0" fontId="22" fillId="0" borderId="178" xfId="0" applyFont="1" applyBorder="1" applyAlignment="1">
      <alignment horizontal="center" vertical="center" wrapText="1"/>
    </xf>
    <xf numFmtId="0" fontId="22" fillId="0" borderId="183" xfId="0" applyFont="1" applyBorder="1" applyAlignment="1">
      <alignment horizontal="center" vertical="center"/>
    </xf>
    <xf numFmtId="0" fontId="22" fillId="0" borderId="184" xfId="0" applyFont="1" applyBorder="1" applyAlignment="1">
      <alignment horizontal="center" vertical="center" wrapText="1"/>
    </xf>
    <xf numFmtId="0" fontId="22" fillId="0" borderId="162" xfId="0" applyFont="1" applyBorder="1" applyAlignment="1">
      <alignment horizontal="center" vertical="center" wrapText="1"/>
    </xf>
    <xf numFmtId="0" fontId="22" fillId="0" borderId="164" xfId="0" applyFont="1" applyBorder="1" applyAlignment="1">
      <alignment horizontal="center" vertical="center" wrapText="1"/>
    </xf>
    <xf numFmtId="0" fontId="22" fillId="0" borderId="167" xfId="0" applyFont="1" applyBorder="1" applyAlignment="1">
      <alignment horizontal="center" vertical="center" wrapText="1"/>
    </xf>
    <xf numFmtId="0" fontId="22" fillId="0" borderId="179" xfId="0" applyFont="1" applyBorder="1" applyAlignment="1">
      <alignment horizontal="center" vertical="center" wrapText="1"/>
    </xf>
    <xf numFmtId="0" fontId="22" fillId="0" borderId="223" xfId="0" applyFont="1" applyBorder="1" applyAlignment="1">
      <alignment horizontal="center" vertical="center" wrapText="1"/>
    </xf>
    <xf numFmtId="0" fontId="22" fillId="0" borderId="132" xfId="0" applyFont="1" applyBorder="1" applyAlignment="1">
      <alignment horizontal="center" vertical="center" wrapText="1"/>
    </xf>
    <xf numFmtId="0" fontId="22" fillId="0" borderId="128" xfId="0" applyFont="1" applyBorder="1" applyAlignment="1">
      <alignment horizontal="center" vertical="center" wrapText="1"/>
    </xf>
    <xf numFmtId="0" fontId="22" fillId="0" borderId="145" xfId="0" applyFont="1" applyBorder="1" applyAlignment="1">
      <alignment horizontal="center" vertical="center" wrapText="1"/>
    </xf>
    <xf numFmtId="0" fontId="22" fillId="0" borderId="157" xfId="0" applyFont="1" applyBorder="1" applyAlignment="1">
      <alignment horizontal="center" vertical="center" wrapText="1"/>
    </xf>
    <xf numFmtId="0" fontId="22" fillId="0" borderId="142" xfId="0" applyFont="1" applyBorder="1" applyAlignment="1">
      <alignment horizontal="center" vertical="center" wrapText="1"/>
    </xf>
    <xf numFmtId="0" fontId="22" fillId="0" borderId="161" xfId="0" applyFont="1" applyBorder="1" applyAlignment="1">
      <alignment horizontal="center" vertical="center" wrapText="1"/>
    </xf>
    <xf numFmtId="0" fontId="22" fillId="0" borderId="156" xfId="0" applyFont="1" applyBorder="1" applyAlignment="1">
      <alignment horizontal="center" vertical="center" wrapText="1"/>
    </xf>
    <xf numFmtId="0" fontId="22" fillId="0" borderId="159" xfId="0" applyFont="1" applyBorder="1" applyAlignment="1">
      <alignment horizontal="center" vertical="center" wrapText="1"/>
    </xf>
    <xf numFmtId="0" fontId="22" fillId="0" borderId="160" xfId="0" applyFont="1" applyBorder="1" applyAlignment="1">
      <alignment horizontal="center" vertical="center" wrapText="1"/>
    </xf>
    <xf numFmtId="0" fontId="22" fillId="0" borderId="130" xfId="0" applyFont="1" applyBorder="1" applyAlignment="1">
      <alignment horizontal="center" vertical="center" wrapText="1"/>
    </xf>
    <xf numFmtId="0" fontId="22" fillId="0" borderId="153" xfId="0" applyFont="1" applyBorder="1" applyAlignment="1">
      <alignment horizontal="center" vertical="center" wrapText="1"/>
    </xf>
    <xf numFmtId="0" fontId="22" fillId="0" borderId="154" xfId="0" applyFont="1" applyBorder="1" applyAlignment="1">
      <alignment horizontal="center" vertical="center" wrapText="1"/>
    </xf>
    <xf numFmtId="0" fontId="22" fillId="0" borderId="155" xfId="0" applyFont="1" applyBorder="1" applyAlignment="1">
      <alignment horizontal="center" vertical="center" wrapText="1"/>
    </xf>
    <xf numFmtId="0" fontId="22" fillId="0" borderId="138" xfId="0" applyFont="1" applyBorder="1" applyAlignment="1">
      <alignment horizontal="center" vertical="center"/>
    </xf>
    <xf numFmtId="0" fontId="22" fillId="0" borderId="44" xfId="0" applyFont="1" applyBorder="1" applyAlignment="1">
      <alignment horizontal="center" vertical="center"/>
    </xf>
    <xf numFmtId="0" fontId="22" fillId="0" borderId="136" xfId="0" applyFont="1" applyBorder="1" applyAlignment="1">
      <alignment horizontal="center" vertical="center"/>
    </xf>
    <xf numFmtId="0" fontId="22" fillId="0" borderId="138" xfId="0" applyFont="1" applyBorder="1" applyAlignment="1">
      <alignment horizontal="center" vertical="center" wrapText="1"/>
    </xf>
    <xf numFmtId="0" fontId="22" fillId="0" borderId="129" xfId="0" applyFont="1" applyBorder="1" applyAlignment="1">
      <alignment horizontal="center" vertical="center" wrapText="1"/>
    </xf>
    <xf numFmtId="0" fontId="22" fillId="0" borderId="135" xfId="0" applyFont="1" applyBorder="1" applyAlignment="1">
      <alignment horizontal="center" vertical="center" wrapText="1"/>
    </xf>
    <xf numFmtId="0" fontId="22" fillId="0" borderId="216" xfId="0" applyFont="1" applyBorder="1" applyAlignment="1">
      <alignment horizontal="center" vertical="center" wrapText="1"/>
    </xf>
    <xf numFmtId="0" fontId="22" fillId="0" borderId="218" xfId="0" applyFont="1" applyBorder="1" applyAlignment="1">
      <alignment horizontal="center" vertical="center" wrapText="1"/>
    </xf>
    <xf numFmtId="0" fontId="22" fillId="0" borderId="222" xfId="0" applyFont="1" applyBorder="1" applyAlignment="1">
      <alignment horizontal="center" vertical="center" wrapText="1"/>
    </xf>
    <xf numFmtId="0" fontId="22" fillId="0" borderId="224" xfId="0" applyFont="1" applyBorder="1" applyAlignment="1">
      <alignment horizontal="center" vertical="center" wrapText="1"/>
    </xf>
    <xf numFmtId="0" fontId="22" fillId="0" borderId="225" xfId="0" applyFont="1" applyBorder="1" applyAlignment="1">
      <alignment horizontal="center" vertical="center" wrapText="1"/>
    </xf>
    <xf numFmtId="0" fontId="22" fillId="0" borderId="201" xfId="0" applyFont="1" applyBorder="1" applyAlignment="1">
      <alignment horizontal="center" vertical="center" wrapText="1"/>
    </xf>
    <xf numFmtId="0" fontId="22" fillId="0" borderId="206" xfId="0" applyFont="1" applyBorder="1" applyAlignment="1">
      <alignment horizontal="center" vertical="center" wrapText="1"/>
    </xf>
    <xf numFmtId="0" fontId="22" fillId="0" borderId="230" xfId="0" applyFont="1" applyBorder="1" applyAlignment="1">
      <alignment horizontal="center" vertical="center" wrapText="1"/>
    </xf>
    <xf numFmtId="0" fontId="22" fillId="0" borderId="231" xfId="0" applyFont="1" applyBorder="1" applyAlignment="1">
      <alignment horizontal="center" vertical="center" wrapText="1"/>
    </xf>
    <xf numFmtId="0" fontId="22" fillId="0" borderId="146" xfId="0" applyFont="1" applyBorder="1" applyAlignment="1">
      <alignment horizontal="center" vertical="center" wrapText="1"/>
    </xf>
    <xf numFmtId="0" fontId="22" fillId="0" borderId="148" xfId="0" applyFont="1" applyBorder="1" applyAlignment="1">
      <alignment horizontal="center" vertical="center" wrapText="1"/>
    </xf>
    <xf numFmtId="0" fontId="22" fillId="0" borderId="149" xfId="0" applyFont="1" applyBorder="1" applyAlignment="1">
      <alignment horizontal="center" vertical="center" wrapText="1"/>
    </xf>
    <xf numFmtId="0" fontId="22" fillId="0" borderId="126" xfId="0" applyFont="1" applyBorder="1" applyAlignment="1">
      <alignment horizontal="center" vertical="center"/>
    </xf>
    <xf numFmtId="0" fontId="22" fillId="0" borderId="150" xfId="0" applyFont="1" applyBorder="1" applyAlignment="1">
      <alignment horizontal="center" vertical="center"/>
    </xf>
    <xf numFmtId="0" fontId="22" fillId="0" borderId="126" xfId="0" applyFont="1" applyBorder="1" applyAlignment="1">
      <alignment horizontal="center" vertical="center" wrapText="1"/>
    </xf>
    <xf numFmtId="0" fontId="22" fillId="0" borderId="127" xfId="0" applyFont="1" applyBorder="1" applyAlignment="1">
      <alignment horizontal="center" vertical="center" wrapText="1"/>
    </xf>
    <xf numFmtId="0" fontId="22" fillId="0" borderId="131" xfId="0" applyFont="1" applyBorder="1" applyAlignment="1">
      <alignment horizontal="center" vertical="center" wrapText="1"/>
    </xf>
    <xf numFmtId="0" fontId="22" fillId="0" borderId="208" xfId="0" applyFont="1" applyBorder="1" applyAlignment="1">
      <alignment horizontal="center" vertical="center" wrapText="1"/>
    </xf>
    <xf numFmtId="0" fontId="22" fillId="0" borderId="209" xfId="0" applyFont="1" applyBorder="1" applyAlignment="1">
      <alignment horizontal="center" vertical="center" wrapText="1"/>
    </xf>
    <xf numFmtId="0" fontId="22" fillId="0" borderId="210" xfId="0" applyFont="1" applyBorder="1" applyAlignment="1">
      <alignment horizontal="center" vertical="center" wrapText="1"/>
    </xf>
    <xf numFmtId="0" fontId="22" fillId="0" borderId="163" xfId="0" applyFont="1" applyBorder="1" applyAlignment="1">
      <alignment horizontal="center" vertical="center" wrapText="1"/>
    </xf>
    <xf numFmtId="0" fontId="22" fillId="0" borderId="170" xfId="0" applyFont="1" applyBorder="1" applyAlignment="1">
      <alignment horizontal="center" vertical="center" wrapText="1"/>
    </xf>
    <xf numFmtId="9" fontId="6" fillId="0" borderId="44" xfId="2" applyFont="1" applyFill="1" applyBorder="1" applyAlignment="1">
      <alignment horizontal="center" vertical="center"/>
    </xf>
    <xf numFmtId="0" fontId="24" fillId="6" borderId="44" xfId="0" applyFont="1" applyFill="1" applyBorder="1" applyAlignment="1">
      <alignment horizontal="center" vertical="center"/>
    </xf>
    <xf numFmtId="0" fontId="0" fillId="0" borderId="0" xfId="0" applyAlignment="1">
      <alignment horizontal="center"/>
    </xf>
    <xf numFmtId="0" fontId="23" fillId="0" borderId="2" xfId="0" applyFont="1" applyBorder="1" applyAlignment="1">
      <alignment horizontal="center" vertical="center"/>
    </xf>
    <xf numFmtId="0" fontId="37" fillId="8" borderId="2" xfId="0" applyFont="1" applyFill="1" applyBorder="1" applyAlignment="1">
      <alignment horizontal="center" vertical="center"/>
    </xf>
    <xf numFmtId="0" fontId="1" fillId="0" borderId="278" xfId="0" applyFont="1" applyBorder="1" applyAlignment="1">
      <alignment horizontal="center" vertical="center" wrapText="1"/>
    </xf>
    <xf numFmtId="0" fontId="21" fillId="0" borderId="11" xfId="0" applyFont="1" applyBorder="1" applyAlignment="1">
      <alignment horizontal="center" vertical="center"/>
    </xf>
    <xf numFmtId="0" fontId="21" fillId="0" borderId="15" xfId="0" applyFont="1" applyBorder="1" applyAlignment="1">
      <alignment horizontal="center" vertical="center"/>
    </xf>
    <xf numFmtId="0" fontId="21" fillId="0" borderId="18" xfId="0" applyFont="1" applyBorder="1" applyAlignment="1">
      <alignment horizontal="center" vertical="center"/>
    </xf>
    <xf numFmtId="0" fontId="21" fillId="0" borderId="0" xfId="0" applyFont="1" applyAlignment="1">
      <alignment horizontal="left" wrapText="1"/>
    </xf>
    <xf numFmtId="0" fontId="6" fillId="0" borderId="0" xfId="0" applyFont="1" applyBorder="1" applyAlignment="1">
      <alignment horizontal="center" vertical="center" wrapText="1"/>
    </xf>
    <xf numFmtId="0" fontId="1" fillId="0" borderId="0" xfId="0" applyFont="1" applyBorder="1" applyAlignment="1">
      <alignment horizontal="center" vertical="center" wrapText="1"/>
    </xf>
    <xf numFmtId="0" fontId="6" fillId="0" borderId="0" xfId="0" applyFont="1" applyBorder="1" applyAlignment="1">
      <alignment horizontal="center" vertical="center"/>
    </xf>
    <xf numFmtId="0" fontId="21" fillId="0" borderId="0" xfId="0" applyFont="1" applyBorder="1" applyAlignment="1">
      <alignment horizontal="center" vertical="center"/>
    </xf>
    <xf numFmtId="0" fontId="72" fillId="0" borderId="0" xfId="0" applyFont="1" applyBorder="1" applyAlignment="1">
      <alignment horizontal="center" vertical="center" wrapText="1"/>
    </xf>
    <xf numFmtId="0" fontId="21" fillId="0" borderId="262" xfId="0" applyFont="1" applyBorder="1" applyAlignment="1">
      <alignment horizontal="center" vertical="center" wrapText="1"/>
    </xf>
    <xf numFmtId="0" fontId="21" fillId="0" borderId="263" xfId="0" applyFont="1" applyBorder="1" applyAlignment="1">
      <alignment horizontal="center" vertical="center" wrapText="1"/>
    </xf>
    <xf numFmtId="0" fontId="6" fillId="0" borderId="282" xfId="0" applyFont="1" applyBorder="1" applyAlignment="1">
      <alignment horizontal="center" vertical="center" wrapText="1"/>
    </xf>
    <xf numFmtId="0" fontId="0" fillId="0" borderId="249" xfId="0" applyBorder="1" applyAlignment="1">
      <alignment horizontal="center" vertical="center" wrapText="1"/>
    </xf>
    <xf numFmtId="0" fontId="1" fillId="0" borderId="279" xfId="0" applyFont="1" applyBorder="1" applyAlignment="1">
      <alignment horizontal="center" vertical="center" wrapText="1"/>
    </xf>
    <xf numFmtId="0" fontId="1" fillId="0" borderId="280" xfId="0" applyFont="1" applyBorder="1" applyAlignment="1">
      <alignment horizontal="center" vertical="center" wrapText="1"/>
    </xf>
    <xf numFmtId="0" fontId="1" fillId="0" borderId="281" xfId="0" applyFont="1" applyBorder="1" applyAlignment="1">
      <alignment horizontal="center" vertical="center" wrapText="1"/>
    </xf>
    <xf numFmtId="0" fontId="6" fillId="0" borderId="44" xfId="0" applyFont="1" applyBorder="1" applyAlignment="1">
      <alignment horizontal="left" vertical="center" wrapText="1"/>
    </xf>
    <xf numFmtId="0" fontId="21" fillId="0" borderId="44" xfId="0" applyFont="1" applyBorder="1" applyAlignment="1">
      <alignment horizontal="left" vertical="center" wrapText="1"/>
    </xf>
  </cellXfs>
  <cellStyles count="57">
    <cellStyle name="20% - Accent1" xfId="29" builtinId="30" customBuiltin="1"/>
    <cellStyle name="20% - Accent2" xfId="32" builtinId="34" customBuiltin="1"/>
    <cellStyle name="20% - Accent3" xfId="35" builtinId="38" customBuiltin="1"/>
    <cellStyle name="20% - Accent4" xfId="38" builtinId="42" customBuiltin="1"/>
    <cellStyle name="20% - Accent5" xfId="41" builtinId="46" customBuiltin="1"/>
    <cellStyle name="20% - Accent6" xfId="44" builtinId="50" customBuiltin="1"/>
    <cellStyle name="40% - Accent1" xfId="30" builtinId="31" customBuiltin="1"/>
    <cellStyle name="40% - Accent2" xfId="33" builtinId="35" customBuiltin="1"/>
    <cellStyle name="40% - Accent3" xfId="36" builtinId="39" customBuiltin="1"/>
    <cellStyle name="40% - Accent4" xfId="39" builtinId="43" customBuiltin="1"/>
    <cellStyle name="40% - Accent5" xfId="42" builtinId="47" customBuiltin="1"/>
    <cellStyle name="40% - Accent6" xfId="45" builtinId="51" customBuiltin="1"/>
    <cellStyle name="60% - Accent1 2" xfId="48" xr:uid="{742F182D-DE19-4ABD-8125-542911AC2871}"/>
    <cellStyle name="60% - Accent2 2" xfId="49" xr:uid="{C203D7A7-4D1E-4E4D-9A55-425F304335D3}"/>
    <cellStyle name="60% - Accent3 2" xfId="50" xr:uid="{D575A5F1-76FC-4DEE-A89E-DFDABCBF86AA}"/>
    <cellStyle name="60% - Accent4 2" xfId="51" xr:uid="{D57D9030-641B-49DF-B44E-F0A7AC7C8BB7}"/>
    <cellStyle name="60% - Accent5 2" xfId="52" xr:uid="{EA6BFE8E-04CA-4DDE-A801-C5177F36DCFD}"/>
    <cellStyle name="60% - Accent6 2" xfId="53" xr:uid="{B263CC10-573D-4AC3-9866-0BC54A3DA634}"/>
    <cellStyle name="Accent1" xfId="28" builtinId="29" customBuiltin="1"/>
    <cellStyle name="Accent2" xfId="31" builtinId="33" customBuiltin="1"/>
    <cellStyle name="Accent3" xfId="34" builtinId="37" customBuiltin="1"/>
    <cellStyle name="Accent4" xfId="37" builtinId="41" customBuiltin="1"/>
    <cellStyle name="Accent5" xfId="40" builtinId="45" customBuiltin="1"/>
    <cellStyle name="Accent6" xfId="43" builtinId="49" customBuiltin="1"/>
    <cellStyle name="Bad" xfId="18" builtinId="27" customBuiltin="1"/>
    <cellStyle name="Calculation" xfId="21" builtinId="22" customBuiltin="1"/>
    <cellStyle name="Check Cell" xfId="23" builtinId="23" customBuiltin="1"/>
    <cellStyle name="Comma" xfId="6" builtinId="3"/>
    <cellStyle name="Explanatory Text" xfId="26" builtinId="53" customBuiltin="1"/>
    <cellStyle name="Good" xfId="17" builtinId="26" customBuiltin="1"/>
    <cellStyle name="Heading 1" xfId="13" builtinId="16" customBuiltin="1"/>
    <cellStyle name="Heading 2" xfId="14" builtinId="17" customBuiltin="1"/>
    <cellStyle name="Heading 3" xfId="15" builtinId="18" customBuiltin="1"/>
    <cellStyle name="Heading 4" xfId="16" builtinId="19" customBuiltin="1"/>
    <cellStyle name="Hyperlink" xfId="5" builtinId="8"/>
    <cellStyle name="Hyperlink 2" xfId="10" xr:uid="{10C1E3C0-F46B-4E25-BD9A-EE5D62F88FF2}"/>
    <cellStyle name="Input" xfId="19" builtinId="20" customBuiltin="1"/>
    <cellStyle name="Linked Cell" xfId="22" builtinId="24" customBuiltin="1"/>
    <cellStyle name="Neutral 2" xfId="47" xr:uid="{65990A78-3418-4385-8A90-6596C12444EC}"/>
    <cellStyle name="Normal" xfId="0" builtinId="0"/>
    <cellStyle name="Normal 2" xfId="3" xr:uid="{E38C2638-0821-4BB2-9C33-A89D3950ADA6}"/>
    <cellStyle name="Normal 2 2" xfId="4" xr:uid="{7604919E-E68F-4366-A693-6A7B8B8DA661}"/>
    <cellStyle name="Normal 2 3" xfId="9" xr:uid="{8A1E39CD-7ABA-4D79-A464-67010D1209C1}"/>
    <cellStyle name="Normal 2 4" xfId="55" xr:uid="{AE4B3509-A26F-46BA-8AEA-0889CC1E7DEC}"/>
    <cellStyle name="Normal 3" xfId="7" xr:uid="{1C10DAE4-4F9C-4E19-81E4-5574511A6741}"/>
    <cellStyle name="Normal 4" xfId="11" xr:uid="{43272557-B37F-4996-BC18-AA3EDEAFA379}"/>
    <cellStyle name="Normal 5" xfId="12" xr:uid="{642BE191-BE2F-4847-8420-1C59B95E270E}"/>
    <cellStyle name="Normal 6" xfId="54" xr:uid="{40F62795-0E60-4B52-B70B-B046DFB737FF}"/>
    <cellStyle name="Normal 7" xfId="56" xr:uid="{A02933B1-F42F-4332-8C21-540DD3519A6B}"/>
    <cellStyle name="Normal_Prototype_Scorecard-LgOffice-2008-03-13" xfId="1" xr:uid="{F839F8A1-86E5-4008-9801-0F032E8A3317}"/>
    <cellStyle name="Note" xfId="25" builtinId="10" customBuiltin="1"/>
    <cellStyle name="Output" xfId="20" builtinId="21" customBuiltin="1"/>
    <cellStyle name="Percent" xfId="2" builtinId="5"/>
    <cellStyle name="Percent 2" xfId="8" xr:uid="{CB789C3E-741F-4464-8065-385A956411E6}"/>
    <cellStyle name="Title 2" xfId="46" xr:uid="{3F21AD8F-936B-4DFB-B4CB-549B9F2D7A8B}"/>
    <cellStyle name="Total" xfId="27" builtinId="25" customBuiltin="1"/>
    <cellStyle name="Warning Text" xfId="24" builtinId="11" customBuiltin="1"/>
  </cellStyles>
  <dxfs count="7">
    <dxf>
      <font>
        <b/>
        <i val="0"/>
      </font>
      <fill>
        <patternFill>
          <bgColor theme="0" tint="-0.14996795556505021"/>
        </patternFill>
      </fill>
      <border>
        <left style="thin">
          <color auto="1"/>
        </left>
        <right style="thin">
          <color auto="1"/>
        </right>
        <top style="thin">
          <color auto="1"/>
        </top>
        <bottom style="thin">
          <color auto="1"/>
        </bottom>
        <vertical/>
        <horizontal style="thin">
          <color auto="1"/>
        </horizontal>
      </border>
    </dxf>
    <dxf>
      <font>
        <b/>
        <i val="0"/>
      </font>
      <fill>
        <patternFill>
          <bgColor theme="0" tint="-0.14996795556505021"/>
        </patternFill>
      </fill>
      <border>
        <left style="thin">
          <color auto="1"/>
        </left>
        <right style="thin">
          <color auto="1"/>
        </right>
        <top style="thin">
          <color auto="1"/>
        </top>
        <bottom style="thin">
          <color auto="1"/>
        </bottom>
        <vertical style="thin">
          <color auto="1"/>
        </vertical>
        <horizontal style="thin">
          <color auto="1"/>
        </horizontal>
      </border>
    </dxf>
    <dxf>
      <font>
        <b/>
        <i val="0"/>
      </font>
    </dxf>
    <dxf>
      <font>
        <b/>
        <i val="0"/>
      </font>
    </dxf>
    <dxf>
      <font>
        <b/>
        <i val="0"/>
      </font>
      <border diagonalDown="1">
        <left style="thin">
          <color auto="1"/>
        </left>
        <right style="thin">
          <color auto="1"/>
        </right>
        <top style="thin">
          <color auto="1"/>
        </top>
        <bottom style="thin">
          <color auto="1"/>
        </bottom>
        <diagonal style="thin">
          <color auto="1"/>
        </diagonal>
        <vertical style="thin">
          <color auto="1"/>
        </vertical>
        <horizontal style="thin">
          <color auto="1"/>
        </horizontal>
      </border>
    </dxf>
    <dxf>
      <font>
        <b/>
        <i val="0"/>
      </font>
      <fill>
        <patternFill>
          <bgColor theme="0" tint="-0.14996795556505021"/>
        </patternFill>
      </fill>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border>
    </dxf>
  </dxfs>
  <tableStyles count="1" defaultTableStyle="TableStyleMedium2" defaultPivotStyle="PivotStyleLight16">
    <tableStyle name="PivotTable Style_MFA1" table="0" count="7" xr9:uid="{14E84246-083A-4927-8273-A88944943105}">
      <tableStyleElement type="wholeTable" dxfId="6"/>
      <tableStyleElement type="headerRow" dxfId="5"/>
      <tableStyleElement type="totalRow" dxfId="4"/>
      <tableStyleElement type="firstColumn" dxfId="3"/>
      <tableStyleElement type="lastColumn" dxfId="2"/>
      <tableStyleElement type="pageFieldLabels" dxfId="1"/>
      <tableStyleElement type="pageFieldValues" dxfId="0"/>
    </tableStyle>
  </tableStyles>
  <colors>
    <mruColors>
      <color rgb="FFA6A6A6"/>
      <color rgb="FF8F8F8F"/>
      <color rgb="FF808080"/>
      <color rgb="FFF2F2F2"/>
      <color rgb="FF0000CC"/>
      <color rgb="FFFF9900"/>
      <color rgb="FFCCCCFF"/>
      <color rgb="FF8238BA"/>
      <color rgb="FFFFEBCD"/>
      <color rgb="FF002F8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06/relationships/rdRichValueTypes" Target="richData/rdRichValueTyp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Structure" Target="richData/rdrichvaluestructure.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06/relationships/rdRichValue" Target="richData/rdrichvalue.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22/10/relationships/richValueRel" Target="richData/richValueRel.xml"/><Relationship Id="rId27"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Schedules!$C$7</c:f>
          <c:strCache>
            <c:ptCount val="1"/>
            <c:pt idx="0">
              <c:v>Lights</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Schedules!$E$7</c:f>
              <c:strCache>
                <c:ptCount val="1"/>
                <c:pt idx="0">
                  <c:v>Weekday</c:v>
                </c:pt>
              </c:strCache>
            </c:strRef>
          </c:tx>
          <c:spPr>
            <a:ln w="28575" cap="rnd">
              <a:solidFill>
                <a:schemeClr val="accent1"/>
              </a:solidFill>
              <a:round/>
            </a:ln>
            <a:effectLst/>
          </c:spPr>
          <c:marker>
            <c:symbol val="none"/>
          </c:marker>
          <c:val>
            <c:numRef>
              <c:f>Schedules!$F$7:$AC$7</c:f>
              <c:numCache>
                <c:formatCode>0.00</c:formatCode>
                <c:ptCount val="24"/>
                <c:pt idx="0">
                  <c:v>0.05</c:v>
                </c:pt>
                <c:pt idx="1">
                  <c:v>0.05</c:v>
                </c:pt>
                <c:pt idx="2">
                  <c:v>0.05</c:v>
                </c:pt>
                <c:pt idx="3">
                  <c:v>0.05</c:v>
                </c:pt>
                <c:pt idx="4">
                  <c:v>0.05</c:v>
                </c:pt>
                <c:pt idx="5">
                  <c:v>0.45</c:v>
                </c:pt>
                <c:pt idx="6">
                  <c:v>0.55000000000000004</c:v>
                </c:pt>
                <c:pt idx="7">
                  <c:v>0.55000000000000004</c:v>
                </c:pt>
                <c:pt idx="8">
                  <c:v>0.55000000000000004</c:v>
                </c:pt>
                <c:pt idx="9">
                  <c:v>0.55000000000000004</c:v>
                </c:pt>
                <c:pt idx="10">
                  <c:v>0.55000000000000004</c:v>
                </c:pt>
                <c:pt idx="11">
                  <c:v>0.55000000000000004</c:v>
                </c:pt>
                <c:pt idx="12">
                  <c:v>0.55000000000000004</c:v>
                </c:pt>
                <c:pt idx="13">
                  <c:v>0.55000000000000004</c:v>
                </c:pt>
                <c:pt idx="14">
                  <c:v>0.55000000000000004</c:v>
                </c:pt>
                <c:pt idx="15">
                  <c:v>0.55000000000000004</c:v>
                </c:pt>
                <c:pt idx="16">
                  <c:v>0.3</c:v>
                </c:pt>
                <c:pt idx="17">
                  <c:v>0.05</c:v>
                </c:pt>
                <c:pt idx="18">
                  <c:v>0.05</c:v>
                </c:pt>
                <c:pt idx="19">
                  <c:v>0.05</c:v>
                </c:pt>
                <c:pt idx="20">
                  <c:v>0.05</c:v>
                </c:pt>
                <c:pt idx="21">
                  <c:v>0.05</c:v>
                </c:pt>
                <c:pt idx="22">
                  <c:v>0.05</c:v>
                </c:pt>
                <c:pt idx="23">
                  <c:v>0.05</c:v>
                </c:pt>
              </c:numCache>
            </c:numRef>
          </c:val>
          <c:smooth val="0"/>
          <c:extLst>
            <c:ext xmlns:c16="http://schemas.microsoft.com/office/drawing/2014/chart" uri="{C3380CC4-5D6E-409C-BE32-E72D297353CC}">
              <c16:uniqueId val="{00000000-2801-4868-A297-9CE8C024DA05}"/>
            </c:ext>
          </c:extLst>
        </c:ser>
        <c:ser>
          <c:idx val="1"/>
          <c:order val="1"/>
          <c:tx>
            <c:strRef>
              <c:f>Schedules!$E$8</c:f>
              <c:strCache>
                <c:ptCount val="1"/>
                <c:pt idx="0">
                  <c:v>Saturday</c:v>
                </c:pt>
              </c:strCache>
            </c:strRef>
          </c:tx>
          <c:spPr>
            <a:ln w="28575" cap="rnd">
              <a:solidFill>
                <a:schemeClr val="accent2"/>
              </a:solidFill>
              <a:round/>
            </a:ln>
            <a:effectLst/>
          </c:spPr>
          <c:marker>
            <c:symbol val="none"/>
          </c:marker>
          <c:val>
            <c:numRef>
              <c:f>Schedules!$F$8:$AC$8</c:f>
              <c:numCache>
                <c:formatCode>0.00</c:formatCode>
                <c:ptCount val="24"/>
                <c:pt idx="0">
                  <c:v>0.05</c:v>
                </c:pt>
                <c:pt idx="1">
                  <c:v>0.05</c:v>
                </c:pt>
                <c:pt idx="2">
                  <c:v>0.05</c:v>
                </c:pt>
                <c:pt idx="3">
                  <c:v>0.05</c:v>
                </c:pt>
                <c:pt idx="4">
                  <c:v>0.05</c:v>
                </c:pt>
                <c:pt idx="5">
                  <c:v>0.45</c:v>
                </c:pt>
                <c:pt idx="6">
                  <c:v>0.55000000000000004</c:v>
                </c:pt>
                <c:pt idx="7">
                  <c:v>0.55000000000000004</c:v>
                </c:pt>
                <c:pt idx="8">
                  <c:v>0.55000000000000004</c:v>
                </c:pt>
                <c:pt idx="9">
                  <c:v>0.55000000000000004</c:v>
                </c:pt>
                <c:pt idx="10">
                  <c:v>0.55000000000000004</c:v>
                </c:pt>
                <c:pt idx="11">
                  <c:v>0.55000000000000004</c:v>
                </c:pt>
                <c:pt idx="12">
                  <c:v>0.55000000000000004</c:v>
                </c:pt>
                <c:pt idx="13">
                  <c:v>0.55000000000000004</c:v>
                </c:pt>
                <c:pt idx="14">
                  <c:v>0.55000000000000004</c:v>
                </c:pt>
                <c:pt idx="15">
                  <c:v>0.55000000000000004</c:v>
                </c:pt>
                <c:pt idx="16">
                  <c:v>0.3</c:v>
                </c:pt>
                <c:pt idx="17">
                  <c:v>0.05</c:v>
                </c:pt>
                <c:pt idx="18">
                  <c:v>0.05</c:v>
                </c:pt>
                <c:pt idx="19">
                  <c:v>0.05</c:v>
                </c:pt>
                <c:pt idx="20">
                  <c:v>0.05</c:v>
                </c:pt>
                <c:pt idx="21">
                  <c:v>0.05</c:v>
                </c:pt>
                <c:pt idx="22">
                  <c:v>0.05</c:v>
                </c:pt>
                <c:pt idx="23">
                  <c:v>0.05</c:v>
                </c:pt>
              </c:numCache>
            </c:numRef>
          </c:val>
          <c:smooth val="0"/>
          <c:extLst>
            <c:ext xmlns:c16="http://schemas.microsoft.com/office/drawing/2014/chart" uri="{C3380CC4-5D6E-409C-BE32-E72D297353CC}">
              <c16:uniqueId val="{00000001-2801-4868-A297-9CE8C024DA05}"/>
            </c:ext>
          </c:extLst>
        </c:ser>
        <c:ser>
          <c:idx val="2"/>
          <c:order val="2"/>
          <c:tx>
            <c:strRef>
              <c:f>Schedules!$E$9</c:f>
              <c:strCache>
                <c:ptCount val="1"/>
                <c:pt idx="0">
                  <c:v>Sunday</c:v>
                </c:pt>
              </c:strCache>
            </c:strRef>
          </c:tx>
          <c:spPr>
            <a:ln w="28575" cap="rnd">
              <a:solidFill>
                <a:schemeClr val="accent3"/>
              </a:solidFill>
              <a:round/>
            </a:ln>
            <a:effectLst/>
          </c:spPr>
          <c:marker>
            <c:symbol val="none"/>
          </c:marker>
          <c:val>
            <c:numRef>
              <c:f>Schedules!$F$9:$AC$9</c:f>
              <c:numCache>
                <c:formatCode>0.00</c:formatCode>
                <c:ptCount val="24"/>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numCache>
            </c:numRef>
          </c:val>
          <c:smooth val="0"/>
          <c:extLst>
            <c:ext xmlns:c16="http://schemas.microsoft.com/office/drawing/2014/chart" uri="{C3380CC4-5D6E-409C-BE32-E72D297353CC}">
              <c16:uniqueId val="{00000002-2801-4868-A297-9CE8C024DA05}"/>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Schedules!$C$10</c:f>
          <c:strCache>
            <c:ptCount val="1"/>
            <c:pt idx="0">
              <c:v>ElecEquipment</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c:f>
              <c:strCache>
                <c:ptCount val="1"/>
                <c:pt idx="0">
                  <c:v>Weekday</c:v>
                </c:pt>
              </c:strCache>
            </c:strRef>
          </c:tx>
          <c:spPr>
            <a:ln w="28575" cap="rnd">
              <a:solidFill>
                <a:schemeClr val="accent1"/>
              </a:solidFill>
              <a:round/>
            </a:ln>
            <a:effectLst/>
          </c:spPr>
          <c:marker>
            <c:symbol val="none"/>
          </c:marker>
          <c:val>
            <c:numRef>
              <c:f>Schedules!$F$10:$AC$10</c:f>
              <c:numCache>
                <c:formatCode>0.00</c:formatCode>
                <c:ptCount val="24"/>
                <c:pt idx="0">
                  <c:v>0.05</c:v>
                </c:pt>
                <c:pt idx="1">
                  <c:v>0.05</c:v>
                </c:pt>
                <c:pt idx="2">
                  <c:v>0.05</c:v>
                </c:pt>
                <c:pt idx="3">
                  <c:v>0.05</c:v>
                </c:pt>
                <c:pt idx="4">
                  <c:v>0.05</c:v>
                </c:pt>
                <c:pt idx="5">
                  <c:v>0.5</c:v>
                </c:pt>
                <c:pt idx="6">
                  <c:v>0.9</c:v>
                </c:pt>
                <c:pt idx="7">
                  <c:v>0.9</c:v>
                </c:pt>
                <c:pt idx="8">
                  <c:v>0.9</c:v>
                </c:pt>
                <c:pt idx="9">
                  <c:v>0.9</c:v>
                </c:pt>
                <c:pt idx="10">
                  <c:v>0.9</c:v>
                </c:pt>
                <c:pt idx="11">
                  <c:v>0.9</c:v>
                </c:pt>
                <c:pt idx="12">
                  <c:v>0.9</c:v>
                </c:pt>
                <c:pt idx="13">
                  <c:v>0.9</c:v>
                </c:pt>
                <c:pt idx="14">
                  <c:v>0.9</c:v>
                </c:pt>
                <c:pt idx="15">
                  <c:v>0.65</c:v>
                </c:pt>
                <c:pt idx="16">
                  <c:v>0.25</c:v>
                </c:pt>
                <c:pt idx="17">
                  <c:v>0.05</c:v>
                </c:pt>
                <c:pt idx="18">
                  <c:v>0.05</c:v>
                </c:pt>
                <c:pt idx="19">
                  <c:v>0.05</c:v>
                </c:pt>
                <c:pt idx="20">
                  <c:v>0.05</c:v>
                </c:pt>
                <c:pt idx="21">
                  <c:v>0.05</c:v>
                </c:pt>
                <c:pt idx="22">
                  <c:v>0.05</c:v>
                </c:pt>
                <c:pt idx="23">
                  <c:v>0.05</c:v>
                </c:pt>
              </c:numCache>
            </c:numRef>
          </c:val>
          <c:smooth val="0"/>
          <c:extLst>
            <c:ext xmlns:c16="http://schemas.microsoft.com/office/drawing/2014/chart" uri="{C3380CC4-5D6E-409C-BE32-E72D297353CC}">
              <c16:uniqueId val="{00000000-0748-4F4D-90B3-3FD2F8F642B0}"/>
            </c:ext>
          </c:extLst>
        </c:ser>
        <c:ser>
          <c:idx val="1"/>
          <c:order val="1"/>
          <c:tx>
            <c:strRef>
              <c:f>Schedules!$E$11</c:f>
              <c:strCache>
                <c:ptCount val="1"/>
                <c:pt idx="0">
                  <c:v>Saturday</c:v>
                </c:pt>
              </c:strCache>
            </c:strRef>
          </c:tx>
          <c:spPr>
            <a:ln w="28575" cap="rnd">
              <a:solidFill>
                <a:schemeClr val="accent2"/>
              </a:solidFill>
              <a:round/>
            </a:ln>
            <a:effectLst/>
          </c:spPr>
          <c:marker>
            <c:symbol val="none"/>
          </c:marker>
          <c:val>
            <c:numRef>
              <c:f>Schedules!$F$11:$AC$11</c:f>
              <c:numCache>
                <c:formatCode>0.00</c:formatCode>
                <c:ptCount val="24"/>
                <c:pt idx="0">
                  <c:v>0.05</c:v>
                </c:pt>
                <c:pt idx="1">
                  <c:v>0.05</c:v>
                </c:pt>
                <c:pt idx="2">
                  <c:v>0.05</c:v>
                </c:pt>
                <c:pt idx="3">
                  <c:v>0.05</c:v>
                </c:pt>
                <c:pt idx="4">
                  <c:v>0.05</c:v>
                </c:pt>
                <c:pt idx="5">
                  <c:v>0.5</c:v>
                </c:pt>
                <c:pt idx="6">
                  <c:v>0.9</c:v>
                </c:pt>
                <c:pt idx="7">
                  <c:v>0.9</c:v>
                </c:pt>
                <c:pt idx="8">
                  <c:v>0.9</c:v>
                </c:pt>
                <c:pt idx="9">
                  <c:v>0.9</c:v>
                </c:pt>
                <c:pt idx="10">
                  <c:v>0.9</c:v>
                </c:pt>
                <c:pt idx="11">
                  <c:v>0.9</c:v>
                </c:pt>
                <c:pt idx="12">
                  <c:v>0.9</c:v>
                </c:pt>
                <c:pt idx="13">
                  <c:v>0.9</c:v>
                </c:pt>
                <c:pt idx="14">
                  <c:v>0.9</c:v>
                </c:pt>
                <c:pt idx="15">
                  <c:v>0.65</c:v>
                </c:pt>
                <c:pt idx="16">
                  <c:v>0.25</c:v>
                </c:pt>
                <c:pt idx="17">
                  <c:v>0.05</c:v>
                </c:pt>
                <c:pt idx="18">
                  <c:v>0.05</c:v>
                </c:pt>
                <c:pt idx="19">
                  <c:v>0.05</c:v>
                </c:pt>
                <c:pt idx="20">
                  <c:v>0.05</c:v>
                </c:pt>
                <c:pt idx="21">
                  <c:v>0.05</c:v>
                </c:pt>
                <c:pt idx="22">
                  <c:v>0.05</c:v>
                </c:pt>
                <c:pt idx="23">
                  <c:v>0.05</c:v>
                </c:pt>
              </c:numCache>
            </c:numRef>
          </c:val>
          <c:smooth val="0"/>
          <c:extLst>
            <c:ext xmlns:c16="http://schemas.microsoft.com/office/drawing/2014/chart" uri="{C3380CC4-5D6E-409C-BE32-E72D297353CC}">
              <c16:uniqueId val="{00000001-0748-4F4D-90B3-3FD2F8F642B0}"/>
            </c:ext>
          </c:extLst>
        </c:ser>
        <c:ser>
          <c:idx val="2"/>
          <c:order val="2"/>
          <c:tx>
            <c:strRef>
              <c:f>Schedules!$E$12</c:f>
              <c:strCache>
                <c:ptCount val="1"/>
                <c:pt idx="0">
                  <c:v>Sunday</c:v>
                </c:pt>
              </c:strCache>
            </c:strRef>
          </c:tx>
          <c:spPr>
            <a:ln w="28575" cap="rnd">
              <a:solidFill>
                <a:schemeClr val="accent3"/>
              </a:solidFill>
              <a:round/>
            </a:ln>
            <a:effectLst/>
          </c:spPr>
          <c:marker>
            <c:symbol val="none"/>
          </c:marker>
          <c:val>
            <c:numRef>
              <c:f>Schedules!$F$12:$AC$12</c:f>
              <c:numCache>
                <c:formatCode>0.00</c:formatCode>
                <c:ptCount val="24"/>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numCache>
            </c:numRef>
          </c:val>
          <c:smooth val="0"/>
          <c:extLst>
            <c:ext xmlns:c16="http://schemas.microsoft.com/office/drawing/2014/chart" uri="{C3380CC4-5D6E-409C-BE32-E72D297353CC}">
              <c16:uniqueId val="{00000002-0748-4F4D-90B3-3FD2F8F642B0}"/>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Schedules!$C$60</c:f>
          <c:strCache>
            <c:ptCount val="1"/>
            <c:pt idx="0">
              <c:v>Lights</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Schedules!$E$60</c:f>
              <c:strCache>
                <c:ptCount val="1"/>
                <c:pt idx="0">
                  <c:v>Weekday</c:v>
                </c:pt>
              </c:strCache>
            </c:strRef>
          </c:tx>
          <c:spPr>
            <a:ln w="28575" cap="rnd">
              <a:solidFill>
                <a:schemeClr val="accent1"/>
              </a:solidFill>
              <a:round/>
            </a:ln>
            <a:effectLst/>
          </c:spPr>
          <c:marker>
            <c:symbol val="none"/>
          </c:marker>
          <c:val>
            <c:numRef>
              <c:f>Schedules!$F$60:$AC$60</c:f>
              <c:numCache>
                <c:formatCode>0.00</c:formatCode>
                <c:ptCount val="24"/>
                <c:pt idx="0">
                  <c:v>0.05</c:v>
                </c:pt>
                <c:pt idx="1">
                  <c:v>0.05</c:v>
                </c:pt>
                <c:pt idx="2">
                  <c:v>0.05</c:v>
                </c:pt>
                <c:pt idx="3">
                  <c:v>0.05</c:v>
                </c:pt>
                <c:pt idx="4">
                  <c:v>0.05</c:v>
                </c:pt>
                <c:pt idx="5">
                  <c:v>0.1</c:v>
                </c:pt>
                <c:pt idx="6">
                  <c:v>0.1</c:v>
                </c:pt>
                <c:pt idx="7">
                  <c:v>0.3</c:v>
                </c:pt>
                <c:pt idx="8">
                  <c:v>0.65</c:v>
                </c:pt>
                <c:pt idx="9">
                  <c:v>0.65</c:v>
                </c:pt>
                <c:pt idx="10">
                  <c:v>0.65</c:v>
                </c:pt>
                <c:pt idx="11">
                  <c:v>0.65</c:v>
                </c:pt>
                <c:pt idx="12">
                  <c:v>0.65</c:v>
                </c:pt>
                <c:pt idx="13">
                  <c:v>0.65</c:v>
                </c:pt>
                <c:pt idx="14">
                  <c:v>0.65</c:v>
                </c:pt>
                <c:pt idx="15">
                  <c:v>0.65</c:v>
                </c:pt>
                <c:pt idx="16">
                  <c:v>0.65</c:v>
                </c:pt>
                <c:pt idx="17">
                  <c:v>0.35</c:v>
                </c:pt>
                <c:pt idx="18">
                  <c:v>0.3</c:v>
                </c:pt>
                <c:pt idx="19">
                  <c:v>0.3</c:v>
                </c:pt>
                <c:pt idx="20">
                  <c:v>0.2</c:v>
                </c:pt>
                <c:pt idx="21">
                  <c:v>0.2</c:v>
                </c:pt>
                <c:pt idx="22">
                  <c:v>0.1</c:v>
                </c:pt>
                <c:pt idx="23">
                  <c:v>0.05</c:v>
                </c:pt>
              </c:numCache>
            </c:numRef>
          </c:val>
          <c:smooth val="0"/>
          <c:extLst>
            <c:ext xmlns:c16="http://schemas.microsoft.com/office/drawing/2014/chart" uri="{C3380CC4-5D6E-409C-BE32-E72D297353CC}">
              <c16:uniqueId val="{00000000-CDA0-47AB-BB9C-56C2B9BA9FF5}"/>
            </c:ext>
          </c:extLst>
        </c:ser>
        <c:ser>
          <c:idx val="1"/>
          <c:order val="1"/>
          <c:tx>
            <c:strRef>
              <c:f>Schedules!$E$61</c:f>
              <c:strCache>
                <c:ptCount val="1"/>
                <c:pt idx="0">
                  <c:v>Saturday</c:v>
                </c:pt>
              </c:strCache>
            </c:strRef>
          </c:tx>
          <c:spPr>
            <a:ln w="28575" cap="rnd">
              <a:solidFill>
                <a:schemeClr val="accent2"/>
              </a:solidFill>
              <a:round/>
            </a:ln>
            <a:effectLst/>
          </c:spPr>
          <c:marker>
            <c:symbol val="none"/>
          </c:marker>
          <c:val>
            <c:numRef>
              <c:f>Schedules!$F$61:$AC$61</c:f>
              <c:numCache>
                <c:formatCode>0.00</c:formatCode>
                <c:ptCount val="24"/>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numCache>
            </c:numRef>
          </c:val>
          <c:smooth val="0"/>
          <c:extLst>
            <c:ext xmlns:c16="http://schemas.microsoft.com/office/drawing/2014/chart" uri="{C3380CC4-5D6E-409C-BE32-E72D297353CC}">
              <c16:uniqueId val="{00000001-CDA0-47AB-BB9C-56C2B9BA9FF5}"/>
            </c:ext>
          </c:extLst>
        </c:ser>
        <c:ser>
          <c:idx val="2"/>
          <c:order val="2"/>
          <c:tx>
            <c:strRef>
              <c:f>Schedules!$E$62</c:f>
              <c:strCache>
                <c:ptCount val="1"/>
                <c:pt idx="0">
                  <c:v>Sunday</c:v>
                </c:pt>
              </c:strCache>
            </c:strRef>
          </c:tx>
          <c:spPr>
            <a:ln w="28575" cap="rnd">
              <a:solidFill>
                <a:schemeClr val="accent3"/>
              </a:solidFill>
              <a:round/>
            </a:ln>
            <a:effectLst/>
          </c:spPr>
          <c:marker>
            <c:symbol val="none"/>
          </c:marker>
          <c:val>
            <c:numRef>
              <c:f>Schedules!$F$62:$AC$62</c:f>
              <c:numCache>
                <c:formatCode>0.00</c:formatCode>
                <c:ptCount val="24"/>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numCache>
            </c:numRef>
          </c:val>
          <c:smooth val="0"/>
          <c:extLst>
            <c:ext xmlns:c16="http://schemas.microsoft.com/office/drawing/2014/chart" uri="{C3380CC4-5D6E-409C-BE32-E72D297353CC}">
              <c16:uniqueId val="{00000002-CDA0-47AB-BB9C-56C2B9BA9FF5}"/>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Schedules!$C$19</c:f>
          <c:strCache>
            <c:ptCount val="1"/>
            <c:pt idx="0">
              <c:v>Infiltration</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Schedules!$E$19</c:f>
              <c:strCache>
                <c:ptCount val="1"/>
                <c:pt idx="0">
                  <c:v>Weekday</c:v>
                </c:pt>
              </c:strCache>
            </c:strRef>
          </c:tx>
          <c:spPr>
            <a:ln w="28575" cap="rnd">
              <a:solidFill>
                <a:schemeClr val="accent1"/>
              </a:solidFill>
              <a:round/>
            </a:ln>
            <a:effectLst/>
          </c:spPr>
          <c:marker>
            <c:symbol val="none"/>
          </c:marker>
          <c:val>
            <c:numRef>
              <c:f>Schedules!$F$19:$AC$19</c:f>
              <c:numCache>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0-A267-4E1F-92B5-F569B6561890}"/>
            </c:ext>
          </c:extLst>
        </c:ser>
        <c:ser>
          <c:idx val="1"/>
          <c:order val="1"/>
          <c:tx>
            <c:strRef>
              <c:f>Schedules!$E$20</c:f>
              <c:strCache>
                <c:ptCount val="1"/>
                <c:pt idx="0">
                  <c:v>Saturday</c:v>
                </c:pt>
              </c:strCache>
            </c:strRef>
          </c:tx>
          <c:spPr>
            <a:ln w="28575" cap="rnd">
              <a:solidFill>
                <a:schemeClr val="accent2"/>
              </a:solidFill>
              <a:round/>
            </a:ln>
            <a:effectLst/>
          </c:spPr>
          <c:marker>
            <c:symbol val="none"/>
          </c:marker>
          <c:val>
            <c:numRef>
              <c:f>Schedules!$F$20:$AC$20</c:f>
              <c:numCache>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1-A267-4E1F-92B5-F569B6561890}"/>
            </c:ext>
          </c:extLst>
        </c:ser>
        <c:ser>
          <c:idx val="2"/>
          <c:order val="2"/>
          <c:tx>
            <c:strRef>
              <c:f>Schedules!$E$21</c:f>
              <c:strCache>
                <c:ptCount val="1"/>
                <c:pt idx="0">
                  <c:v>Sunday</c:v>
                </c:pt>
              </c:strCache>
            </c:strRef>
          </c:tx>
          <c:spPr>
            <a:ln w="28575" cap="rnd">
              <a:solidFill>
                <a:schemeClr val="accent3"/>
              </a:solidFill>
              <a:round/>
            </a:ln>
            <a:effectLst/>
          </c:spPr>
          <c:marker>
            <c:symbol val="none"/>
          </c:marker>
          <c:val>
            <c:numRef>
              <c:f>Schedules!$F$21:$AC$21</c:f>
              <c:numCache>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2-A267-4E1F-92B5-F569B6561890}"/>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Schedules!$C$13</c:f>
          <c:strCache>
            <c:ptCount val="1"/>
            <c:pt idx="0">
              <c:v>HVACAvail</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Schedules!$E$13</c:f>
              <c:strCache>
                <c:ptCount val="1"/>
                <c:pt idx="0">
                  <c:v>Weekday</c:v>
                </c:pt>
              </c:strCache>
            </c:strRef>
          </c:tx>
          <c:spPr>
            <a:ln w="28575" cap="rnd">
              <a:solidFill>
                <a:schemeClr val="accent1"/>
              </a:solidFill>
              <a:round/>
            </a:ln>
            <a:effectLst/>
          </c:spPr>
          <c:marker>
            <c:symbol val="none"/>
          </c:marker>
          <c:val>
            <c:numRef>
              <c:f>Schedules!$F$13:$AC$13</c:f>
              <c:numCache>
                <c:formatCode>0.00</c:formatCode>
                <c:ptCount val="24"/>
                <c:pt idx="0">
                  <c:v>0</c:v>
                </c:pt>
                <c:pt idx="1">
                  <c:v>0</c:v>
                </c:pt>
                <c:pt idx="2">
                  <c:v>0</c:v>
                </c:pt>
                <c:pt idx="3">
                  <c:v>0</c:v>
                </c:pt>
                <c:pt idx="4">
                  <c:v>1</c:v>
                </c:pt>
                <c:pt idx="5">
                  <c:v>1</c:v>
                </c:pt>
                <c:pt idx="6">
                  <c:v>1</c:v>
                </c:pt>
                <c:pt idx="7">
                  <c:v>1</c:v>
                </c:pt>
                <c:pt idx="8">
                  <c:v>1</c:v>
                </c:pt>
                <c:pt idx="9">
                  <c:v>1</c:v>
                </c:pt>
                <c:pt idx="10">
                  <c:v>1</c:v>
                </c:pt>
                <c:pt idx="11">
                  <c:v>1</c:v>
                </c:pt>
                <c:pt idx="12">
                  <c:v>1</c:v>
                </c:pt>
                <c:pt idx="13">
                  <c:v>1</c:v>
                </c:pt>
                <c:pt idx="14">
                  <c:v>1</c:v>
                </c:pt>
                <c:pt idx="15">
                  <c:v>1</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0-897E-40A6-ABDA-32B64FD7CDBB}"/>
            </c:ext>
          </c:extLst>
        </c:ser>
        <c:ser>
          <c:idx val="1"/>
          <c:order val="1"/>
          <c:tx>
            <c:strRef>
              <c:f>Schedules!$E$14</c:f>
              <c:strCache>
                <c:ptCount val="1"/>
                <c:pt idx="0">
                  <c:v>Saturday</c:v>
                </c:pt>
              </c:strCache>
            </c:strRef>
          </c:tx>
          <c:spPr>
            <a:ln w="28575" cap="rnd">
              <a:solidFill>
                <a:schemeClr val="accent2"/>
              </a:solidFill>
              <a:round/>
            </a:ln>
            <a:effectLst/>
          </c:spPr>
          <c:marker>
            <c:symbol val="none"/>
          </c:marker>
          <c:val>
            <c:numRef>
              <c:f>Schedules!$F$14:$AC$14</c:f>
              <c:numCache>
                <c:formatCode>0.00</c:formatCode>
                <c:ptCount val="24"/>
                <c:pt idx="0">
                  <c:v>0</c:v>
                </c:pt>
                <c:pt idx="1">
                  <c:v>0</c:v>
                </c:pt>
                <c:pt idx="2">
                  <c:v>0</c:v>
                </c:pt>
                <c:pt idx="3">
                  <c:v>0</c:v>
                </c:pt>
                <c:pt idx="4">
                  <c:v>1</c:v>
                </c:pt>
                <c:pt idx="5">
                  <c:v>1</c:v>
                </c:pt>
                <c:pt idx="6">
                  <c:v>1</c:v>
                </c:pt>
                <c:pt idx="7">
                  <c:v>1</c:v>
                </c:pt>
                <c:pt idx="8">
                  <c:v>1</c:v>
                </c:pt>
                <c:pt idx="9">
                  <c:v>1</c:v>
                </c:pt>
                <c:pt idx="10">
                  <c:v>1</c:v>
                </c:pt>
                <c:pt idx="11">
                  <c:v>1</c:v>
                </c:pt>
                <c:pt idx="12">
                  <c:v>1</c:v>
                </c:pt>
                <c:pt idx="13">
                  <c:v>1</c:v>
                </c:pt>
                <c:pt idx="14">
                  <c:v>1</c:v>
                </c:pt>
                <c:pt idx="15">
                  <c:v>1</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897E-40A6-ABDA-32B64FD7CDBB}"/>
            </c:ext>
          </c:extLst>
        </c:ser>
        <c:ser>
          <c:idx val="2"/>
          <c:order val="2"/>
          <c:tx>
            <c:strRef>
              <c:f>Schedules!$E$15</c:f>
              <c:strCache>
                <c:ptCount val="1"/>
                <c:pt idx="0">
                  <c:v>Sunday</c:v>
                </c:pt>
              </c:strCache>
            </c:strRef>
          </c:tx>
          <c:spPr>
            <a:ln w="28575" cap="rnd">
              <a:solidFill>
                <a:schemeClr val="accent3"/>
              </a:solidFill>
              <a:round/>
            </a:ln>
            <a:effectLst/>
          </c:spPr>
          <c:marker>
            <c:symbol val="none"/>
          </c:marker>
          <c:val>
            <c:numRef>
              <c:f>Schedules!$F$15:$AC$15</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897E-40A6-ABDA-32B64FD7CDBB}"/>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Schedules!$C$16</c:f>
          <c:strCache>
            <c:ptCount val="1"/>
            <c:pt idx="0">
              <c:v>ServiceHotWater</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Schedules!$E$16</c:f>
              <c:strCache>
                <c:ptCount val="1"/>
                <c:pt idx="0">
                  <c:v>Weekday</c:v>
                </c:pt>
              </c:strCache>
            </c:strRef>
          </c:tx>
          <c:spPr>
            <a:ln w="28575" cap="rnd">
              <a:solidFill>
                <a:schemeClr val="accent1"/>
              </a:solidFill>
              <a:round/>
            </a:ln>
            <a:effectLst/>
          </c:spPr>
          <c:marker>
            <c:symbol val="none"/>
          </c:marker>
          <c:val>
            <c:numRef>
              <c:f>Schedules!$F$16:$AC$16</c:f>
              <c:numCache>
                <c:formatCode>0.00</c:formatCode>
                <c:ptCount val="24"/>
                <c:pt idx="0">
                  <c:v>0.02</c:v>
                </c:pt>
                <c:pt idx="1">
                  <c:v>0.02</c:v>
                </c:pt>
                <c:pt idx="2">
                  <c:v>0.02</c:v>
                </c:pt>
                <c:pt idx="3">
                  <c:v>0.05</c:v>
                </c:pt>
                <c:pt idx="4">
                  <c:v>7.0000000000000007E-2</c:v>
                </c:pt>
                <c:pt idx="5">
                  <c:v>0.1</c:v>
                </c:pt>
                <c:pt idx="6">
                  <c:v>0.3</c:v>
                </c:pt>
                <c:pt idx="7">
                  <c:v>0.36</c:v>
                </c:pt>
                <c:pt idx="8">
                  <c:v>0.36</c:v>
                </c:pt>
                <c:pt idx="9">
                  <c:v>0.36</c:v>
                </c:pt>
                <c:pt idx="10">
                  <c:v>0.36</c:v>
                </c:pt>
                <c:pt idx="11">
                  <c:v>0.46</c:v>
                </c:pt>
                <c:pt idx="12">
                  <c:v>0.56999999999999995</c:v>
                </c:pt>
                <c:pt idx="13">
                  <c:v>0.43</c:v>
                </c:pt>
                <c:pt idx="14">
                  <c:v>0.4</c:v>
                </c:pt>
                <c:pt idx="15">
                  <c:v>0.3</c:v>
                </c:pt>
                <c:pt idx="16">
                  <c:v>0.18</c:v>
                </c:pt>
                <c:pt idx="17">
                  <c:v>0.18</c:v>
                </c:pt>
                <c:pt idx="18">
                  <c:v>0.03</c:v>
                </c:pt>
                <c:pt idx="19">
                  <c:v>0.03</c:v>
                </c:pt>
                <c:pt idx="20">
                  <c:v>0.03</c:v>
                </c:pt>
                <c:pt idx="21">
                  <c:v>0.03</c:v>
                </c:pt>
                <c:pt idx="22">
                  <c:v>0.03</c:v>
                </c:pt>
                <c:pt idx="23">
                  <c:v>0.03</c:v>
                </c:pt>
              </c:numCache>
            </c:numRef>
          </c:val>
          <c:smooth val="0"/>
          <c:extLst>
            <c:ext xmlns:c16="http://schemas.microsoft.com/office/drawing/2014/chart" uri="{C3380CC4-5D6E-409C-BE32-E72D297353CC}">
              <c16:uniqueId val="{00000000-3892-4483-86FE-254C151EC2DC}"/>
            </c:ext>
          </c:extLst>
        </c:ser>
        <c:ser>
          <c:idx val="1"/>
          <c:order val="1"/>
          <c:tx>
            <c:strRef>
              <c:f>Schedules!$E$17</c:f>
              <c:strCache>
                <c:ptCount val="1"/>
                <c:pt idx="0">
                  <c:v>Saturday</c:v>
                </c:pt>
              </c:strCache>
            </c:strRef>
          </c:tx>
          <c:spPr>
            <a:ln w="28575" cap="rnd">
              <a:solidFill>
                <a:schemeClr val="accent2"/>
              </a:solidFill>
              <a:round/>
            </a:ln>
            <a:effectLst/>
          </c:spPr>
          <c:marker>
            <c:symbol val="none"/>
          </c:marker>
          <c:val>
            <c:numRef>
              <c:f>Schedules!$F$17:$AC$17</c:f>
              <c:numCache>
                <c:formatCode>0.00</c:formatCode>
                <c:ptCount val="24"/>
                <c:pt idx="0">
                  <c:v>0.02</c:v>
                </c:pt>
                <c:pt idx="1">
                  <c:v>0.02</c:v>
                </c:pt>
                <c:pt idx="2">
                  <c:v>0.02</c:v>
                </c:pt>
                <c:pt idx="3">
                  <c:v>0.05</c:v>
                </c:pt>
                <c:pt idx="4">
                  <c:v>7.0000000000000007E-2</c:v>
                </c:pt>
                <c:pt idx="5">
                  <c:v>0.1</c:v>
                </c:pt>
                <c:pt idx="6">
                  <c:v>0.3</c:v>
                </c:pt>
                <c:pt idx="7">
                  <c:v>0.36</c:v>
                </c:pt>
                <c:pt idx="8">
                  <c:v>0.36</c:v>
                </c:pt>
                <c:pt idx="9">
                  <c:v>0.36</c:v>
                </c:pt>
                <c:pt idx="10">
                  <c:v>0.36</c:v>
                </c:pt>
                <c:pt idx="11">
                  <c:v>0.46</c:v>
                </c:pt>
                <c:pt idx="12">
                  <c:v>0.56999999999999995</c:v>
                </c:pt>
                <c:pt idx="13">
                  <c:v>0.43</c:v>
                </c:pt>
                <c:pt idx="14">
                  <c:v>0.4</c:v>
                </c:pt>
                <c:pt idx="15">
                  <c:v>0.3</c:v>
                </c:pt>
                <c:pt idx="16">
                  <c:v>0.18</c:v>
                </c:pt>
                <c:pt idx="17">
                  <c:v>0.18</c:v>
                </c:pt>
                <c:pt idx="18">
                  <c:v>0.03</c:v>
                </c:pt>
                <c:pt idx="19">
                  <c:v>0.03</c:v>
                </c:pt>
                <c:pt idx="20">
                  <c:v>0.03</c:v>
                </c:pt>
                <c:pt idx="21">
                  <c:v>0.03</c:v>
                </c:pt>
                <c:pt idx="22">
                  <c:v>0.03</c:v>
                </c:pt>
                <c:pt idx="23">
                  <c:v>0.03</c:v>
                </c:pt>
              </c:numCache>
            </c:numRef>
          </c:val>
          <c:smooth val="0"/>
          <c:extLst>
            <c:ext xmlns:c16="http://schemas.microsoft.com/office/drawing/2014/chart" uri="{C3380CC4-5D6E-409C-BE32-E72D297353CC}">
              <c16:uniqueId val="{00000001-3892-4483-86FE-254C151EC2DC}"/>
            </c:ext>
          </c:extLst>
        </c:ser>
        <c:ser>
          <c:idx val="2"/>
          <c:order val="2"/>
          <c:tx>
            <c:strRef>
              <c:f>Schedules!$E$18</c:f>
              <c:strCache>
                <c:ptCount val="1"/>
                <c:pt idx="0">
                  <c:v>Sunday</c:v>
                </c:pt>
              </c:strCache>
            </c:strRef>
          </c:tx>
          <c:spPr>
            <a:ln w="28575" cap="rnd">
              <a:solidFill>
                <a:schemeClr val="accent3"/>
              </a:solidFill>
              <a:round/>
            </a:ln>
            <a:effectLst/>
          </c:spPr>
          <c:marker>
            <c:symbol val="none"/>
          </c:marker>
          <c:val>
            <c:numRef>
              <c:f>Schedules!$F$18:$AC$18</c:f>
              <c:numCache>
                <c:formatCode>0.00</c:formatCode>
                <c:ptCount val="24"/>
                <c:pt idx="0">
                  <c:v>0.02</c:v>
                </c:pt>
                <c:pt idx="1">
                  <c:v>0.02</c:v>
                </c:pt>
                <c:pt idx="2">
                  <c:v>0.02</c:v>
                </c:pt>
                <c:pt idx="3">
                  <c:v>0.02</c:v>
                </c:pt>
                <c:pt idx="4">
                  <c:v>0.02</c:v>
                </c:pt>
                <c:pt idx="5">
                  <c:v>0.02</c:v>
                </c:pt>
                <c:pt idx="6">
                  <c:v>0.02</c:v>
                </c:pt>
                <c:pt idx="7">
                  <c:v>0.02</c:v>
                </c:pt>
                <c:pt idx="8">
                  <c:v>0.02</c:v>
                </c:pt>
                <c:pt idx="9">
                  <c:v>0.02</c:v>
                </c:pt>
                <c:pt idx="10">
                  <c:v>0.02</c:v>
                </c:pt>
                <c:pt idx="11">
                  <c:v>0.02</c:v>
                </c:pt>
                <c:pt idx="12">
                  <c:v>0.04</c:v>
                </c:pt>
                <c:pt idx="13">
                  <c:v>0.04</c:v>
                </c:pt>
                <c:pt idx="14">
                  <c:v>0.02</c:v>
                </c:pt>
                <c:pt idx="15">
                  <c:v>0.02</c:v>
                </c:pt>
                <c:pt idx="16">
                  <c:v>0.02</c:v>
                </c:pt>
                <c:pt idx="17">
                  <c:v>0.02</c:v>
                </c:pt>
                <c:pt idx="18">
                  <c:v>0.02</c:v>
                </c:pt>
                <c:pt idx="19">
                  <c:v>0.02</c:v>
                </c:pt>
                <c:pt idx="20">
                  <c:v>0.02</c:v>
                </c:pt>
                <c:pt idx="21">
                  <c:v>0.02</c:v>
                </c:pt>
                <c:pt idx="22">
                  <c:v>0.02</c:v>
                </c:pt>
                <c:pt idx="23">
                  <c:v>0.02</c:v>
                </c:pt>
              </c:numCache>
            </c:numRef>
          </c:val>
          <c:smooth val="0"/>
          <c:extLst>
            <c:ext xmlns:c16="http://schemas.microsoft.com/office/drawing/2014/chart" uri="{C3380CC4-5D6E-409C-BE32-E72D297353CC}">
              <c16:uniqueId val="{00000002-3892-4483-86FE-254C151EC2DC}"/>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Schedules!$C$63</c:f>
          <c:strCache>
            <c:ptCount val="1"/>
            <c:pt idx="0">
              <c:v>ElecEquipment </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Schedules!$E$63</c:f>
              <c:strCache>
                <c:ptCount val="1"/>
                <c:pt idx="0">
                  <c:v>Weekday</c:v>
                </c:pt>
              </c:strCache>
            </c:strRef>
          </c:tx>
          <c:spPr>
            <a:ln w="28575" cap="rnd">
              <a:solidFill>
                <a:schemeClr val="accent1"/>
              </a:solidFill>
              <a:round/>
            </a:ln>
            <a:effectLst/>
          </c:spPr>
          <c:marker>
            <c:symbol val="none"/>
          </c:marker>
          <c:val>
            <c:numRef>
              <c:f>Schedules!$F$63:$AC$63</c:f>
              <c:numCache>
                <c:formatCode>0.00</c:formatCode>
                <c:ptCount val="24"/>
                <c:pt idx="0">
                  <c:v>0.45</c:v>
                </c:pt>
                <c:pt idx="1">
                  <c:v>0.45</c:v>
                </c:pt>
                <c:pt idx="2">
                  <c:v>0.45</c:v>
                </c:pt>
                <c:pt idx="3">
                  <c:v>0.45</c:v>
                </c:pt>
                <c:pt idx="4">
                  <c:v>0.45</c:v>
                </c:pt>
                <c:pt idx="5">
                  <c:v>0.45</c:v>
                </c:pt>
                <c:pt idx="6">
                  <c:v>0.45</c:v>
                </c:pt>
                <c:pt idx="7">
                  <c:v>0.74</c:v>
                </c:pt>
                <c:pt idx="8">
                  <c:v>0.87</c:v>
                </c:pt>
                <c:pt idx="9">
                  <c:v>0.9</c:v>
                </c:pt>
                <c:pt idx="10">
                  <c:v>0.9</c:v>
                </c:pt>
                <c:pt idx="11">
                  <c:v>0.9</c:v>
                </c:pt>
                <c:pt idx="12">
                  <c:v>0.9</c:v>
                </c:pt>
                <c:pt idx="13">
                  <c:v>0.9</c:v>
                </c:pt>
                <c:pt idx="14">
                  <c:v>0.9</c:v>
                </c:pt>
                <c:pt idx="15">
                  <c:v>0.9</c:v>
                </c:pt>
                <c:pt idx="16">
                  <c:v>0.9</c:v>
                </c:pt>
                <c:pt idx="17">
                  <c:v>0.7</c:v>
                </c:pt>
                <c:pt idx="18">
                  <c:v>0.5</c:v>
                </c:pt>
                <c:pt idx="19">
                  <c:v>0.5</c:v>
                </c:pt>
                <c:pt idx="20">
                  <c:v>0.5</c:v>
                </c:pt>
                <c:pt idx="21">
                  <c:v>0.45</c:v>
                </c:pt>
                <c:pt idx="22">
                  <c:v>0.45</c:v>
                </c:pt>
                <c:pt idx="23">
                  <c:v>0.45</c:v>
                </c:pt>
              </c:numCache>
            </c:numRef>
          </c:val>
          <c:smooth val="0"/>
          <c:extLst>
            <c:ext xmlns:c16="http://schemas.microsoft.com/office/drawing/2014/chart" uri="{C3380CC4-5D6E-409C-BE32-E72D297353CC}">
              <c16:uniqueId val="{00000000-86AA-42FD-A8D8-F82FAF02DE65}"/>
            </c:ext>
          </c:extLst>
        </c:ser>
        <c:ser>
          <c:idx val="1"/>
          <c:order val="1"/>
          <c:tx>
            <c:strRef>
              <c:f>Schedules!$E$64</c:f>
              <c:strCache>
                <c:ptCount val="1"/>
                <c:pt idx="0">
                  <c:v>Saturday</c:v>
                </c:pt>
              </c:strCache>
            </c:strRef>
          </c:tx>
          <c:spPr>
            <a:ln w="28575" cap="rnd">
              <a:solidFill>
                <a:schemeClr val="accent2"/>
              </a:solidFill>
              <a:round/>
            </a:ln>
            <a:effectLst/>
          </c:spPr>
          <c:marker>
            <c:symbol val="none"/>
          </c:marker>
          <c:val>
            <c:numRef>
              <c:f>Schedules!$F$64:$AC$64</c:f>
              <c:numCache>
                <c:formatCode>0.00</c:formatCode>
                <c:ptCount val="24"/>
                <c:pt idx="0">
                  <c:v>0.43</c:v>
                </c:pt>
                <c:pt idx="1">
                  <c:v>0.43</c:v>
                </c:pt>
                <c:pt idx="2">
                  <c:v>0.43</c:v>
                </c:pt>
                <c:pt idx="3">
                  <c:v>0.43</c:v>
                </c:pt>
                <c:pt idx="4">
                  <c:v>0.43</c:v>
                </c:pt>
                <c:pt idx="5">
                  <c:v>0.43</c:v>
                </c:pt>
                <c:pt idx="6">
                  <c:v>0.43</c:v>
                </c:pt>
                <c:pt idx="7">
                  <c:v>0.43</c:v>
                </c:pt>
                <c:pt idx="8">
                  <c:v>0.43</c:v>
                </c:pt>
                <c:pt idx="9">
                  <c:v>0.43</c:v>
                </c:pt>
                <c:pt idx="10">
                  <c:v>0.43</c:v>
                </c:pt>
                <c:pt idx="11">
                  <c:v>0.43</c:v>
                </c:pt>
                <c:pt idx="12">
                  <c:v>0.43</c:v>
                </c:pt>
                <c:pt idx="13">
                  <c:v>0.43</c:v>
                </c:pt>
                <c:pt idx="14">
                  <c:v>0.43</c:v>
                </c:pt>
                <c:pt idx="15">
                  <c:v>0.43</c:v>
                </c:pt>
                <c:pt idx="16">
                  <c:v>0.43</c:v>
                </c:pt>
                <c:pt idx="17">
                  <c:v>0.43</c:v>
                </c:pt>
                <c:pt idx="18">
                  <c:v>0.43</c:v>
                </c:pt>
                <c:pt idx="19">
                  <c:v>0.43</c:v>
                </c:pt>
                <c:pt idx="20">
                  <c:v>0.43</c:v>
                </c:pt>
                <c:pt idx="21">
                  <c:v>0.43</c:v>
                </c:pt>
                <c:pt idx="22">
                  <c:v>0.43</c:v>
                </c:pt>
                <c:pt idx="23">
                  <c:v>0.43</c:v>
                </c:pt>
              </c:numCache>
            </c:numRef>
          </c:val>
          <c:smooth val="0"/>
          <c:extLst>
            <c:ext xmlns:c16="http://schemas.microsoft.com/office/drawing/2014/chart" uri="{C3380CC4-5D6E-409C-BE32-E72D297353CC}">
              <c16:uniqueId val="{00000001-86AA-42FD-A8D8-F82FAF02DE65}"/>
            </c:ext>
          </c:extLst>
        </c:ser>
        <c:ser>
          <c:idx val="2"/>
          <c:order val="2"/>
          <c:tx>
            <c:strRef>
              <c:f>Schedules!$E$65</c:f>
              <c:strCache>
                <c:ptCount val="1"/>
                <c:pt idx="0">
                  <c:v>Sunday</c:v>
                </c:pt>
              </c:strCache>
            </c:strRef>
          </c:tx>
          <c:spPr>
            <a:ln w="28575" cap="rnd">
              <a:solidFill>
                <a:schemeClr val="accent3"/>
              </a:solidFill>
              <a:round/>
            </a:ln>
            <a:effectLst/>
          </c:spPr>
          <c:marker>
            <c:symbol val="none"/>
          </c:marker>
          <c:val>
            <c:numRef>
              <c:f>Schedules!$F$65:$AC$65</c:f>
              <c:numCache>
                <c:formatCode>0.00</c:formatCode>
                <c:ptCount val="24"/>
                <c:pt idx="0">
                  <c:v>0.43</c:v>
                </c:pt>
                <c:pt idx="1">
                  <c:v>0.43</c:v>
                </c:pt>
                <c:pt idx="2">
                  <c:v>0.43</c:v>
                </c:pt>
                <c:pt idx="3">
                  <c:v>0.43</c:v>
                </c:pt>
                <c:pt idx="4">
                  <c:v>0.43</c:v>
                </c:pt>
                <c:pt idx="5">
                  <c:v>0.43</c:v>
                </c:pt>
                <c:pt idx="6">
                  <c:v>0.43</c:v>
                </c:pt>
                <c:pt idx="7">
                  <c:v>0.43</c:v>
                </c:pt>
                <c:pt idx="8">
                  <c:v>0.43</c:v>
                </c:pt>
                <c:pt idx="9">
                  <c:v>0.43</c:v>
                </c:pt>
                <c:pt idx="10">
                  <c:v>0.43</c:v>
                </c:pt>
                <c:pt idx="11">
                  <c:v>0.43</c:v>
                </c:pt>
                <c:pt idx="12">
                  <c:v>0.43</c:v>
                </c:pt>
                <c:pt idx="13">
                  <c:v>0.43</c:v>
                </c:pt>
                <c:pt idx="14">
                  <c:v>0.43</c:v>
                </c:pt>
                <c:pt idx="15">
                  <c:v>0.43</c:v>
                </c:pt>
                <c:pt idx="16">
                  <c:v>0.43</c:v>
                </c:pt>
                <c:pt idx="17">
                  <c:v>0.43</c:v>
                </c:pt>
                <c:pt idx="18">
                  <c:v>0.43</c:v>
                </c:pt>
                <c:pt idx="19">
                  <c:v>0.43</c:v>
                </c:pt>
                <c:pt idx="20">
                  <c:v>0.43</c:v>
                </c:pt>
                <c:pt idx="21">
                  <c:v>0.43</c:v>
                </c:pt>
                <c:pt idx="22">
                  <c:v>0.43</c:v>
                </c:pt>
                <c:pt idx="23">
                  <c:v>0.43</c:v>
                </c:pt>
              </c:numCache>
            </c:numRef>
          </c:val>
          <c:smooth val="0"/>
          <c:extLst>
            <c:ext xmlns:c16="http://schemas.microsoft.com/office/drawing/2014/chart" uri="{C3380CC4-5D6E-409C-BE32-E72D297353CC}">
              <c16:uniqueId val="{00000002-86AA-42FD-A8D8-F82FAF02DE65}"/>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Schedules!$C$69</c:f>
          <c:strCache>
            <c:ptCount val="1"/>
            <c:pt idx="0">
              <c:v>ServiceHotWater</c:v>
            </c:pt>
          </c:strCache>
        </c:strRef>
      </c:tx>
      <c:layout>
        <c:manualLayout>
          <c:xMode val="edge"/>
          <c:yMode val="edge"/>
          <c:x val="0.34492885082009467"/>
          <c:y val="5.043944866743523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Schedules!$E$69</c:f>
              <c:strCache>
                <c:ptCount val="1"/>
                <c:pt idx="0">
                  <c:v>Weekday</c:v>
                </c:pt>
              </c:strCache>
            </c:strRef>
          </c:tx>
          <c:spPr>
            <a:ln w="28575" cap="rnd">
              <a:solidFill>
                <a:schemeClr val="accent1"/>
              </a:solidFill>
              <a:round/>
            </a:ln>
            <a:effectLst/>
          </c:spPr>
          <c:marker>
            <c:symbol val="none"/>
          </c:marker>
          <c:val>
            <c:numRef>
              <c:f>Schedules!$F$69:$AC$69</c:f>
              <c:numCache>
                <c:formatCode>0.00</c:formatCode>
                <c:ptCount val="24"/>
                <c:pt idx="0">
                  <c:v>0.05</c:v>
                </c:pt>
                <c:pt idx="1">
                  <c:v>0.05</c:v>
                </c:pt>
                <c:pt idx="2">
                  <c:v>0.05</c:v>
                </c:pt>
                <c:pt idx="3">
                  <c:v>0.05</c:v>
                </c:pt>
                <c:pt idx="4">
                  <c:v>0.05</c:v>
                </c:pt>
                <c:pt idx="5">
                  <c:v>0.08</c:v>
                </c:pt>
                <c:pt idx="6">
                  <c:v>7.0000000000000007E-2</c:v>
                </c:pt>
                <c:pt idx="7">
                  <c:v>0.19</c:v>
                </c:pt>
                <c:pt idx="8">
                  <c:v>0.35</c:v>
                </c:pt>
                <c:pt idx="9">
                  <c:v>0.38</c:v>
                </c:pt>
                <c:pt idx="10">
                  <c:v>0.39</c:v>
                </c:pt>
                <c:pt idx="11">
                  <c:v>0.47</c:v>
                </c:pt>
                <c:pt idx="12">
                  <c:v>0.56999999999999995</c:v>
                </c:pt>
                <c:pt idx="13">
                  <c:v>0.54</c:v>
                </c:pt>
                <c:pt idx="14">
                  <c:v>0.34</c:v>
                </c:pt>
                <c:pt idx="15">
                  <c:v>0.33</c:v>
                </c:pt>
                <c:pt idx="16">
                  <c:v>0.44</c:v>
                </c:pt>
                <c:pt idx="17">
                  <c:v>0.26</c:v>
                </c:pt>
                <c:pt idx="18">
                  <c:v>0.21</c:v>
                </c:pt>
                <c:pt idx="19">
                  <c:v>0.15</c:v>
                </c:pt>
                <c:pt idx="20">
                  <c:v>0.17</c:v>
                </c:pt>
                <c:pt idx="21">
                  <c:v>0.08</c:v>
                </c:pt>
                <c:pt idx="22">
                  <c:v>0.05</c:v>
                </c:pt>
                <c:pt idx="23">
                  <c:v>0.05</c:v>
                </c:pt>
              </c:numCache>
            </c:numRef>
          </c:val>
          <c:smooth val="0"/>
          <c:extLst>
            <c:ext xmlns:c16="http://schemas.microsoft.com/office/drawing/2014/chart" uri="{C3380CC4-5D6E-409C-BE32-E72D297353CC}">
              <c16:uniqueId val="{00000000-3FD9-442E-BAED-CDBB21663685}"/>
            </c:ext>
          </c:extLst>
        </c:ser>
        <c:ser>
          <c:idx val="1"/>
          <c:order val="1"/>
          <c:tx>
            <c:strRef>
              <c:f>Schedules!$E$70</c:f>
              <c:strCache>
                <c:ptCount val="1"/>
                <c:pt idx="0">
                  <c:v>Saturday</c:v>
                </c:pt>
              </c:strCache>
            </c:strRef>
          </c:tx>
          <c:spPr>
            <a:ln w="28575" cap="rnd">
              <a:solidFill>
                <a:schemeClr val="accent2"/>
              </a:solidFill>
              <a:round/>
            </a:ln>
            <a:effectLst/>
          </c:spPr>
          <c:marker>
            <c:symbol val="none"/>
          </c:marker>
          <c:val>
            <c:numRef>
              <c:f>Schedules!$F$70:$AC$70</c:f>
              <c:numCache>
                <c:formatCode>0.00</c:formatCode>
                <c:ptCount val="24"/>
                <c:pt idx="0">
                  <c:v>0.05</c:v>
                </c:pt>
                <c:pt idx="1">
                  <c:v>0.05</c:v>
                </c:pt>
                <c:pt idx="2">
                  <c:v>0.05</c:v>
                </c:pt>
                <c:pt idx="3">
                  <c:v>0.05</c:v>
                </c:pt>
                <c:pt idx="4">
                  <c:v>0.05</c:v>
                </c:pt>
                <c:pt idx="5">
                  <c:v>0.08</c:v>
                </c:pt>
                <c:pt idx="6">
                  <c:v>7.0000000000000007E-2</c:v>
                </c:pt>
                <c:pt idx="7">
                  <c:v>0.11</c:v>
                </c:pt>
                <c:pt idx="8">
                  <c:v>0.15</c:v>
                </c:pt>
                <c:pt idx="9">
                  <c:v>0.21</c:v>
                </c:pt>
                <c:pt idx="10">
                  <c:v>0.19</c:v>
                </c:pt>
                <c:pt idx="11">
                  <c:v>0.23</c:v>
                </c:pt>
                <c:pt idx="12">
                  <c:v>0.2</c:v>
                </c:pt>
                <c:pt idx="13">
                  <c:v>0.19</c:v>
                </c:pt>
                <c:pt idx="14">
                  <c:v>0.15</c:v>
                </c:pt>
                <c:pt idx="15">
                  <c:v>0.12</c:v>
                </c:pt>
                <c:pt idx="16">
                  <c:v>0.14000000000000001</c:v>
                </c:pt>
                <c:pt idx="17">
                  <c:v>7.0000000000000007E-2</c:v>
                </c:pt>
                <c:pt idx="18">
                  <c:v>7.0000000000000007E-2</c:v>
                </c:pt>
                <c:pt idx="19">
                  <c:v>7.0000000000000007E-2</c:v>
                </c:pt>
                <c:pt idx="20">
                  <c:v>7.0000000000000007E-2</c:v>
                </c:pt>
                <c:pt idx="21">
                  <c:v>0.09</c:v>
                </c:pt>
                <c:pt idx="22">
                  <c:v>0.05</c:v>
                </c:pt>
                <c:pt idx="23">
                  <c:v>0.05</c:v>
                </c:pt>
              </c:numCache>
            </c:numRef>
          </c:val>
          <c:smooth val="0"/>
          <c:extLst>
            <c:ext xmlns:c16="http://schemas.microsoft.com/office/drawing/2014/chart" uri="{C3380CC4-5D6E-409C-BE32-E72D297353CC}">
              <c16:uniqueId val="{00000001-3FD9-442E-BAED-CDBB21663685}"/>
            </c:ext>
          </c:extLst>
        </c:ser>
        <c:ser>
          <c:idx val="2"/>
          <c:order val="2"/>
          <c:tx>
            <c:strRef>
              <c:f>Schedules!$E$71</c:f>
              <c:strCache>
                <c:ptCount val="1"/>
                <c:pt idx="0">
                  <c:v>Sunday</c:v>
                </c:pt>
              </c:strCache>
            </c:strRef>
          </c:tx>
          <c:spPr>
            <a:ln w="28575" cap="rnd">
              <a:solidFill>
                <a:schemeClr val="accent3"/>
              </a:solidFill>
              <a:round/>
            </a:ln>
            <a:effectLst/>
          </c:spPr>
          <c:marker>
            <c:symbol val="none"/>
          </c:marker>
          <c:val>
            <c:numRef>
              <c:f>Schedules!$F$71:$AC$71</c:f>
              <c:numCache>
                <c:formatCode>0.00</c:formatCode>
                <c:ptCount val="24"/>
                <c:pt idx="0">
                  <c:v>0.04</c:v>
                </c:pt>
                <c:pt idx="1">
                  <c:v>0.04</c:v>
                </c:pt>
                <c:pt idx="2">
                  <c:v>0.04</c:v>
                </c:pt>
                <c:pt idx="3">
                  <c:v>0.04</c:v>
                </c:pt>
                <c:pt idx="4">
                  <c:v>0.04</c:v>
                </c:pt>
                <c:pt idx="5">
                  <c:v>7.0000000000000007E-2</c:v>
                </c:pt>
                <c:pt idx="6">
                  <c:v>0.04</c:v>
                </c:pt>
                <c:pt idx="7">
                  <c:v>0.04</c:v>
                </c:pt>
                <c:pt idx="8">
                  <c:v>0.04</c:v>
                </c:pt>
                <c:pt idx="9">
                  <c:v>0.04</c:v>
                </c:pt>
                <c:pt idx="10">
                  <c:v>0.04</c:v>
                </c:pt>
                <c:pt idx="11">
                  <c:v>0.06</c:v>
                </c:pt>
                <c:pt idx="12">
                  <c:v>0.06</c:v>
                </c:pt>
                <c:pt idx="13">
                  <c:v>0.09</c:v>
                </c:pt>
                <c:pt idx="14">
                  <c:v>0.06</c:v>
                </c:pt>
                <c:pt idx="15">
                  <c:v>0.04</c:v>
                </c:pt>
                <c:pt idx="16">
                  <c:v>0.04</c:v>
                </c:pt>
                <c:pt idx="17">
                  <c:v>0.04</c:v>
                </c:pt>
                <c:pt idx="18">
                  <c:v>0.04</c:v>
                </c:pt>
                <c:pt idx="19">
                  <c:v>0.04</c:v>
                </c:pt>
                <c:pt idx="20">
                  <c:v>0.04</c:v>
                </c:pt>
                <c:pt idx="21">
                  <c:v>7.0000000000000007E-2</c:v>
                </c:pt>
                <c:pt idx="22">
                  <c:v>0.04</c:v>
                </c:pt>
                <c:pt idx="23">
                  <c:v>0.04</c:v>
                </c:pt>
              </c:numCache>
            </c:numRef>
          </c:val>
          <c:smooth val="0"/>
          <c:extLst>
            <c:ext xmlns:c16="http://schemas.microsoft.com/office/drawing/2014/chart" uri="{C3380CC4-5D6E-409C-BE32-E72D297353CC}">
              <c16:uniqueId val="{00000002-3FD9-442E-BAED-CDBB21663685}"/>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Schedules!$C$66</c:f>
          <c:strCache>
            <c:ptCount val="1"/>
            <c:pt idx="0">
              <c:v>HVACAvail</c:v>
            </c:pt>
          </c:strCache>
        </c:strRef>
      </c:tx>
      <c:layout>
        <c:manualLayout>
          <c:xMode val="edge"/>
          <c:yMode val="edge"/>
          <c:x val="0.34120488155873446"/>
          <c:y val="4.0835185250887793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Schedules!$E$66</c:f>
              <c:strCache>
                <c:ptCount val="1"/>
                <c:pt idx="0">
                  <c:v>Weekday</c:v>
                </c:pt>
              </c:strCache>
            </c:strRef>
          </c:tx>
          <c:spPr>
            <a:ln w="28575" cap="rnd">
              <a:solidFill>
                <a:schemeClr val="accent1"/>
              </a:solidFill>
              <a:round/>
            </a:ln>
            <a:effectLst/>
          </c:spPr>
          <c:marker>
            <c:symbol val="none"/>
          </c:marker>
          <c:val>
            <c:numRef>
              <c:f>Schedules!$F$66:$AC$66</c:f>
              <c:numCache>
                <c:formatCode>0.00</c:formatCode>
                <c:ptCount val="24"/>
                <c:pt idx="0">
                  <c:v>0</c:v>
                </c:pt>
                <c:pt idx="1">
                  <c:v>0</c:v>
                </c:pt>
                <c:pt idx="2">
                  <c:v>0</c:v>
                </c:pt>
                <c:pt idx="3">
                  <c:v>0</c:v>
                </c:pt>
                <c:pt idx="4">
                  <c:v>0</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0-DBE9-4FC2-A522-E4ABF4CBAF32}"/>
            </c:ext>
          </c:extLst>
        </c:ser>
        <c:ser>
          <c:idx val="1"/>
          <c:order val="1"/>
          <c:tx>
            <c:strRef>
              <c:f>Schedules!$E$67</c:f>
              <c:strCache>
                <c:ptCount val="1"/>
                <c:pt idx="0">
                  <c:v>Saturday</c:v>
                </c:pt>
              </c:strCache>
            </c:strRef>
          </c:tx>
          <c:spPr>
            <a:ln w="28575" cap="rnd">
              <a:solidFill>
                <a:schemeClr val="accent2"/>
              </a:solidFill>
              <a:round/>
            </a:ln>
            <a:effectLst/>
          </c:spPr>
          <c:marker>
            <c:symbol val="none"/>
          </c:marker>
          <c:val>
            <c:numRef>
              <c:f>Schedules!$F$67:$AC$67</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DBE9-4FC2-A522-E4ABF4CBAF32}"/>
            </c:ext>
          </c:extLst>
        </c:ser>
        <c:ser>
          <c:idx val="2"/>
          <c:order val="2"/>
          <c:tx>
            <c:strRef>
              <c:f>Schedules!$E$68</c:f>
              <c:strCache>
                <c:ptCount val="1"/>
                <c:pt idx="0">
                  <c:v>Sunday</c:v>
                </c:pt>
              </c:strCache>
            </c:strRef>
          </c:tx>
          <c:spPr>
            <a:ln w="28575" cap="rnd">
              <a:solidFill>
                <a:schemeClr val="accent3"/>
              </a:solidFill>
              <a:round/>
            </a:ln>
            <a:effectLst/>
          </c:spPr>
          <c:marker>
            <c:symbol val="none"/>
          </c:marker>
          <c:val>
            <c:numRef>
              <c:f>Schedules!$F$68:$AC$68</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DBE9-4FC2-A522-E4ABF4CBAF32}"/>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Schedules!$C$57</c:f>
          <c:strCache>
            <c:ptCount val="1"/>
            <c:pt idx="0">
              <c:v>Occupancy</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Schedules!$E$57</c:f>
              <c:strCache>
                <c:ptCount val="1"/>
                <c:pt idx="0">
                  <c:v>Weekday</c:v>
                </c:pt>
              </c:strCache>
            </c:strRef>
          </c:tx>
          <c:spPr>
            <a:ln w="28575" cap="rnd">
              <a:solidFill>
                <a:schemeClr val="accent1"/>
              </a:solidFill>
              <a:round/>
            </a:ln>
            <a:effectLst/>
          </c:spPr>
          <c:marker>
            <c:symbol val="none"/>
          </c:marker>
          <c:val>
            <c:numRef>
              <c:f>Schedules!$F$57:$AC$57</c:f>
              <c:numCache>
                <c:formatCode>0.00</c:formatCode>
                <c:ptCount val="24"/>
                <c:pt idx="0">
                  <c:v>0</c:v>
                </c:pt>
                <c:pt idx="1">
                  <c:v>0</c:v>
                </c:pt>
                <c:pt idx="2">
                  <c:v>0</c:v>
                </c:pt>
                <c:pt idx="3">
                  <c:v>0</c:v>
                </c:pt>
                <c:pt idx="4">
                  <c:v>0</c:v>
                </c:pt>
                <c:pt idx="5">
                  <c:v>0</c:v>
                </c:pt>
                <c:pt idx="6">
                  <c:v>0.1</c:v>
                </c:pt>
                <c:pt idx="7">
                  <c:v>0.2</c:v>
                </c:pt>
                <c:pt idx="8">
                  <c:v>0.95</c:v>
                </c:pt>
                <c:pt idx="9">
                  <c:v>0.95</c:v>
                </c:pt>
                <c:pt idx="10">
                  <c:v>0.95</c:v>
                </c:pt>
                <c:pt idx="11">
                  <c:v>0.95</c:v>
                </c:pt>
                <c:pt idx="12">
                  <c:v>0.5</c:v>
                </c:pt>
                <c:pt idx="13">
                  <c:v>0.95</c:v>
                </c:pt>
                <c:pt idx="14">
                  <c:v>0.95</c:v>
                </c:pt>
                <c:pt idx="15">
                  <c:v>0.95</c:v>
                </c:pt>
                <c:pt idx="16">
                  <c:v>0.95</c:v>
                </c:pt>
                <c:pt idx="17">
                  <c:v>0.3</c:v>
                </c:pt>
                <c:pt idx="18">
                  <c:v>0.1</c:v>
                </c:pt>
                <c:pt idx="19">
                  <c:v>0.1</c:v>
                </c:pt>
                <c:pt idx="20">
                  <c:v>0.1</c:v>
                </c:pt>
                <c:pt idx="21">
                  <c:v>0.1</c:v>
                </c:pt>
                <c:pt idx="22">
                  <c:v>0.05</c:v>
                </c:pt>
                <c:pt idx="23">
                  <c:v>0.05</c:v>
                </c:pt>
              </c:numCache>
            </c:numRef>
          </c:val>
          <c:smooth val="0"/>
          <c:extLst>
            <c:ext xmlns:c16="http://schemas.microsoft.com/office/drawing/2014/chart" uri="{C3380CC4-5D6E-409C-BE32-E72D297353CC}">
              <c16:uniqueId val="{00000000-37C1-4D07-80BC-CB3AE2F28BC6}"/>
            </c:ext>
          </c:extLst>
        </c:ser>
        <c:ser>
          <c:idx val="1"/>
          <c:order val="1"/>
          <c:tx>
            <c:strRef>
              <c:f>Schedules!$E$58</c:f>
              <c:strCache>
                <c:ptCount val="1"/>
                <c:pt idx="0">
                  <c:v>Saturday</c:v>
                </c:pt>
              </c:strCache>
            </c:strRef>
          </c:tx>
          <c:spPr>
            <a:ln w="28575" cap="rnd">
              <a:solidFill>
                <a:schemeClr val="accent2"/>
              </a:solidFill>
              <a:round/>
            </a:ln>
            <a:effectLst/>
          </c:spPr>
          <c:marker>
            <c:symbol val="none"/>
          </c:marker>
          <c:val>
            <c:numRef>
              <c:f>Schedules!$F$58:$AC$58</c:f>
              <c:numCache>
                <c:formatCode>0.00</c:formatCode>
                <c:ptCount val="24"/>
                <c:pt idx="0">
                  <c:v>0</c:v>
                </c:pt>
                <c:pt idx="1">
                  <c:v>0</c:v>
                </c:pt>
                <c:pt idx="2">
                  <c:v>0</c:v>
                </c:pt>
                <c:pt idx="3">
                  <c:v>0</c:v>
                </c:pt>
                <c:pt idx="4">
                  <c:v>0</c:v>
                </c:pt>
                <c:pt idx="5">
                  <c:v>0</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37C1-4D07-80BC-CB3AE2F28BC6}"/>
            </c:ext>
          </c:extLst>
        </c:ser>
        <c:ser>
          <c:idx val="2"/>
          <c:order val="2"/>
          <c:tx>
            <c:strRef>
              <c:f>Schedules!$E$59</c:f>
              <c:strCache>
                <c:ptCount val="1"/>
                <c:pt idx="0">
                  <c:v>Sunday</c:v>
                </c:pt>
              </c:strCache>
            </c:strRef>
          </c:tx>
          <c:spPr>
            <a:ln w="28575" cap="rnd">
              <a:solidFill>
                <a:schemeClr val="accent3"/>
              </a:solidFill>
              <a:round/>
            </a:ln>
            <a:effectLst/>
          </c:spPr>
          <c:marker>
            <c:symbol val="none"/>
          </c:marker>
          <c:val>
            <c:numRef>
              <c:f>Schedules!$F$59:$AC$59</c:f>
              <c:numCache>
                <c:formatCode>0.00</c:formatCode>
                <c:ptCount val="24"/>
                <c:pt idx="0">
                  <c:v>0</c:v>
                </c:pt>
                <c:pt idx="1">
                  <c:v>0</c:v>
                </c:pt>
                <c:pt idx="2">
                  <c:v>0</c:v>
                </c:pt>
                <c:pt idx="3">
                  <c:v>0</c:v>
                </c:pt>
                <c:pt idx="4">
                  <c:v>0</c:v>
                </c:pt>
                <c:pt idx="5">
                  <c:v>0</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37C1-4D07-80BC-CB3AE2F28BC6}"/>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Schedules!$C$72</c:f>
          <c:strCache>
            <c:ptCount val="1"/>
            <c:pt idx="0">
              <c:v>Infiltration</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Schedules!$E$72</c:f>
              <c:strCache>
                <c:ptCount val="1"/>
                <c:pt idx="0">
                  <c:v>Weekday</c:v>
                </c:pt>
              </c:strCache>
            </c:strRef>
          </c:tx>
          <c:spPr>
            <a:ln w="28575" cap="rnd">
              <a:solidFill>
                <a:schemeClr val="accent1"/>
              </a:solidFill>
              <a:round/>
            </a:ln>
            <a:effectLst/>
          </c:spPr>
          <c:marker>
            <c:symbol val="none"/>
          </c:marker>
          <c:val>
            <c:numRef>
              <c:f>Schedules!$F$72:$AC$72</c:f>
              <c:numCache>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0-12AC-4F55-879C-80C92EF74F31}"/>
            </c:ext>
          </c:extLst>
        </c:ser>
        <c:ser>
          <c:idx val="1"/>
          <c:order val="1"/>
          <c:tx>
            <c:strRef>
              <c:f>Schedules!$E$73</c:f>
              <c:strCache>
                <c:ptCount val="1"/>
                <c:pt idx="0">
                  <c:v>Saturday</c:v>
                </c:pt>
              </c:strCache>
            </c:strRef>
          </c:tx>
          <c:spPr>
            <a:ln w="28575" cap="rnd">
              <a:solidFill>
                <a:schemeClr val="accent2"/>
              </a:solidFill>
              <a:round/>
            </a:ln>
            <a:effectLst/>
          </c:spPr>
          <c:marker>
            <c:symbol val="none"/>
          </c:marker>
          <c:val>
            <c:numRef>
              <c:f>Schedules!$F$73:$AC$73</c:f>
              <c:numCache>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1-12AC-4F55-879C-80C92EF74F31}"/>
            </c:ext>
          </c:extLst>
        </c:ser>
        <c:ser>
          <c:idx val="2"/>
          <c:order val="2"/>
          <c:tx>
            <c:strRef>
              <c:f>Schedules!$E$74</c:f>
              <c:strCache>
                <c:ptCount val="1"/>
                <c:pt idx="0">
                  <c:v>Sunday</c:v>
                </c:pt>
              </c:strCache>
            </c:strRef>
          </c:tx>
          <c:spPr>
            <a:ln w="28575" cap="rnd">
              <a:solidFill>
                <a:schemeClr val="accent3"/>
              </a:solidFill>
              <a:round/>
            </a:ln>
            <a:effectLst/>
          </c:spPr>
          <c:marker>
            <c:symbol val="none"/>
          </c:marker>
          <c:val>
            <c:numRef>
              <c:f>Schedules!$F$74:$AC$74</c:f>
              <c:numCache>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2-12AC-4F55-879C-80C92EF74F31}"/>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Assembly Elevator</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spPr>
            <a:ln w="28575" cap="rnd">
              <a:solidFill>
                <a:schemeClr val="accent1"/>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0-01DF-4F16-99AF-01E1B8DDB62F}"/>
            </c:ext>
          </c:extLst>
        </c:ser>
        <c:ser>
          <c:idx val="1"/>
          <c:order val="1"/>
          <c:spPr>
            <a:ln w="28575" cap="rnd">
              <a:solidFill>
                <a:schemeClr val="accent2"/>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1-01DF-4F16-99AF-01E1B8DDB62F}"/>
            </c:ext>
          </c:extLst>
        </c:ser>
        <c:ser>
          <c:idx val="2"/>
          <c:order val="2"/>
          <c:spPr>
            <a:ln w="28575" cap="rnd">
              <a:solidFill>
                <a:schemeClr val="accent3"/>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2-01DF-4F16-99AF-01E1B8DDB62F}"/>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Schedules!$C$4</c:f>
          <c:strCache>
            <c:ptCount val="1"/>
            <c:pt idx="0">
              <c:v>Occupancy</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Schedules!$E$4</c:f>
              <c:strCache>
                <c:ptCount val="1"/>
                <c:pt idx="0">
                  <c:v>Weekday</c:v>
                </c:pt>
              </c:strCache>
            </c:strRef>
          </c:tx>
          <c:spPr>
            <a:ln w="28575" cap="rnd">
              <a:solidFill>
                <a:schemeClr val="accent1"/>
              </a:solidFill>
              <a:round/>
            </a:ln>
            <a:effectLst/>
          </c:spPr>
          <c:marker>
            <c:symbol val="none"/>
          </c:marker>
          <c:val>
            <c:numRef>
              <c:f>Schedules!$F$4:$AC$4</c:f>
              <c:numCache>
                <c:formatCode>0.00</c:formatCode>
                <c:ptCount val="24"/>
                <c:pt idx="0">
                  <c:v>0</c:v>
                </c:pt>
                <c:pt idx="1">
                  <c:v>0</c:v>
                </c:pt>
                <c:pt idx="2">
                  <c:v>0</c:v>
                </c:pt>
                <c:pt idx="3">
                  <c:v>0</c:v>
                </c:pt>
                <c:pt idx="4">
                  <c:v>0</c:v>
                </c:pt>
                <c:pt idx="5">
                  <c:v>0.15</c:v>
                </c:pt>
                <c:pt idx="6">
                  <c:v>0.7</c:v>
                </c:pt>
                <c:pt idx="7">
                  <c:v>0.9</c:v>
                </c:pt>
                <c:pt idx="8">
                  <c:v>0.9</c:v>
                </c:pt>
                <c:pt idx="9">
                  <c:v>0.9</c:v>
                </c:pt>
                <c:pt idx="10">
                  <c:v>0.9</c:v>
                </c:pt>
                <c:pt idx="11">
                  <c:v>0.9</c:v>
                </c:pt>
                <c:pt idx="12">
                  <c:v>0.5</c:v>
                </c:pt>
                <c:pt idx="13">
                  <c:v>0.85</c:v>
                </c:pt>
                <c:pt idx="14">
                  <c:v>0.85</c:v>
                </c:pt>
                <c:pt idx="15">
                  <c:v>0.2</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0-3883-423A-9D30-BCCF0FB1CCB4}"/>
            </c:ext>
          </c:extLst>
        </c:ser>
        <c:ser>
          <c:idx val="1"/>
          <c:order val="1"/>
          <c:tx>
            <c:strRef>
              <c:f>Schedules!$E$5</c:f>
              <c:strCache>
                <c:ptCount val="1"/>
                <c:pt idx="0">
                  <c:v>Saturday</c:v>
                </c:pt>
              </c:strCache>
            </c:strRef>
          </c:tx>
          <c:spPr>
            <a:ln w="28575" cap="rnd">
              <a:solidFill>
                <a:schemeClr val="accent2"/>
              </a:solidFill>
              <a:round/>
            </a:ln>
            <a:effectLst/>
          </c:spPr>
          <c:marker>
            <c:symbol val="none"/>
          </c:marker>
          <c:val>
            <c:numRef>
              <c:f>Schedules!$F$5:$AC$5</c:f>
              <c:numCache>
                <c:formatCode>0.00</c:formatCode>
                <c:ptCount val="24"/>
                <c:pt idx="0">
                  <c:v>0</c:v>
                </c:pt>
                <c:pt idx="1">
                  <c:v>0</c:v>
                </c:pt>
                <c:pt idx="2">
                  <c:v>0</c:v>
                </c:pt>
                <c:pt idx="3">
                  <c:v>0</c:v>
                </c:pt>
                <c:pt idx="4">
                  <c:v>0</c:v>
                </c:pt>
                <c:pt idx="5">
                  <c:v>0.15</c:v>
                </c:pt>
                <c:pt idx="6">
                  <c:v>0.7</c:v>
                </c:pt>
                <c:pt idx="7">
                  <c:v>0.9</c:v>
                </c:pt>
                <c:pt idx="8">
                  <c:v>0.9</c:v>
                </c:pt>
                <c:pt idx="9">
                  <c:v>0.9</c:v>
                </c:pt>
                <c:pt idx="10">
                  <c:v>0.9</c:v>
                </c:pt>
                <c:pt idx="11">
                  <c:v>0.9</c:v>
                </c:pt>
                <c:pt idx="12">
                  <c:v>0.5</c:v>
                </c:pt>
                <c:pt idx="13">
                  <c:v>0.85</c:v>
                </c:pt>
                <c:pt idx="14">
                  <c:v>0.85</c:v>
                </c:pt>
                <c:pt idx="15">
                  <c:v>0.2</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3883-423A-9D30-BCCF0FB1CCB4}"/>
            </c:ext>
          </c:extLst>
        </c:ser>
        <c:ser>
          <c:idx val="2"/>
          <c:order val="2"/>
          <c:tx>
            <c:strRef>
              <c:f>Schedules!$E$6</c:f>
              <c:strCache>
                <c:ptCount val="1"/>
                <c:pt idx="0">
                  <c:v>Sunday</c:v>
                </c:pt>
              </c:strCache>
            </c:strRef>
          </c:tx>
          <c:spPr>
            <a:ln w="28575" cap="rnd">
              <a:solidFill>
                <a:schemeClr val="accent3"/>
              </a:solidFill>
              <a:round/>
            </a:ln>
            <a:effectLst/>
          </c:spPr>
          <c:marker>
            <c:symbol val="none"/>
          </c:marker>
          <c:val>
            <c:numRef>
              <c:f>Schedules!$F$6:$AC$6</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3883-423A-9D30-BCCF0FB1CCB4}"/>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Schedules!$C$7</c:f>
          <c:strCache>
            <c:ptCount val="1"/>
            <c:pt idx="0">
              <c:v>Lights</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Schedules!$E$32</c:f>
              <c:strCache>
                <c:ptCount val="1"/>
                <c:pt idx="0">
                  <c:v>Weekday</c:v>
                </c:pt>
              </c:strCache>
            </c:strRef>
          </c:tx>
          <c:spPr>
            <a:ln w="28575" cap="rnd">
              <a:solidFill>
                <a:schemeClr val="accent1"/>
              </a:solidFill>
              <a:round/>
            </a:ln>
            <a:effectLst/>
          </c:spPr>
          <c:marker>
            <c:symbol val="none"/>
          </c:marker>
          <c:val>
            <c:numRef>
              <c:f>Schedules!$F$32:$AC$32</c:f>
              <c:numCache>
                <c:formatCode>0.00</c:formatCode>
                <c:ptCount val="24"/>
                <c:pt idx="0">
                  <c:v>0.05</c:v>
                </c:pt>
                <c:pt idx="1">
                  <c:v>0.05</c:v>
                </c:pt>
                <c:pt idx="2">
                  <c:v>0.05</c:v>
                </c:pt>
                <c:pt idx="3">
                  <c:v>0.05</c:v>
                </c:pt>
                <c:pt idx="4">
                  <c:v>0.05</c:v>
                </c:pt>
                <c:pt idx="5">
                  <c:v>0.45</c:v>
                </c:pt>
                <c:pt idx="6">
                  <c:v>0.55000000000000004</c:v>
                </c:pt>
                <c:pt idx="7">
                  <c:v>0.55000000000000004</c:v>
                </c:pt>
                <c:pt idx="8">
                  <c:v>0.55000000000000004</c:v>
                </c:pt>
                <c:pt idx="9">
                  <c:v>0.55000000000000004</c:v>
                </c:pt>
                <c:pt idx="10">
                  <c:v>0.55000000000000004</c:v>
                </c:pt>
                <c:pt idx="11">
                  <c:v>0.55000000000000004</c:v>
                </c:pt>
                <c:pt idx="12">
                  <c:v>0.55000000000000004</c:v>
                </c:pt>
                <c:pt idx="13">
                  <c:v>0.55000000000000004</c:v>
                </c:pt>
                <c:pt idx="14">
                  <c:v>0.55000000000000004</c:v>
                </c:pt>
                <c:pt idx="15">
                  <c:v>0.55000000000000004</c:v>
                </c:pt>
                <c:pt idx="16">
                  <c:v>0.3</c:v>
                </c:pt>
                <c:pt idx="17">
                  <c:v>0.05</c:v>
                </c:pt>
                <c:pt idx="18">
                  <c:v>0.05</c:v>
                </c:pt>
                <c:pt idx="19">
                  <c:v>0.05</c:v>
                </c:pt>
                <c:pt idx="20">
                  <c:v>0.05</c:v>
                </c:pt>
                <c:pt idx="21">
                  <c:v>0.05</c:v>
                </c:pt>
                <c:pt idx="22">
                  <c:v>0.05</c:v>
                </c:pt>
                <c:pt idx="23">
                  <c:v>0.05</c:v>
                </c:pt>
              </c:numCache>
            </c:numRef>
          </c:val>
          <c:smooth val="0"/>
          <c:extLst>
            <c:ext xmlns:c16="http://schemas.microsoft.com/office/drawing/2014/chart" uri="{C3380CC4-5D6E-409C-BE32-E72D297353CC}">
              <c16:uniqueId val="{00000000-6154-4A70-9575-38692BF31DB6}"/>
            </c:ext>
          </c:extLst>
        </c:ser>
        <c:ser>
          <c:idx val="1"/>
          <c:order val="1"/>
          <c:tx>
            <c:strRef>
              <c:f>Schedules!$E$33</c:f>
              <c:strCache>
                <c:ptCount val="1"/>
                <c:pt idx="0">
                  <c:v>Saturday</c:v>
                </c:pt>
              </c:strCache>
            </c:strRef>
          </c:tx>
          <c:spPr>
            <a:ln w="28575" cap="rnd">
              <a:solidFill>
                <a:schemeClr val="accent2"/>
              </a:solidFill>
              <a:round/>
            </a:ln>
            <a:effectLst/>
          </c:spPr>
          <c:marker>
            <c:symbol val="none"/>
          </c:marker>
          <c:val>
            <c:numRef>
              <c:f>Schedules!$F$33:$AC$33</c:f>
              <c:numCache>
                <c:formatCode>0.00</c:formatCode>
                <c:ptCount val="24"/>
                <c:pt idx="0">
                  <c:v>0.05</c:v>
                </c:pt>
                <c:pt idx="1">
                  <c:v>0.05</c:v>
                </c:pt>
                <c:pt idx="2">
                  <c:v>0.05</c:v>
                </c:pt>
                <c:pt idx="3">
                  <c:v>0.05</c:v>
                </c:pt>
                <c:pt idx="4">
                  <c:v>0.05</c:v>
                </c:pt>
                <c:pt idx="5">
                  <c:v>0.45</c:v>
                </c:pt>
                <c:pt idx="6">
                  <c:v>0.55000000000000004</c:v>
                </c:pt>
                <c:pt idx="7">
                  <c:v>0.55000000000000004</c:v>
                </c:pt>
                <c:pt idx="8">
                  <c:v>0.55000000000000004</c:v>
                </c:pt>
                <c:pt idx="9">
                  <c:v>0.55000000000000004</c:v>
                </c:pt>
                <c:pt idx="10">
                  <c:v>0.55000000000000004</c:v>
                </c:pt>
                <c:pt idx="11">
                  <c:v>0.55000000000000004</c:v>
                </c:pt>
                <c:pt idx="12">
                  <c:v>0.55000000000000004</c:v>
                </c:pt>
                <c:pt idx="13">
                  <c:v>0.55000000000000004</c:v>
                </c:pt>
                <c:pt idx="14">
                  <c:v>0.55000000000000004</c:v>
                </c:pt>
                <c:pt idx="15">
                  <c:v>0.55000000000000004</c:v>
                </c:pt>
                <c:pt idx="16">
                  <c:v>0.3</c:v>
                </c:pt>
                <c:pt idx="17">
                  <c:v>0.05</c:v>
                </c:pt>
                <c:pt idx="18">
                  <c:v>0.05</c:v>
                </c:pt>
                <c:pt idx="19">
                  <c:v>0.05</c:v>
                </c:pt>
                <c:pt idx="20">
                  <c:v>0.05</c:v>
                </c:pt>
                <c:pt idx="21">
                  <c:v>0.05</c:v>
                </c:pt>
                <c:pt idx="22">
                  <c:v>0.05</c:v>
                </c:pt>
                <c:pt idx="23">
                  <c:v>0.05</c:v>
                </c:pt>
              </c:numCache>
            </c:numRef>
          </c:val>
          <c:smooth val="0"/>
          <c:extLst>
            <c:ext xmlns:c16="http://schemas.microsoft.com/office/drawing/2014/chart" uri="{C3380CC4-5D6E-409C-BE32-E72D297353CC}">
              <c16:uniqueId val="{00000001-6154-4A70-9575-38692BF31DB6}"/>
            </c:ext>
          </c:extLst>
        </c:ser>
        <c:ser>
          <c:idx val="2"/>
          <c:order val="2"/>
          <c:tx>
            <c:strRef>
              <c:f>Schedules!$E$34</c:f>
              <c:strCache>
                <c:ptCount val="1"/>
                <c:pt idx="0">
                  <c:v>Sunday</c:v>
                </c:pt>
              </c:strCache>
            </c:strRef>
          </c:tx>
          <c:spPr>
            <a:ln w="28575" cap="rnd">
              <a:solidFill>
                <a:schemeClr val="accent3"/>
              </a:solidFill>
              <a:round/>
            </a:ln>
            <a:effectLst/>
          </c:spPr>
          <c:marker>
            <c:symbol val="none"/>
          </c:marker>
          <c:val>
            <c:numRef>
              <c:f>Schedules!$F$34:$AC$34</c:f>
              <c:numCache>
                <c:formatCode>0.00</c:formatCode>
                <c:ptCount val="24"/>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numCache>
            </c:numRef>
          </c:val>
          <c:smooth val="0"/>
          <c:extLst>
            <c:ext xmlns:c16="http://schemas.microsoft.com/office/drawing/2014/chart" uri="{C3380CC4-5D6E-409C-BE32-E72D297353CC}">
              <c16:uniqueId val="{00000002-6154-4A70-9575-38692BF31DB6}"/>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Schedules!$C$10</c:f>
          <c:strCache>
            <c:ptCount val="1"/>
            <c:pt idx="0">
              <c:v>ElecEquipment</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Schedules!$E$35</c:f>
              <c:strCache>
                <c:ptCount val="1"/>
                <c:pt idx="0">
                  <c:v>Weekday</c:v>
                </c:pt>
              </c:strCache>
            </c:strRef>
          </c:tx>
          <c:spPr>
            <a:ln w="28575" cap="rnd">
              <a:solidFill>
                <a:schemeClr val="accent1"/>
              </a:solidFill>
              <a:round/>
            </a:ln>
            <a:effectLst/>
          </c:spPr>
          <c:marker>
            <c:symbol val="none"/>
          </c:marker>
          <c:val>
            <c:numRef>
              <c:f>Schedules!$F$35:$AC$35</c:f>
              <c:numCache>
                <c:formatCode>0.00</c:formatCode>
                <c:ptCount val="24"/>
                <c:pt idx="0">
                  <c:v>0.05</c:v>
                </c:pt>
                <c:pt idx="1">
                  <c:v>0.05</c:v>
                </c:pt>
                <c:pt idx="2">
                  <c:v>0.05</c:v>
                </c:pt>
                <c:pt idx="3">
                  <c:v>0.05</c:v>
                </c:pt>
                <c:pt idx="4">
                  <c:v>0.05</c:v>
                </c:pt>
                <c:pt idx="5">
                  <c:v>0.5</c:v>
                </c:pt>
                <c:pt idx="6">
                  <c:v>0.9</c:v>
                </c:pt>
                <c:pt idx="7">
                  <c:v>0.9</c:v>
                </c:pt>
                <c:pt idx="8">
                  <c:v>0.9</c:v>
                </c:pt>
                <c:pt idx="9">
                  <c:v>0.9</c:v>
                </c:pt>
                <c:pt idx="10">
                  <c:v>0.9</c:v>
                </c:pt>
                <c:pt idx="11">
                  <c:v>0.9</c:v>
                </c:pt>
                <c:pt idx="12">
                  <c:v>0.9</c:v>
                </c:pt>
                <c:pt idx="13">
                  <c:v>0.9</c:v>
                </c:pt>
                <c:pt idx="14">
                  <c:v>0.9</c:v>
                </c:pt>
                <c:pt idx="15">
                  <c:v>0.65</c:v>
                </c:pt>
                <c:pt idx="16">
                  <c:v>0.25</c:v>
                </c:pt>
                <c:pt idx="17">
                  <c:v>0.05</c:v>
                </c:pt>
                <c:pt idx="18">
                  <c:v>0.05</c:v>
                </c:pt>
                <c:pt idx="19">
                  <c:v>0.05</c:v>
                </c:pt>
                <c:pt idx="20">
                  <c:v>0.05</c:v>
                </c:pt>
                <c:pt idx="21">
                  <c:v>0.05</c:v>
                </c:pt>
                <c:pt idx="22">
                  <c:v>0.05</c:v>
                </c:pt>
                <c:pt idx="23">
                  <c:v>0.05</c:v>
                </c:pt>
              </c:numCache>
            </c:numRef>
          </c:val>
          <c:smooth val="0"/>
          <c:extLst>
            <c:ext xmlns:c16="http://schemas.microsoft.com/office/drawing/2014/chart" uri="{C3380CC4-5D6E-409C-BE32-E72D297353CC}">
              <c16:uniqueId val="{00000000-A8A4-4B59-B02E-61A2306003C7}"/>
            </c:ext>
          </c:extLst>
        </c:ser>
        <c:ser>
          <c:idx val="1"/>
          <c:order val="1"/>
          <c:tx>
            <c:strRef>
              <c:f>Schedules!$E$36</c:f>
              <c:strCache>
                <c:ptCount val="1"/>
                <c:pt idx="0">
                  <c:v>Saturday</c:v>
                </c:pt>
              </c:strCache>
            </c:strRef>
          </c:tx>
          <c:spPr>
            <a:ln w="28575" cap="rnd">
              <a:solidFill>
                <a:schemeClr val="accent2"/>
              </a:solidFill>
              <a:round/>
            </a:ln>
            <a:effectLst/>
          </c:spPr>
          <c:marker>
            <c:symbol val="none"/>
          </c:marker>
          <c:val>
            <c:numRef>
              <c:f>Schedules!$F$36:$AC$36</c:f>
              <c:numCache>
                <c:formatCode>0.00</c:formatCode>
                <c:ptCount val="24"/>
                <c:pt idx="0">
                  <c:v>0.05</c:v>
                </c:pt>
                <c:pt idx="1">
                  <c:v>0.05</c:v>
                </c:pt>
                <c:pt idx="2">
                  <c:v>0.05</c:v>
                </c:pt>
                <c:pt idx="3">
                  <c:v>0.05</c:v>
                </c:pt>
                <c:pt idx="4">
                  <c:v>0.05</c:v>
                </c:pt>
                <c:pt idx="5">
                  <c:v>0.5</c:v>
                </c:pt>
                <c:pt idx="6">
                  <c:v>0.9</c:v>
                </c:pt>
                <c:pt idx="7">
                  <c:v>0.9</c:v>
                </c:pt>
                <c:pt idx="8">
                  <c:v>0.9</c:v>
                </c:pt>
                <c:pt idx="9">
                  <c:v>0.9</c:v>
                </c:pt>
                <c:pt idx="10">
                  <c:v>0.9</c:v>
                </c:pt>
                <c:pt idx="11">
                  <c:v>0.9</c:v>
                </c:pt>
                <c:pt idx="12">
                  <c:v>0.9</c:v>
                </c:pt>
                <c:pt idx="13">
                  <c:v>0.9</c:v>
                </c:pt>
                <c:pt idx="14">
                  <c:v>0.9</c:v>
                </c:pt>
                <c:pt idx="15">
                  <c:v>0.65</c:v>
                </c:pt>
                <c:pt idx="16">
                  <c:v>0.25</c:v>
                </c:pt>
                <c:pt idx="17">
                  <c:v>0.05</c:v>
                </c:pt>
                <c:pt idx="18">
                  <c:v>0.05</c:v>
                </c:pt>
                <c:pt idx="19">
                  <c:v>0.05</c:v>
                </c:pt>
                <c:pt idx="20">
                  <c:v>0.05</c:v>
                </c:pt>
                <c:pt idx="21">
                  <c:v>0.05</c:v>
                </c:pt>
                <c:pt idx="22">
                  <c:v>0.05</c:v>
                </c:pt>
                <c:pt idx="23">
                  <c:v>0.05</c:v>
                </c:pt>
              </c:numCache>
            </c:numRef>
          </c:val>
          <c:smooth val="0"/>
          <c:extLst>
            <c:ext xmlns:c16="http://schemas.microsoft.com/office/drawing/2014/chart" uri="{C3380CC4-5D6E-409C-BE32-E72D297353CC}">
              <c16:uniqueId val="{00000001-A8A4-4B59-B02E-61A2306003C7}"/>
            </c:ext>
          </c:extLst>
        </c:ser>
        <c:ser>
          <c:idx val="2"/>
          <c:order val="2"/>
          <c:tx>
            <c:strRef>
              <c:f>Schedules!$E$37</c:f>
              <c:strCache>
                <c:ptCount val="1"/>
                <c:pt idx="0">
                  <c:v>Sunday</c:v>
                </c:pt>
              </c:strCache>
            </c:strRef>
          </c:tx>
          <c:spPr>
            <a:ln w="28575" cap="rnd">
              <a:solidFill>
                <a:schemeClr val="accent3"/>
              </a:solidFill>
              <a:round/>
            </a:ln>
            <a:effectLst/>
          </c:spPr>
          <c:marker>
            <c:symbol val="none"/>
          </c:marker>
          <c:val>
            <c:numRef>
              <c:f>Schedules!$F$37:$AC$37</c:f>
              <c:numCache>
                <c:formatCode>0.00</c:formatCode>
                <c:ptCount val="24"/>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numCache>
            </c:numRef>
          </c:val>
          <c:smooth val="0"/>
          <c:extLst>
            <c:ext xmlns:c16="http://schemas.microsoft.com/office/drawing/2014/chart" uri="{C3380CC4-5D6E-409C-BE32-E72D297353CC}">
              <c16:uniqueId val="{00000002-A8A4-4B59-B02E-61A2306003C7}"/>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Schedules!$C$19</c:f>
          <c:strCache>
            <c:ptCount val="1"/>
            <c:pt idx="0">
              <c:v>Infiltration</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Schedules!$E$44</c:f>
              <c:strCache>
                <c:ptCount val="1"/>
                <c:pt idx="0">
                  <c:v>Weekday</c:v>
                </c:pt>
              </c:strCache>
            </c:strRef>
          </c:tx>
          <c:spPr>
            <a:ln w="28575" cap="rnd">
              <a:solidFill>
                <a:schemeClr val="accent1"/>
              </a:solidFill>
              <a:round/>
            </a:ln>
            <a:effectLst/>
          </c:spPr>
          <c:marker>
            <c:symbol val="none"/>
          </c:marker>
          <c:val>
            <c:numRef>
              <c:f>Schedules!$F$44:$AC$44</c:f>
              <c:numCache>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0-8F6C-4FFD-A864-95FD32CFA754}"/>
            </c:ext>
          </c:extLst>
        </c:ser>
        <c:ser>
          <c:idx val="1"/>
          <c:order val="1"/>
          <c:tx>
            <c:strRef>
              <c:f>Schedules!$E$45</c:f>
              <c:strCache>
                <c:ptCount val="1"/>
                <c:pt idx="0">
                  <c:v>Saturday</c:v>
                </c:pt>
              </c:strCache>
            </c:strRef>
          </c:tx>
          <c:spPr>
            <a:ln w="28575" cap="rnd">
              <a:solidFill>
                <a:schemeClr val="accent2"/>
              </a:solidFill>
              <a:round/>
            </a:ln>
            <a:effectLst/>
          </c:spPr>
          <c:marker>
            <c:symbol val="none"/>
          </c:marker>
          <c:val>
            <c:numRef>
              <c:f>Schedules!$F$45:$AC$45</c:f>
              <c:numCache>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1-8F6C-4FFD-A864-95FD32CFA754}"/>
            </c:ext>
          </c:extLst>
        </c:ser>
        <c:ser>
          <c:idx val="2"/>
          <c:order val="2"/>
          <c:tx>
            <c:strRef>
              <c:f>Schedules!$E$46</c:f>
              <c:strCache>
                <c:ptCount val="1"/>
                <c:pt idx="0">
                  <c:v>Sunday</c:v>
                </c:pt>
              </c:strCache>
            </c:strRef>
          </c:tx>
          <c:spPr>
            <a:ln w="28575" cap="rnd">
              <a:solidFill>
                <a:schemeClr val="accent3"/>
              </a:solidFill>
              <a:round/>
            </a:ln>
            <a:effectLst/>
          </c:spPr>
          <c:marker>
            <c:symbol val="none"/>
          </c:marker>
          <c:val>
            <c:numRef>
              <c:f>Schedules!$F$46:$AC$46</c:f>
              <c:numCache>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2-8F6C-4FFD-A864-95FD32CFA754}"/>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Schedules!$C$13</c:f>
          <c:strCache>
            <c:ptCount val="1"/>
            <c:pt idx="0">
              <c:v>HVACAvail</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Schedules!$E$38</c:f>
              <c:strCache>
                <c:ptCount val="1"/>
                <c:pt idx="0">
                  <c:v>Weekday</c:v>
                </c:pt>
              </c:strCache>
            </c:strRef>
          </c:tx>
          <c:spPr>
            <a:ln w="28575" cap="rnd">
              <a:solidFill>
                <a:schemeClr val="accent1"/>
              </a:solidFill>
              <a:round/>
            </a:ln>
            <a:effectLst/>
          </c:spPr>
          <c:marker>
            <c:symbol val="none"/>
          </c:marker>
          <c:val>
            <c:numRef>
              <c:f>Schedules!$F$38:$AC$38</c:f>
              <c:numCache>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0-D766-4B3F-B9B0-C8128F073A0A}"/>
            </c:ext>
          </c:extLst>
        </c:ser>
        <c:ser>
          <c:idx val="1"/>
          <c:order val="1"/>
          <c:tx>
            <c:strRef>
              <c:f>Schedules!$E$39</c:f>
              <c:strCache>
                <c:ptCount val="1"/>
                <c:pt idx="0">
                  <c:v>Saturday</c:v>
                </c:pt>
              </c:strCache>
            </c:strRef>
          </c:tx>
          <c:spPr>
            <a:ln w="28575" cap="rnd">
              <a:solidFill>
                <a:schemeClr val="accent2"/>
              </a:solidFill>
              <a:round/>
            </a:ln>
            <a:effectLst/>
          </c:spPr>
          <c:marker>
            <c:symbol val="none"/>
          </c:marker>
          <c:val>
            <c:numRef>
              <c:f>Schedules!$F$39:$AC$39</c:f>
              <c:numCache>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1-D766-4B3F-B9B0-C8128F073A0A}"/>
            </c:ext>
          </c:extLst>
        </c:ser>
        <c:ser>
          <c:idx val="2"/>
          <c:order val="2"/>
          <c:tx>
            <c:strRef>
              <c:f>Schedules!$E$40</c:f>
              <c:strCache>
                <c:ptCount val="1"/>
                <c:pt idx="0">
                  <c:v>Sunday</c:v>
                </c:pt>
              </c:strCache>
            </c:strRef>
          </c:tx>
          <c:spPr>
            <a:ln w="28575" cap="rnd">
              <a:solidFill>
                <a:schemeClr val="accent3"/>
              </a:solidFill>
              <a:round/>
            </a:ln>
            <a:effectLst/>
          </c:spPr>
          <c:marker>
            <c:symbol val="none"/>
          </c:marker>
          <c:val>
            <c:numRef>
              <c:f>Schedules!$F$40:$AC$40</c:f>
              <c:numCache>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2-D766-4B3F-B9B0-C8128F073A0A}"/>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Schedules!$C$16</c:f>
          <c:strCache>
            <c:ptCount val="1"/>
            <c:pt idx="0">
              <c:v>ServiceHotWater</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Schedules!$E$41</c:f>
              <c:strCache>
                <c:ptCount val="1"/>
                <c:pt idx="0">
                  <c:v>Weekday</c:v>
                </c:pt>
              </c:strCache>
            </c:strRef>
          </c:tx>
          <c:spPr>
            <a:ln w="28575" cap="rnd">
              <a:solidFill>
                <a:schemeClr val="accent1"/>
              </a:solidFill>
              <a:round/>
            </a:ln>
            <a:effectLst/>
          </c:spPr>
          <c:marker>
            <c:symbol val="none"/>
          </c:marker>
          <c:val>
            <c:numRef>
              <c:f>Schedules!$F$41:$AC$41</c:f>
              <c:numCache>
                <c:formatCode>0.00</c:formatCode>
                <c:ptCount val="24"/>
                <c:pt idx="0">
                  <c:v>0.02</c:v>
                </c:pt>
                <c:pt idx="1">
                  <c:v>0.02</c:v>
                </c:pt>
                <c:pt idx="2">
                  <c:v>0.02</c:v>
                </c:pt>
                <c:pt idx="3">
                  <c:v>0.05</c:v>
                </c:pt>
                <c:pt idx="4">
                  <c:v>7.0000000000000007E-2</c:v>
                </c:pt>
                <c:pt idx="5">
                  <c:v>0.1</c:v>
                </c:pt>
                <c:pt idx="6">
                  <c:v>0.3</c:v>
                </c:pt>
                <c:pt idx="7">
                  <c:v>0.36</c:v>
                </c:pt>
                <c:pt idx="8">
                  <c:v>0.36</c:v>
                </c:pt>
                <c:pt idx="9">
                  <c:v>0.36</c:v>
                </c:pt>
                <c:pt idx="10">
                  <c:v>0.36</c:v>
                </c:pt>
                <c:pt idx="11">
                  <c:v>0.46</c:v>
                </c:pt>
                <c:pt idx="12">
                  <c:v>0.56999999999999995</c:v>
                </c:pt>
                <c:pt idx="13">
                  <c:v>0.43</c:v>
                </c:pt>
                <c:pt idx="14">
                  <c:v>0.4</c:v>
                </c:pt>
                <c:pt idx="15">
                  <c:v>0.3</c:v>
                </c:pt>
                <c:pt idx="16">
                  <c:v>0.18</c:v>
                </c:pt>
                <c:pt idx="17">
                  <c:v>0.18</c:v>
                </c:pt>
                <c:pt idx="18">
                  <c:v>0.03</c:v>
                </c:pt>
                <c:pt idx="19">
                  <c:v>0.03</c:v>
                </c:pt>
                <c:pt idx="20">
                  <c:v>0.03</c:v>
                </c:pt>
                <c:pt idx="21">
                  <c:v>0.03</c:v>
                </c:pt>
                <c:pt idx="22">
                  <c:v>0.03</c:v>
                </c:pt>
                <c:pt idx="23">
                  <c:v>0.03</c:v>
                </c:pt>
              </c:numCache>
            </c:numRef>
          </c:val>
          <c:smooth val="0"/>
          <c:extLst>
            <c:ext xmlns:c16="http://schemas.microsoft.com/office/drawing/2014/chart" uri="{C3380CC4-5D6E-409C-BE32-E72D297353CC}">
              <c16:uniqueId val="{00000000-029B-46F0-9E9D-D63D1E27469B}"/>
            </c:ext>
          </c:extLst>
        </c:ser>
        <c:ser>
          <c:idx val="1"/>
          <c:order val="1"/>
          <c:tx>
            <c:strRef>
              <c:f>Schedules!$E$42</c:f>
              <c:strCache>
                <c:ptCount val="1"/>
                <c:pt idx="0">
                  <c:v>Saturday</c:v>
                </c:pt>
              </c:strCache>
            </c:strRef>
          </c:tx>
          <c:spPr>
            <a:ln w="28575" cap="rnd">
              <a:solidFill>
                <a:schemeClr val="accent2"/>
              </a:solidFill>
              <a:round/>
            </a:ln>
            <a:effectLst/>
          </c:spPr>
          <c:marker>
            <c:symbol val="none"/>
          </c:marker>
          <c:val>
            <c:numRef>
              <c:f>Schedules!$F$42:$AC$42</c:f>
              <c:numCache>
                <c:formatCode>0.00</c:formatCode>
                <c:ptCount val="24"/>
                <c:pt idx="0">
                  <c:v>0.02</c:v>
                </c:pt>
                <c:pt idx="1">
                  <c:v>0.02</c:v>
                </c:pt>
                <c:pt idx="2">
                  <c:v>0.02</c:v>
                </c:pt>
                <c:pt idx="3">
                  <c:v>0.05</c:v>
                </c:pt>
                <c:pt idx="4">
                  <c:v>7.0000000000000007E-2</c:v>
                </c:pt>
                <c:pt idx="5">
                  <c:v>0.1</c:v>
                </c:pt>
                <c:pt idx="6">
                  <c:v>0.3</c:v>
                </c:pt>
                <c:pt idx="7">
                  <c:v>0.36</c:v>
                </c:pt>
                <c:pt idx="8">
                  <c:v>0.36</c:v>
                </c:pt>
                <c:pt idx="9">
                  <c:v>0.36</c:v>
                </c:pt>
                <c:pt idx="10">
                  <c:v>0.36</c:v>
                </c:pt>
                <c:pt idx="11">
                  <c:v>0.46</c:v>
                </c:pt>
                <c:pt idx="12">
                  <c:v>0.56999999999999995</c:v>
                </c:pt>
                <c:pt idx="13">
                  <c:v>0.43</c:v>
                </c:pt>
                <c:pt idx="14">
                  <c:v>0.4</c:v>
                </c:pt>
                <c:pt idx="15">
                  <c:v>0.3</c:v>
                </c:pt>
                <c:pt idx="16">
                  <c:v>0.18</c:v>
                </c:pt>
                <c:pt idx="17">
                  <c:v>0.18</c:v>
                </c:pt>
                <c:pt idx="18">
                  <c:v>0.03</c:v>
                </c:pt>
                <c:pt idx="19">
                  <c:v>0.03</c:v>
                </c:pt>
                <c:pt idx="20">
                  <c:v>0.03</c:v>
                </c:pt>
                <c:pt idx="21">
                  <c:v>0.03</c:v>
                </c:pt>
                <c:pt idx="22">
                  <c:v>0.03</c:v>
                </c:pt>
                <c:pt idx="23">
                  <c:v>0.03</c:v>
                </c:pt>
              </c:numCache>
            </c:numRef>
          </c:val>
          <c:smooth val="0"/>
          <c:extLst>
            <c:ext xmlns:c16="http://schemas.microsoft.com/office/drawing/2014/chart" uri="{C3380CC4-5D6E-409C-BE32-E72D297353CC}">
              <c16:uniqueId val="{00000001-029B-46F0-9E9D-D63D1E27469B}"/>
            </c:ext>
          </c:extLst>
        </c:ser>
        <c:ser>
          <c:idx val="2"/>
          <c:order val="2"/>
          <c:tx>
            <c:strRef>
              <c:f>Schedules!$E$43</c:f>
              <c:strCache>
                <c:ptCount val="1"/>
                <c:pt idx="0">
                  <c:v>Sunday</c:v>
                </c:pt>
              </c:strCache>
            </c:strRef>
          </c:tx>
          <c:spPr>
            <a:ln w="28575" cap="rnd">
              <a:solidFill>
                <a:schemeClr val="accent3"/>
              </a:solidFill>
              <a:round/>
            </a:ln>
            <a:effectLst/>
          </c:spPr>
          <c:marker>
            <c:symbol val="none"/>
          </c:marker>
          <c:val>
            <c:numRef>
              <c:f>Schedules!$F$43:$AC$43</c:f>
              <c:numCache>
                <c:formatCode>0.00</c:formatCode>
                <c:ptCount val="24"/>
                <c:pt idx="0">
                  <c:v>0.02</c:v>
                </c:pt>
                <c:pt idx="1">
                  <c:v>0.02</c:v>
                </c:pt>
                <c:pt idx="2">
                  <c:v>0.02</c:v>
                </c:pt>
                <c:pt idx="3">
                  <c:v>0.02</c:v>
                </c:pt>
                <c:pt idx="4">
                  <c:v>0.02</c:v>
                </c:pt>
                <c:pt idx="5">
                  <c:v>0.02</c:v>
                </c:pt>
                <c:pt idx="6">
                  <c:v>0.02</c:v>
                </c:pt>
                <c:pt idx="7">
                  <c:v>0.02</c:v>
                </c:pt>
                <c:pt idx="8">
                  <c:v>0.02</c:v>
                </c:pt>
                <c:pt idx="9">
                  <c:v>0.02</c:v>
                </c:pt>
                <c:pt idx="10">
                  <c:v>0.02</c:v>
                </c:pt>
                <c:pt idx="11">
                  <c:v>0.02</c:v>
                </c:pt>
                <c:pt idx="12">
                  <c:v>0.04</c:v>
                </c:pt>
                <c:pt idx="13">
                  <c:v>0.04</c:v>
                </c:pt>
                <c:pt idx="14">
                  <c:v>0.02</c:v>
                </c:pt>
                <c:pt idx="15">
                  <c:v>0.02</c:v>
                </c:pt>
                <c:pt idx="16">
                  <c:v>0.02</c:v>
                </c:pt>
                <c:pt idx="17">
                  <c:v>0.02</c:v>
                </c:pt>
                <c:pt idx="18">
                  <c:v>0.02</c:v>
                </c:pt>
                <c:pt idx="19">
                  <c:v>0.02</c:v>
                </c:pt>
                <c:pt idx="20">
                  <c:v>0.02</c:v>
                </c:pt>
                <c:pt idx="21">
                  <c:v>0.02</c:v>
                </c:pt>
                <c:pt idx="22">
                  <c:v>0.02</c:v>
                </c:pt>
                <c:pt idx="23">
                  <c:v>0.02</c:v>
                </c:pt>
              </c:numCache>
            </c:numRef>
          </c:val>
          <c:smooth val="0"/>
          <c:extLst>
            <c:ext xmlns:c16="http://schemas.microsoft.com/office/drawing/2014/chart" uri="{C3380CC4-5D6E-409C-BE32-E72D297353CC}">
              <c16:uniqueId val="{00000002-029B-46F0-9E9D-D63D1E27469B}"/>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Assembly Elevator</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spPr>
            <a:ln w="28575" cap="rnd">
              <a:solidFill>
                <a:schemeClr val="accent1"/>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0-107E-482C-B912-60536C127BF0}"/>
            </c:ext>
          </c:extLst>
        </c:ser>
        <c:ser>
          <c:idx val="1"/>
          <c:order val="1"/>
          <c:spPr>
            <a:ln w="28575" cap="rnd">
              <a:solidFill>
                <a:schemeClr val="accent2"/>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1-107E-482C-B912-60536C127BF0}"/>
            </c:ext>
          </c:extLst>
        </c:ser>
        <c:ser>
          <c:idx val="2"/>
          <c:order val="2"/>
          <c:spPr>
            <a:ln w="28575" cap="rnd">
              <a:solidFill>
                <a:schemeClr val="accent3"/>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2-107E-482C-B912-60536C127BF0}"/>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Schedules!$C$4</c:f>
          <c:strCache>
            <c:ptCount val="1"/>
            <c:pt idx="0">
              <c:v>Occupancy</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Schedules!$E$29</c:f>
              <c:strCache>
                <c:ptCount val="1"/>
                <c:pt idx="0">
                  <c:v>Weekday</c:v>
                </c:pt>
              </c:strCache>
            </c:strRef>
          </c:tx>
          <c:spPr>
            <a:ln w="28575" cap="rnd">
              <a:solidFill>
                <a:schemeClr val="accent1"/>
              </a:solidFill>
              <a:round/>
            </a:ln>
            <a:effectLst/>
          </c:spPr>
          <c:marker>
            <c:symbol val="none"/>
          </c:marker>
          <c:val>
            <c:numRef>
              <c:f>Schedules!$F$29:$AC$29</c:f>
              <c:numCache>
                <c:formatCode>0.00</c:formatCode>
                <c:ptCount val="24"/>
                <c:pt idx="0">
                  <c:v>0</c:v>
                </c:pt>
                <c:pt idx="1">
                  <c:v>0</c:v>
                </c:pt>
                <c:pt idx="2">
                  <c:v>0</c:v>
                </c:pt>
                <c:pt idx="3">
                  <c:v>0</c:v>
                </c:pt>
                <c:pt idx="4">
                  <c:v>0</c:v>
                </c:pt>
                <c:pt idx="5">
                  <c:v>0.15</c:v>
                </c:pt>
                <c:pt idx="6">
                  <c:v>0.7</c:v>
                </c:pt>
                <c:pt idx="7">
                  <c:v>0.9</c:v>
                </c:pt>
                <c:pt idx="8">
                  <c:v>0.9</c:v>
                </c:pt>
                <c:pt idx="9">
                  <c:v>0.9</c:v>
                </c:pt>
                <c:pt idx="10">
                  <c:v>0.9</c:v>
                </c:pt>
                <c:pt idx="11">
                  <c:v>0.9</c:v>
                </c:pt>
                <c:pt idx="12">
                  <c:v>0.5</c:v>
                </c:pt>
                <c:pt idx="13">
                  <c:v>0.85</c:v>
                </c:pt>
                <c:pt idx="14">
                  <c:v>0.85</c:v>
                </c:pt>
                <c:pt idx="15">
                  <c:v>0.2</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0-C36E-4B33-B774-CAD073BC41BC}"/>
            </c:ext>
          </c:extLst>
        </c:ser>
        <c:ser>
          <c:idx val="1"/>
          <c:order val="1"/>
          <c:tx>
            <c:strRef>
              <c:f>Schedules!$E$30</c:f>
              <c:strCache>
                <c:ptCount val="1"/>
                <c:pt idx="0">
                  <c:v>Saturday</c:v>
                </c:pt>
              </c:strCache>
            </c:strRef>
          </c:tx>
          <c:spPr>
            <a:ln w="28575" cap="rnd">
              <a:solidFill>
                <a:schemeClr val="accent2"/>
              </a:solidFill>
              <a:round/>
            </a:ln>
            <a:effectLst/>
          </c:spPr>
          <c:marker>
            <c:symbol val="none"/>
          </c:marker>
          <c:val>
            <c:numRef>
              <c:f>Schedules!$F$30:$AC$30</c:f>
              <c:numCache>
                <c:formatCode>0.00</c:formatCode>
                <c:ptCount val="24"/>
                <c:pt idx="0">
                  <c:v>0</c:v>
                </c:pt>
                <c:pt idx="1">
                  <c:v>0</c:v>
                </c:pt>
                <c:pt idx="2">
                  <c:v>0</c:v>
                </c:pt>
                <c:pt idx="3">
                  <c:v>0</c:v>
                </c:pt>
                <c:pt idx="4">
                  <c:v>0</c:v>
                </c:pt>
                <c:pt idx="5">
                  <c:v>0.15</c:v>
                </c:pt>
                <c:pt idx="6">
                  <c:v>0.7</c:v>
                </c:pt>
                <c:pt idx="7">
                  <c:v>0.9</c:v>
                </c:pt>
                <c:pt idx="8">
                  <c:v>0.9</c:v>
                </c:pt>
                <c:pt idx="9">
                  <c:v>0.9</c:v>
                </c:pt>
                <c:pt idx="10">
                  <c:v>0.9</c:v>
                </c:pt>
                <c:pt idx="11">
                  <c:v>0.9</c:v>
                </c:pt>
                <c:pt idx="12">
                  <c:v>0.5</c:v>
                </c:pt>
                <c:pt idx="13">
                  <c:v>0.85</c:v>
                </c:pt>
                <c:pt idx="14">
                  <c:v>0.85</c:v>
                </c:pt>
                <c:pt idx="15">
                  <c:v>0.2</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C36E-4B33-B774-CAD073BC41BC}"/>
            </c:ext>
          </c:extLst>
        </c:ser>
        <c:ser>
          <c:idx val="2"/>
          <c:order val="2"/>
          <c:tx>
            <c:strRef>
              <c:f>Schedules!$E$31</c:f>
              <c:strCache>
                <c:ptCount val="1"/>
                <c:pt idx="0">
                  <c:v>Sunday</c:v>
                </c:pt>
              </c:strCache>
            </c:strRef>
          </c:tx>
          <c:spPr>
            <a:ln w="28575" cap="rnd">
              <a:solidFill>
                <a:schemeClr val="accent3"/>
              </a:solidFill>
              <a:round/>
            </a:ln>
            <a:effectLst/>
          </c:spPr>
          <c:marker>
            <c:symbol val="none"/>
          </c:marker>
          <c:val>
            <c:numRef>
              <c:f>Schedules!$F$31:$AC$31</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C36E-4B33-B774-CAD073BC41BC}"/>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r>
              <a:rPr lang="en-US"/>
              <a:t>Warehouse CalBEM Prototype vs. CEUS 2022</a:t>
            </a:r>
          </a:p>
        </c:rich>
      </c:tx>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1"/>
          <c:order val="0"/>
          <c:tx>
            <c:strRef>
              <c:f>'Energy Usage'!$U$2</c:f>
              <c:strCache>
                <c:ptCount val="1"/>
                <c:pt idx="0">
                  <c:v>Acceptable Range (25% Lower)</c:v>
                </c:pt>
              </c:strCache>
            </c:strRef>
          </c:tx>
          <c:spPr>
            <a:noFill/>
            <a:ln>
              <a:noFill/>
            </a:ln>
            <a:effectLst/>
          </c:spPr>
          <c:invertIfNegative val="0"/>
          <c:val>
            <c:numRef>
              <c:f>'Energy Usage'!$U$3:$U$18</c:f>
              <c:numCache>
                <c:formatCode>_(* #,##0.0_);_(* \(#,##0.0\);_(* "-"??_);_(@_)</c:formatCode>
                <c:ptCount val="16"/>
                <c:pt idx="0">
                  <c:v>24.051756495652484</c:v>
                </c:pt>
                <c:pt idx="1">
                  <c:v>14.666510441377531</c:v>
                </c:pt>
                <c:pt idx="2">
                  <c:v>24.663503138755758</c:v>
                </c:pt>
                <c:pt idx="3">
                  <c:v>24.472388326997972</c:v>
                </c:pt>
                <c:pt idx="4">
                  <c:v>34.601922916453475</c:v>
                </c:pt>
                <c:pt idx="5">
                  <c:v>13.496403452953501</c:v>
                </c:pt>
                <c:pt idx="6">
                  <c:v>18.900549275791811</c:v>
                </c:pt>
                <c:pt idx="7">
                  <c:v>13.061237881694332</c:v>
                </c:pt>
                <c:pt idx="8">
                  <c:v>13.497362322365115</c:v>
                </c:pt>
                <c:pt idx="9">
                  <c:v>12.845313411878774</c:v>
                </c:pt>
                <c:pt idx="10">
                  <c:v>25.619808259576004</c:v>
                </c:pt>
                <c:pt idx="11">
                  <c:v>22.687100550274188</c:v>
                </c:pt>
                <c:pt idx="12">
                  <c:v>24.012623131587475</c:v>
                </c:pt>
                <c:pt idx="13">
                  <c:v>15.47797286408727</c:v>
                </c:pt>
                <c:pt idx="14">
                  <c:v>9.004267833978135</c:v>
                </c:pt>
                <c:pt idx="15">
                  <c:v>17.835600304753861</c:v>
                </c:pt>
              </c:numCache>
            </c:numRef>
          </c:val>
          <c:extLst>
            <c:ext xmlns:c16="http://schemas.microsoft.com/office/drawing/2014/chart" uri="{C3380CC4-5D6E-409C-BE32-E72D297353CC}">
              <c16:uniqueId val="{00000000-069F-4047-8F6D-0DCCF9F1B4CC}"/>
            </c:ext>
          </c:extLst>
        </c:ser>
        <c:ser>
          <c:idx val="2"/>
          <c:order val="1"/>
          <c:tx>
            <c:strRef>
              <c:f>'Energy Usage'!$V$2</c:f>
              <c:strCache>
                <c:ptCount val="1"/>
                <c:pt idx="0">
                  <c:v>CEUS 2022 Acceptable EUI Range </c:v>
                </c:pt>
              </c:strCache>
            </c:strRef>
          </c:tx>
          <c:spPr>
            <a:solidFill>
              <a:schemeClr val="accent4">
                <a:lumMod val="40000"/>
                <a:lumOff val="60000"/>
              </a:schemeClr>
            </a:solidFill>
            <a:ln>
              <a:solidFill>
                <a:schemeClr val="accent4"/>
              </a:solidFill>
            </a:ln>
            <a:effectLst/>
          </c:spPr>
          <c:invertIfNegative val="0"/>
          <c:val>
            <c:numRef>
              <c:f>'Energy Usage'!$V$3:$V$18</c:f>
              <c:numCache>
                <c:formatCode>_(* #,##0.0_);_(* \(#,##0.0\);_(* "-"??_);_(@_)</c:formatCode>
                <c:ptCount val="16"/>
                <c:pt idx="0">
                  <c:v>16.034504330434984</c:v>
                </c:pt>
                <c:pt idx="1">
                  <c:v>9.7776736275850187</c:v>
                </c:pt>
                <c:pt idx="2">
                  <c:v>16.442335425837172</c:v>
                </c:pt>
                <c:pt idx="3">
                  <c:v>16.314925551331982</c:v>
                </c:pt>
                <c:pt idx="4">
                  <c:v>23.067948610968983</c:v>
                </c:pt>
                <c:pt idx="5">
                  <c:v>8.9976023019690032</c:v>
                </c:pt>
                <c:pt idx="6">
                  <c:v>12.600366183861205</c:v>
                </c:pt>
                <c:pt idx="7">
                  <c:v>8.7074919211295523</c:v>
                </c:pt>
                <c:pt idx="8">
                  <c:v>8.9982415482434117</c:v>
                </c:pt>
                <c:pt idx="9">
                  <c:v>8.5635422745858492</c:v>
                </c:pt>
                <c:pt idx="10">
                  <c:v>17.079872173050674</c:v>
                </c:pt>
                <c:pt idx="11">
                  <c:v>15.124733700182794</c:v>
                </c:pt>
                <c:pt idx="12">
                  <c:v>16.008415421058316</c:v>
                </c:pt>
                <c:pt idx="13">
                  <c:v>10.31864857605818</c:v>
                </c:pt>
                <c:pt idx="14">
                  <c:v>6.0028452226520912</c:v>
                </c:pt>
                <c:pt idx="15">
                  <c:v>11.890400203169236</c:v>
                </c:pt>
              </c:numCache>
            </c:numRef>
          </c:val>
          <c:extLst>
            <c:ext xmlns:c16="http://schemas.microsoft.com/office/drawing/2014/chart" uri="{C3380CC4-5D6E-409C-BE32-E72D297353CC}">
              <c16:uniqueId val="{00000001-069F-4047-8F6D-0DCCF9F1B4CC}"/>
            </c:ext>
          </c:extLst>
        </c:ser>
        <c:dLbls>
          <c:showLegendKey val="0"/>
          <c:showVal val="0"/>
          <c:showCatName val="0"/>
          <c:showSerName val="0"/>
          <c:showPercent val="0"/>
          <c:showBubbleSize val="0"/>
        </c:dLbls>
        <c:gapWidth val="150"/>
        <c:overlap val="100"/>
        <c:axId val="758910767"/>
        <c:axId val="758909327"/>
      </c:barChart>
      <c:scatterChart>
        <c:scatterStyle val="lineMarker"/>
        <c:varyColors val="0"/>
        <c:ser>
          <c:idx val="0"/>
          <c:order val="2"/>
          <c:tx>
            <c:strRef>
              <c:f>'Energy Usage'!$E$2</c:f>
              <c:strCache>
                <c:ptCount val="1"/>
                <c:pt idx="0">
                  <c:v>CalBEM Total  EUI (KBTU/ft²)</c:v>
                </c:pt>
              </c:strCache>
            </c:strRef>
          </c:tx>
          <c:spPr>
            <a:ln w="25400" cap="rnd">
              <a:noFill/>
              <a:round/>
            </a:ln>
            <a:effectLst/>
          </c:spPr>
          <c:marker>
            <c:symbol val="square"/>
            <c:size val="7"/>
            <c:spPr>
              <a:solidFill>
                <a:schemeClr val="accent1"/>
              </a:solidFill>
              <a:ln w="9525">
                <a:solidFill>
                  <a:srgbClr val="001132"/>
                </a:solidFill>
              </a:ln>
              <a:effectLst/>
            </c:spPr>
          </c:marker>
          <c:yVal>
            <c:numRef>
              <c:f>'Energy Usage'!$E$3:$E$18</c:f>
              <c:numCache>
                <c:formatCode>0.0</c:formatCode>
                <c:ptCount val="16"/>
              </c:numCache>
            </c:numRef>
          </c:yVal>
          <c:smooth val="0"/>
          <c:extLst>
            <c:ext xmlns:c16="http://schemas.microsoft.com/office/drawing/2014/chart" uri="{C3380CC4-5D6E-409C-BE32-E72D297353CC}">
              <c16:uniqueId val="{00000002-069F-4047-8F6D-0DCCF9F1B4CC}"/>
            </c:ext>
          </c:extLst>
        </c:ser>
        <c:ser>
          <c:idx val="3"/>
          <c:order val="3"/>
          <c:tx>
            <c:strRef>
              <c:f>'Energy Usage'!$H$2</c:f>
              <c:strCache>
                <c:ptCount val="1"/>
                <c:pt idx="0">
                  <c:v>New Construction  Total EUI (KBTU/ft²)</c:v>
                </c:pt>
              </c:strCache>
            </c:strRef>
          </c:tx>
          <c:spPr>
            <a:ln w="25400" cap="rnd">
              <a:noFill/>
              <a:round/>
            </a:ln>
            <a:effectLst/>
          </c:spPr>
          <c:marker>
            <c:symbol val="diamond"/>
            <c:size val="7"/>
            <c:spPr>
              <a:solidFill>
                <a:srgbClr val="00B050"/>
              </a:solidFill>
              <a:ln w="9525">
                <a:solidFill>
                  <a:srgbClr val="001132"/>
                </a:solidFill>
              </a:ln>
              <a:effectLst/>
            </c:spPr>
          </c:marker>
          <c:yVal>
            <c:numRef>
              <c:f>'Energy Usage'!$H$3:$H$18</c:f>
              <c:numCache>
                <c:formatCode>General</c:formatCode>
                <c:ptCount val="16"/>
              </c:numCache>
            </c:numRef>
          </c:yVal>
          <c:smooth val="0"/>
          <c:extLst>
            <c:ext xmlns:c16="http://schemas.microsoft.com/office/drawing/2014/chart" uri="{C3380CC4-5D6E-409C-BE32-E72D297353CC}">
              <c16:uniqueId val="{00000003-069F-4047-8F6D-0DCCF9F1B4CC}"/>
            </c:ext>
          </c:extLst>
        </c:ser>
        <c:dLbls>
          <c:showLegendKey val="0"/>
          <c:showVal val="0"/>
          <c:showCatName val="0"/>
          <c:showSerName val="0"/>
          <c:showPercent val="0"/>
          <c:showBubbleSize val="0"/>
        </c:dLbls>
        <c:axId val="758910767"/>
        <c:axId val="758909327"/>
      </c:scatterChart>
      <c:catAx>
        <c:axId val="758910767"/>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b="1"/>
                  <a:t>Climate Zone</a:t>
                </a:r>
              </a:p>
            </c:rich>
          </c:tx>
          <c:layout>
            <c:manualLayout>
              <c:xMode val="edge"/>
              <c:yMode val="edge"/>
              <c:x val="0.48255556526229237"/>
              <c:y val="0.8403780585805608"/>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58909327"/>
        <c:crosses val="autoZero"/>
        <c:auto val="1"/>
        <c:lblAlgn val="ctr"/>
        <c:lblOffset val="100"/>
        <c:noMultiLvlLbl val="0"/>
      </c:catAx>
      <c:valAx>
        <c:axId val="758909327"/>
        <c:scaling>
          <c:orientation val="minMax"/>
          <c:max val="60"/>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b="1"/>
                  <a:t>Total EUI (kBtu/ft²)</a:t>
                </a:r>
              </a:p>
            </c:rich>
          </c:tx>
          <c:layout>
            <c:manualLayout>
              <c:xMode val="edge"/>
              <c:yMode val="edge"/>
              <c:x val="6.1162073619680356E-3"/>
              <c:y val="0.2802664576629727"/>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58910767"/>
        <c:crosses val="autoZero"/>
        <c:crossBetween val="between"/>
        <c:majorUnit val="10"/>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aseline="0"/>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r>
              <a:rPr lang="en-US"/>
              <a:t>Warehouse CalBEM Prototype vs. National Average</a:t>
            </a:r>
          </a:p>
        </c:rich>
      </c:tx>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1"/>
          <c:order val="0"/>
          <c:tx>
            <c:strRef>
              <c:f>'Energy Usage'!$K$2</c:f>
              <c:strCache>
                <c:ptCount val="1"/>
                <c:pt idx="0">
                  <c:v>Acceptable Range (25% Lower)</c:v>
                </c:pt>
              </c:strCache>
            </c:strRef>
          </c:tx>
          <c:spPr>
            <a:noFill/>
            <a:ln>
              <a:noFill/>
            </a:ln>
            <a:effectLst/>
          </c:spPr>
          <c:invertIfNegative val="0"/>
          <c:val>
            <c:numRef>
              <c:f>'Energy Usage'!$K$3:$K$18</c:f>
              <c:numCache>
                <c:formatCode>General</c:formatCode>
                <c:ptCount val="16"/>
                <c:pt idx="0">
                  <c:v>26.625</c:v>
                </c:pt>
                <c:pt idx="1">
                  <c:v>22.424999999999997</c:v>
                </c:pt>
                <c:pt idx="2">
                  <c:v>21.075000000000003</c:v>
                </c:pt>
                <c:pt idx="3">
                  <c:v>23.174999999999997</c:v>
                </c:pt>
                <c:pt idx="4">
                  <c:v>20.325000000000003</c:v>
                </c:pt>
                <c:pt idx="5">
                  <c:v>18.825000000000003</c:v>
                </c:pt>
                <c:pt idx="6">
                  <c:v>18.674999999999997</c:v>
                </c:pt>
                <c:pt idx="7">
                  <c:v>19.875</c:v>
                </c:pt>
                <c:pt idx="8">
                  <c:v>20.475000000000001</c:v>
                </c:pt>
                <c:pt idx="9">
                  <c:v>21.299999999999997</c:v>
                </c:pt>
                <c:pt idx="10">
                  <c:v>24.599999999999998</c:v>
                </c:pt>
                <c:pt idx="11">
                  <c:v>23.25</c:v>
                </c:pt>
                <c:pt idx="12">
                  <c:v>24.375</c:v>
                </c:pt>
                <c:pt idx="13">
                  <c:v>25.275000000000002</c:v>
                </c:pt>
                <c:pt idx="14">
                  <c:v>25.275000000000002</c:v>
                </c:pt>
                <c:pt idx="15">
                  <c:v>28.200000000000003</c:v>
                </c:pt>
              </c:numCache>
            </c:numRef>
          </c:val>
          <c:extLst>
            <c:ext xmlns:c16="http://schemas.microsoft.com/office/drawing/2014/chart" uri="{C3380CC4-5D6E-409C-BE32-E72D297353CC}">
              <c16:uniqueId val="{00000000-6C7A-4A4D-9065-AE75FD3B69ED}"/>
            </c:ext>
          </c:extLst>
        </c:ser>
        <c:ser>
          <c:idx val="2"/>
          <c:order val="1"/>
          <c:tx>
            <c:strRef>
              <c:f>'Energy Usage'!$L$2</c:f>
              <c:strCache>
                <c:ptCount val="1"/>
                <c:pt idx="0">
                  <c:v>National Average Acceptable EUI Range</c:v>
                </c:pt>
              </c:strCache>
            </c:strRef>
          </c:tx>
          <c:spPr>
            <a:solidFill>
              <a:srgbClr val="CCCCFF"/>
            </a:solidFill>
            <a:ln>
              <a:solidFill>
                <a:srgbClr val="8238BA"/>
              </a:solidFill>
            </a:ln>
            <a:effectLst/>
          </c:spPr>
          <c:invertIfNegative val="0"/>
          <c:val>
            <c:numRef>
              <c:f>'Energy Usage'!$L$3:$L$18</c:f>
              <c:numCache>
                <c:formatCode>General</c:formatCode>
                <c:ptCount val="16"/>
                <c:pt idx="0">
                  <c:v>17.75</c:v>
                </c:pt>
                <c:pt idx="1">
                  <c:v>14.950000000000003</c:v>
                </c:pt>
                <c:pt idx="2">
                  <c:v>14.049999999999997</c:v>
                </c:pt>
                <c:pt idx="3">
                  <c:v>15.450000000000003</c:v>
                </c:pt>
                <c:pt idx="4">
                  <c:v>13.549999999999997</c:v>
                </c:pt>
                <c:pt idx="5">
                  <c:v>12.549999999999997</c:v>
                </c:pt>
                <c:pt idx="6">
                  <c:v>12.450000000000003</c:v>
                </c:pt>
                <c:pt idx="7">
                  <c:v>13.25</c:v>
                </c:pt>
                <c:pt idx="8">
                  <c:v>13.649999999999999</c:v>
                </c:pt>
                <c:pt idx="9">
                  <c:v>14.200000000000003</c:v>
                </c:pt>
                <c:pt idx="10">
                  <c:v>16.400000000000002</c:v>
                </c:pt>
                <c:pt idx="11">
                  <c:v>15.5</c:v>
                </c:pt>
                <c:pt idx="12">
                  <c:v>16.25</c:v>
                </c:pt>
                <c:pt idx="13">
                  <c:v>16.849999999999998</c:v>
                </c:pt>
                <c:pt idx="14">
                  <c:v>16.849999999999998</c:v>
                </c:pt>
                <c:pt idx="15">
                  <c:v>18.799999999999997</c:v>
                </c:pt>
              </c:numCache>
            </c:numRef>
          </c:val>
          <c:extLst>
            <c:ext xmlns:c16="http://schemas.microsoft.com/office/drawing/2014/chart" uri="{C3380CC4-5D6E-409C-BE32-E72D297353CC}">
              <c16:uniqueId val="{00000001-6C7A-4A4D-9065-AE75FD3B69ED}"/>
            </c:ext>
          </c:extLst>
        </c:ser>
        <c:dLbls>
          <c:showLegendKey val="0"/>
          <c:showVal val="0"/>
          <c:showCatName val="0"/>
          <c:showSerName val="0"/>
          <c:showPercent val="0"/>
          <c:showBubbleSize val="0"/>
        </c:dLbls>
        <c:gapWidth val="150"/>
        <c:overlap val="100"/>
        <c:axId val="758910767"/>
        <c:axId val="758909327"/>
      </c:barChart>
      <c:scatterChart>
        <c:scatterStyle val="lineMarker"/>
        <c:varyColors val="0"/>
        <c:ser>
          <c:idx val="0"/>
          <c:order val="2"/>
          <c:tx>
            <c:strRef>
              <c:f>'Energy Usage'!$E$2</c:f>
              <c:strCache>
                <c:ptCount val="1"/>
                <c:pt idx="0">
                  <c:v>CalBEM Total  EUI (KBTU/ft²)</c:v>
                </c:pt>
              </c:strCache>
            </c:strRef>
          </c:tx>
          <c:spPr>
            <a:ln w="25400" cap="rnd">
              <a:noFill/>
              <a:round/>
            </a:ln>
            <a:effectLst/>
          </c:spPr>
          <c:marker>
            <c:symbol val="square"/>
            <c:size val="7"/>
            <c:spPr>
              <a:solidFill>
                <a:schemeClr val="accent1"/>
              </a:solidFill>
              <a:ln w="9525">
                <a:solidFill>
                  <a:srgbClr val="001132"/>
                </a:solidFill>
              </a:ln>
              <a:effectLst/>
            </c:spPr>
          </c:marker>
          <c:yVal>
            <c:numRef>
              <c:f>'Energy Usage'!$E$3:$E$18</c:f>
              <c:numCache>
                <c:formatCode>0.0</c:formatCode>
                <c:ptCount val="16"/>
              </c:numCache>
            </c:numRef>
          </c:yVal>
          <c:smooth val="0"/>
          <c:extLst>
            <c:ext xmlns:c16="http://schemas.microsoft.com/office/drawing/2014/chart" uri="{C3380CC4-5D6E-409C-BE32-E72D297353CC}">
              <c16:uniqueId val="{00000002-6C7A-4A4D-9065-AE75FD3B69ED}"/>
            </c:ext>
          </c:extLst>
        </c:ser>
        <c:ser>
          <c:idx val="3"/>
          <c:order val="3"/>
          <c:tx>
            <c:strRef>
              <c:f>'Energy Usage'!$H$2</c:f>
              <c:strCache>
                <c:ptCount val="1"/>
                <c:pt idx="0">
                  <c:v>New Construction  Total EUI (KBTU/ft²)</c:v>
                </c:pt>
              </c:strCache>
            </c:strRef>
          </c:tx>
          <c:spPr>
            <a:ln w="25400" cap="rnd">
              <a:noFill/>
              <a:round/>
            </a:ln>
            <a:effectLst/>
          </c:spPr>
          <c:marker>
            <c:symbol val="diamond"/>
            <c:size val="7"/>
            <c:spPr>
              <a:solidFill>
                <a:srgbClr val="00B050"/>
              </a:solidFill>
              <a:ln w="9525">
                <a:solidFill>
                  <a:srgbClr val="001132"/>
                </a:solidFill>
              </a:ln>
              <a:effectLst/>
            </c:spPr>
          </c:marker>
          <c:yVal>
            <c:numRef>
              <c:f>'Energy Usage'!$H$3:$H$18</c:f>
              <c:numCache>
                <c:formatCode>General</c:formatCode>
                <c:ptCount val="16"/>
              </c:numCache>
            </c:numRef>
          </c:yVal>
          <c:smooth val="0"/>
          <c:extLst>
            <c:ext xmlns:c16="http://schemas.microsoft.com/office/drawing/2014/chart" uri="{C3380CC4-5D6E-409C-BE32-E72D297353CC}">
              <c16:uniqueId val="{00000003-6C7A-4A4D-9065-AE75FD3B69ED}"/>
            </c:ext>
          </c:extLst>
        </c:ser>
        <c:dLbls>
          <c:showLegendKey val="0"/>
          <c:showVal val="0"/>
          <c:showCatName val="0"/>
          <c:showSerName val="0"/>
          <c:showPercent val="0"/>
          <c:showBubbleSize val="0"/>
        </c:dLbls>
        <c:axId val="758910767"/>
        <c:axId val="758909327"/>
      </c:scatterChart>
      <c:catAx>
        <c:axId val="758910767"/>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b="1"/>
                  <a:t>Climate Zone</a:t>
                </a:r>
              </a:p>
            </c:rich>
          </c:tx>
          <c:layout>
            <c:manualLayout>
              <c:xMode val="edge"/>
              <c:yMode val="edge"/>
              <c:x val="0.48255556526229237"/>
              <c:y val="0.8403780585805608"/>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58909327"/>
        <c:crosses val="autoZero"/>
        <c:auto val="1"/>
        <c:lblAlgn val="ctr"/>
        <c:lblOffset val="100"/>
        <c:noMultiLvlLbl val="0"/>
      </c:catAx>
      <c:valAx>
        <c:axId val="758909327"/>
        <c:scaling>
          <c:orientation val="minMax"/>
          <c:min val="1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b="1"/>
                  <a:t>Total EUI (kBtu/ft²)</a:t>
                </a:r>
              </a:p>
            </c:rich>
          </c:tx>
          <c:layout>
            <c:manualLayout>
              <c:xMode val="edge"/>
              <c:yMode val="edge"/>
              <c:x val="6.1162073619680356E-3"/>
              <c:y val="0.2802664576629727"/>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58910767"/>
        <c:crosses val="autoZero"/>
        <c:crossBetween val="between"/>
        <c:majorUnit val="10"/>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aseline="0"/>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 Id="rId4" Type="http://schemas.openxmlformats.org/officeDocument/2006/relationships/image" Target="../media/image6.png"/></Relationships>
</file>

<file path=xl/drawings/_rels/drawing3.xml.rels><?xml version="1.0" encoding="UTF-8" standalone="yes"?>
<Relationships xmlns="http://schemas.openxmlformats.org/package/2006/relationships"><Relationship Id="rId1" Type="http://schemas.openxmlformats.org/officeDocument/2006/relationships/image" Target="../media/image7.png"/></Relationships>
</file>

<file path=xl/drawings/_rels/drawing4.xml.rels><?xml version="1.0" encoding="UTF-8" standalone="yes"?>
<Relationships xmlns="http://schemas.openxmlformats.org/package/2006/relationships"><Relationship Id="rId8" Type="http://schemas.openxmlformats.org/officeDocument/2006/relationships/image" Target="../media/image15.png"/><Relationship Id="rId13" Type="http://schemas.openxmlformats.org/officeDocument/2006/relationships/image" Target="../media/image20.png"/><Relationship Id="rId3" Type="http://schemas.openxmlformats.org/officeDocument/2006/relationships/image" Target="../media/image10.png"/><Relationship Id="rId7" Type="http://schemas.openxmlformats.org/officeDocument/2006/relationships/image" Target="../media/image14.png"/><Relationship Id="rId12" Type="http://schemas.openxmlformats.org/officeDocument/2006/relationships/image" Target="../media/image19.png"/><Relationship Id="rId2" Type="http://schemas.openxmlformats.org/officeDocument/2006/relationships/image" Target="../media/image9.png"/><Relationship Id="rId1" Type="http://schemas.openxmlformats.org/officeDocument/2006/relationships/image" Target="../media/image8.png"/><Relationship Id="rId6" Type="http://schemas.openxmlformats.org/officeDocument/2006/relationships/image" Target="../media/image13.png"/><Relationship Id="rId11" Type="http://schemas.openxmlformats.org/officeDocument/2006/relationships/image" Target="../media/image18.png"/><Relationship Id="rId5" Type="http://schemas.openxmlformats.org/officeDocument/2006/relationships/image" Target="../media/image12.png"/><Relationship Id="rId10" Type="http://schemas.openxmlformats.org/officeDocument/2006/relationships/image" Target="../media/image17.png"/><Relationship Id="rId4" Type="http://schemas.openxmlformats.org/officeDocument/2006/relationships/image" Target="../media/image11.png"/><Relationship Id="rId9" Type="http://schemas.openxmlformats.org/officeDocument/2006/relationships/image" Target="../media/image16.png"/><Relationship Id="rId14" Type="http://schemas.openxmlformats.org/officeDocument/2006/relationships/image" Target="../media/image21.png"/></Relationships>
</file>

<file path=xl/drawings/_rels/drawing5.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18" Type="http://schemas.openxmlformats.org/officeDocument/2006/relationships/chart" Target="../charts/chart14.xml"/><Relationship Id="rId3" Type="http://schemas.openxmlformats.org/officeDocument/2006/relationships/chart" Target="../charts/chart3.xml"/><Relationship Id="rId21" Type="http://schemas.openxmlformats.org/officeDocument/2006/relationships/chart" Target="../charts/chart17.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image" Target="../media/image25.png"/><Relationship Id="rId2" Type="http://schemas.openxmlformats.org/officeDocument/2006/relationships/chart" Target="../charts/chart2.xml"/><Relationship Id="rId16" Type="http://schemas.openxmlformats.org/officeDocument/2006/relationships/image" Target="../media/image24.png"/><Relationship Id="rId20" Type="http://schemas.openxmlformats.org/officeDocument/2006/relationships/chart" Target="../charts/chart16.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24" Type="http://schemas.openxmlformats.org/officeDocument/2006/relationships/chart" Target="../charts/chart20.xml"/><Relationship Id="rId5" Type="http://schemas.openxmlformats.org/officeDocument/2006/relationships/chart" Target="../charts/chart5.xml"/><Relationship Id="rId15" Type="http://schemas.openxmlformats.org/officeDocument/2006/relationships/image" Target="../media/image23.png"/><Relationship Id="rId23" Type="http://schemas.openxmlformats.org/officeDocument/2006/relationships/chart" Target="../charts/chart19.xml"/><Relationship Id="rId10" Type="http://schemas.openxmlformats.org/officeDocument/2006/relationships/chart" Target="../charts/chart10.xml"/><Relationship Id="rId19" Type="http://schemas.openxmlformats.org/officeDocument/2006/relationships/chart" Target="../charts/chart15.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image" Target="../media/image22.png"/><Relationship Id="rId22" Type="http://schemas.openxmlformats.org/officeDocument/2006/relationships/chart" Target="../charts/chart18.xml"/></Relationships>
</file>

<file path=xl/drawings/_rels/drawing6.xml.rels><?xml version="1.0" encoding="UTF-8" standalone="yes"?>
<Relationships xmlns="http://schemas.openxmlformats.org/package/2006/relationships"><Relationship Id="rId2" Type="http://schemas.openxmlformats.org/officeDocument/2006/relationships/chart" Target="../charts/chart22.xml"/><Relationship Id="rId1" Type="http://schemas.openxmlformats.org/officeDocument/2006/relationships/chart" Target="../charts/chart21.xml"/></Relationships>
</file>

<file path=xl/drawings/drawing1.xml><?xml version="1.0" encoding="utf-8"?>
<xdr:wsDr xmlns:xdr="http://schemas.openxmlformats.org/drawingml/2006/spreadsheetDrawing" xmlns:a="http://schemas.openxmlformats.org/drawingml/2006/main">
  <xdr:twoCellAnchor editAs="oneCell">
    <xdr:from>
      <xdr:col>1</xdr:col>
      <xdr:colOff>95250</xdr:colOff>
      <xdr:row>36</xdr:row>
      <xdr:rowOff>152400</xdr:rowOff>
    </xdr:from>
    <xdr:to>
      <xdr:col>1</xdr:col>
      <xdr:colOff>5934075</xdr:colOff>
      <xdr:row>53</xdr:row>
      <xdr:rowOff>17145</xdr:rowOff>
    </xdr:to>
    <xdr:pic>
      <xdr:nvPicPr>
        <xdr:cNvPr id="5" name="Picture 2">
          <a:extLst>
            <a:ext uri="{FF2B5EF4-FFF2-40B4-BE49-F238E27FC236}">
              <a16:creationId xmlns:a16="http://schemas.microsoft.com/office/drawing/2014/main" id="{5CBB8847-2C08-4E1D-340A-A1DED2E1B97F}"/>
            </a:ext>
          </a:extLst>
        </xdr:cNvPr>
        <xdr:cNvPicPr>
          <a:picLocks noChangeAspect="1"/>
        </xdr:cNvPicPr>
      </xdr:nvPicPr>
      <xdr:blipFill>
        <a:blip xmlns:r="http://schemas.openxmlformats.org/officeDocument/2006/relationships" r:embed="rId1"/>
        <a:stretch>
          <a:fillRect/>
        </a:stretch>
      </xdr:blipFill>
      <xdr:spPr>
        <a:xfrm>
          <a:off x="1076325" y="8143875"/>
          <a:ext cx="5838825" cy="27146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38100</xdr:colOff>
      <xdr:row>7</xdr:row>
      <xdr:rowOff>19050</xdr:rowOff>
    </xdr:from>
    <xdr:to>
      <xdr:col>1</xdr:col>
      <xdr:colOff>3333750</xdr:colOff>
      <xdr:row>7</xdr:row>
      <xdr:rowOff>1219200</xdr:rowOff>
    </xdr:to>
    <xdr:pic>
      <xdr:nvPicPr>
        <xdr:cNvPr id="2" name="Picture 1">
          <a:extLst>
            <a:ext uri="{FF2B5EF4-FFF2-40B4-BE49-F238E27FC236}">
              <a16:creationId xmlns:a16="http://schemas.microsoft.com/office/drawing/2014/main" id="{041A90C6-AB4A-4D81-A3E4-EBFFBA13ABFE}"/>
            </a:ext>
          </a:extLst>
        </xdr:cNvPr>
        <xdr:cNvPicPr>
          <a:picLocks noChangeAspect="1"/>
        </xdr:cNvPicPr>
      </xdr:nvPicPr>
      <xdr:blipFill>
        <a:blip xmlns:r="http://schemas.openxmlformats.org/officeDocument/2006/relationships" r:embed="rId1"/>
        <a:stretch>
          <a:fillRect/>
        </a:stretch>
      </xdr:blipFill>
      <xdr:spPr>
        <a:xfrm>
          <a:off x="1704975" y="1571625"/>
          <a:ext cx="3295650" cy="1200150"/>
        </a:xfrm>
        <a:prstGeom prst="rect">
          <a:avLst/>
        </a:prstGeom>
      </xdr:spPr>
    </xdr:pic>
    <xdr:clientData/>
  </xdr:twoCellAnchor>
  <xdr:twoCellAnchor>
    <xdr:from>
      <xdr:col>1</xdr:col>
      <xdr:colOff>78440</xdr:colOff>
      <xdr:row>25</xdr:row>
      <xdr:rowOff>302560</xdr:rowOff>
    </xdr:from>
    <xdr:to>
      <xdr:col>1</xdr:col>
      <xdr:colOff>3406622</xdr:colOff>
      <xdr:row>25</xdr:row>
      <xdr:rowOff>1495425</xdr:rowOff>
    </xdr:to>
    <xdr:pic>
      <xdr:nvPicPr>
        <xdr:cNvPr id="3" name="Picture 2" descr="image">
          <a:extLst>
            <a:ext uri="{FF2B5EF4-FFF2-40B4-BE49-F238E27FC236}">
              <a16:creationId xmlns:a16="http://schemas.microsoft.com/office/drawing/2014/main" id="{57756302-F701-486F-8F56-4C2270C398E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792940" y="6331325"/>
          <a:ext cx="3328182" cy="11928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63426</xdr:colOff>
      <xdr:row>25</xdr:row>
      <xdr:rowOff>245125</xdr:rowOff>
    </xdr:from>
    <xdr:to>
      <xdr:col>2</xdr:col>
      <xdr:colOff>3253516</xdr:colOff>
      <xdr:row>25</xdr:row>
      <xdr:rowOff>1452619</xdr:rowOff>
    </xdr:to>
    <xdr:pic>
      <xdr:nvPicPr>
        <xdr:cNvPr id="4" name="Picture 3">
          <a:extLst>
            <a:ext uri="{FF2B5EF4-FFF2-40B4-BE49-F238E27FC236}">
              <a16:creationId xmlns:a16="http://schemas.microsoft.com/office/drawing/2014/main" id="{09F8B70E-F8F8-447F-98AF-28FAE7E4D256}"/>
            </a:ext>
          </a:extLst>
        </xdr:cNvPr>
        <xdr:cNvPicPr>
          <a:picLocks noChangeAspect="1"/>
        </xdr:cNvPicPr>
      </xdr:nvPicPr>
      <xdr:blipFill>
        <a:blip xmlns:r="http://schemas.openxmlformats.org/officeDocument/2006/relationships" r:embed="rId3"/>
        <a:stretch>
          <a:fillRect/>
        </a:stretch>
      </xdr:blipFill>
      <xdr:spPr>
        <a:xfrm>
          <a:off x="5307779" y="6273890"/>
          <a:ext cx="3190090" cy="1207494"/>
        </a:xfrm>
        <a:prstGeom prst="rect">
          <a:avLst/>
        </a:prstGeom>
      </xdr:spPr>
    </xdr:pic>
    <xdr:clientData/>
  </xdr:twoCellAnchor>
  <xdr:twoCellAnchor>
    <xdr:from>
      <xdr:col>3</xdr:col>
      <xdr:colOff>244062</xdr:colOff>
      <xdr:row>25</xdr:row>
      <xdr:rowOff>133702</xdr:rowOff>
    </xdr:from>
    <xdr:to>
      <xdr:col>3</xdr:col>
      <xdr:colOff>3361766</xdr:colOff>
      <xdr:row>25</xdr:row>
      <xdr:rowOff>1543498</xdr:rowOff>
    </xdr:to>
    <xdr:pic>
      <xdr:nvPicPr>
        <xdr:cNvPr id="5" name="Picture 4">
          <a:extLst>
            <a:ext uri="{FF2B5EF4-FFF2-40B4-BE49-F238E27FC236}">
              <a16:creationId xmlns:a16="http://schemas.microsoft.com/office/drawing/2014/main" id="{952EF898-AC3A-444E-81A7-3FCC0CD01A24}"/>
            </a:ext>
          </a:extLst>
        </xdr:cNvPr>
        <xdr:cNvPicPr>
          <a:picLocks noChangeAspect="1"/>
        </xdr:cNvPicPr>
      </xdr:nvPicPr>
      <xdr:blipFill>
        <a:blip xmlns:r="http://schemas.openxmlformats.org/officeDocument/2006/relationships" r:embed="rId4"/>
        <a:stretch>
          <a:fillRect/>
        </a:stretch>
      </xdr:blipFill>
      <xdr:spPr>
        <a:xfrm>
          <a:off x="8895003" y="6162467"/>
          <a:ext cx="3117704" cy="1409796"/>
        </a:xfrm>
        <a:prstGeom prst="rect">
          <a:avLst/>
        </a:prstGeom>
      </xdr:spPr>
    </xdr:pic>
    <xdr:clientData/>
  </xdr:twoCellAnchor>
  <xdr:twoCellAnchor>
    <xdr:from>
      <xdr:col>4</xdr:col>
      <xdr:colOff>173804</xdr:colOff>
      <xdr:row>25</xdr:row>
      <xdr:rowOff>145676</xdr:rowOff>
    </xdr:from>
    <xdr:to>
      <xdr:col>4</xdr:col>
      <xdr:colOff>3301926</xdr:colOff>
      <xdr:row>25</xdr:row>
      <xdr:rowOff>1517372</xdr:rowOff>
    </xdr:to>
    <xdr:pic>
      <xdr:nvPicPr>
        <xdr:cNvPr id="6" name="Picture 5">
          <a:extLst>
            <a:ext uri="{FF2B5EF4-FFF2-40B4-BE49-F238E27FC236}">
              <a16:creationId xmlns:a16="http://schemas.microsoft.com/office/drawing/2014/main" id="{AAFC9A4A-18F1-4D10-9ABB-FE1CA3F14B01}"/>
            </a:ext>
          </a:extLst>
        </xdr:cNvPr>
        <xdr:cNvPicPr>
          <a:picLocks noChangeAspect="1"/>
        </xdr:cNvPicPr>
      </xdr:nvPicPr>
      <xdr:blipFill>
        <a:blip xmlns:r="http://schemas.openxmlformats.org/officeDocument/2006/relationships" r:embed="rId4"/>
        <a:stretch>
          <a:fillRect/>
        </a:stretch>
      </xdr:blipFill>
      <xdr:spPr>
        <a:xfrm>
          <a:off x="12444245" y="6174441"/>
          <a:ext cx="3128122" cy="137169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15</xdr:col>
      <xdr:colOff>1282561</xdr:colOff>
      <xdr:row>0</xdr:row>
      <xdr:rowOff>35035</xdr:rowOff>
    </xdr:from>
    <xdr:to>
      <xdr:col>15</xdr:col>
      <xdr:colOff>1282561</xdr:colOff>
      <xdr:row>0</xdr:row>
      <xdr:rowOff>321779</xdr:rowOff>
    </xdr:to>
    <xdr:cxnSp macro="">
      <xdr:nvCxnSpPr>
        <xdr:cNvPr id="4" name="Straight Arrow Connector 3">
          <a:extLst>
            <a:ext uri="{FF2B5EF4-FFF2-40B4-BE49-F238E27FC236}">
              <a16:creationId xmlns:a16="http://schemas.microsoft.com/office/drawing/2014/main" id="{BB0EC946-BDB6-09C9-DB60-21B21720AE71}"/>
            </a:ext>
          </a:extLst>
        </xdr:cNvPr>
        <xdr:cNvCxnSpPr/>
      </xdr:nvCxnSpPr>
      <xdr:spPr>
        <a:xfrm flipV="1">
          <a:off x="12000257" y="35035"/>
          <a:ext cx="0" cy="286744"/>
        </a:xfrm>
        <a:prstGeom prst="straightConnector1">
          <a:avLst/>
        </a:prstGeom>
        <a:ln w="381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1306168</xdr:colOff>
      <xdr:row>0</xdr:row>
      <xdr:rowOff>830</xdr:rowOff>
    </xdr:from>
    <xdr:to>
      <xdr:col>15</xdr:col>
      <xdr:colOff>1546362</xdr:colOff>
      <xdr:row>1</xdr:row>
      <xdr:rowOff>36528</xdr:rowOff>
    </xdr:to>
    <xdr:sp macro="" textlink="">
      <xdr:nvSpPr>
        <xdr:cNvPr id="8" name="TextBox 7">
          <a:extLst>
            <a:ext uri="{FF2B5EF4-FFF2-40B4-BE49-F238E27FC236}">
              <a16:creationId xmlns:a16="http://schemas.microsoft.com/office/drawing/2014/main" id="{1DDDC35D-79DC-FE8D-E36B-A215903DCB00}"/>
            </a:ext>
            <a:ext uri="{147F2762-F138-4A5C-976F-8EAC2B608ADB}">
              <a16:predDERef xmlns:a16="http://schemas.microsoft.com/office/drawing/2014/main" pred="{BB0EC946-BDB6-09C9-DB60-21B21720AE71}"/>
            </a:ext>
          </a:extLst>
        </xdr:cNvPr>
        <xdr:cNvSpPr txBox="1"/>
      </xdr:nvSpPr>
      <xdr:spPr>
        <a:xfrm>
          <a:off x="13183843" y="830"/>
          <a:ext cx="240194" cy="359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1"/>
              </a:solidFill>
            </a:rPr>
            <a:t>N</a:t>
          </a:r>
        </a:p>
      </xdr:txBody>
    </xdr:sp>
    <xdr:clientData/>
  </xdr:twoCellAnchor>
  <xdr:twoCellAnchor editAs="oneCell">
    <xdr:from>
      <xdr:col>14</xdr:col>
      <xdr:colOff>714375</xdr:colOff>
      <xdr:row>1</xdr:row>
      <xdr:rowOff>85725</xdr:rowOff>
    </xdr:from>
    <xdr:to>
      <xdr:col>15</xdr:col>
      <xdr:colOff>1247777</xdr:colOff>
      <xdr:row>12</xdr:row>
      <xdr:rowOff>183460</xdr:rowOff>
    </xdr:to>
    <xdr:pic>
      <xdr:nvPicPr>
        <xdr:cNvPr id="3" name="Picture 5">
          <a:extLst>
            <a:ext uri="{FF2B5EF4-FFF2-40B4-BE49-F238E27FC236}">
              <a16:creationId xmlns:a16="http://schemas.microsoft.com/office/drawing/2014/main" id="{0C15721E-A112-8BD3-3C7A-BF99005263B1}"/>
            </a:ext>
            <a:ext uri="{147F2762-F138-4A5C-976F-8EAC2B608ADB}">
              <a16:predDERef xmlns:a16="http://schemas.microsoft.com/office/drawing/2014/main" pred="{1DDDC35D-79DC-FE8D-E36B-A215903DCB00}"/>
            </a:ext>
          </a:extLst>
        </xdr:cNvPr>
        <xdr:cNvPicPr>
          <a:picLocks noChangeAspect="1"/>
        </xdr:cNvPicPr>
      </xdr:nvPicPr>
      <xdr:blipFill>
        <a:blip xmlns:r="http://schemas.openxmlformats.org/officeDocument/2006/relationships" r:embed="rId1"/>
        <a:stretch>
          <a:fillRect/>
        </a:stretch>
      </xdr:blipFill>
      <xdr:spPr>
        <a:xfrm>
          <a:off x="18878550" y="409575"/>
          <a:ext cx="1381127" cy="2764735"/>
        </a:xfrm>
        <a:prstGeom prst="rect">
          <a:avLst/>
        </a:prstGeom>
      </xdr:spPr>
    </xdr:pic>
    <xdr:clientData/>
  </xdr:twoCellAnchor>
  <xdr:twoCellAnchor>
    <xdr:from>
      <xdr:col>15</xdr:col>
      <xdr:colOff>457200</xdr:colOff>
      <xdr:row>1</xdr:row>
      <xdr:rowOff>342900</xdr:rowOff>
    </xdr:from>
    <xdr:to>
      <xdr:col>15</xdr:col>
      <xdr:colOff>1114425</xdr:colOff>
      <xdr:row>1</xdr:row>
      <xdr:rowOff>514350</xdr:rowOff>
    </xdr:to>
    <xdr:sp macro="" textlink="">
      <xdr:nvSpPr>
        <xdr:cNvPr id="2" name="TextBox 1">
          <a:extLst>
            <a:ext uri="{FF2B5EF4-FFF2-40B4-BE49-F238E27FC236}">
              <a16:creationId xmlns:a16="http://schemas.microsoft.com/office/drawing/2014/main" id="{150EC7BC-6926-DA2F-2BF9-AC212B11883F}"/>
            </a:ext>
            <a:ext uri="{147F2762-F138-4A5C-976F-8EAC2B608ADB}">
              <a16:predDERef xmlns:a16="http://schemas.microsoft.com/office/drawing/2014/main" pred="{0C15721E-A112-8BD3-3C7A-BF99005263B1}"/>
            </a:ext>
          </a:extLst>
        </xdr:cNvPr>
        <xdr:cNvSpPr txBox="1"/>
      </xdr:nvSpPr>
      <xdr:spPr>
        <a:xfrm>
          <a:off x="21450300" y="666750"/>
          <a:ext cx="657225" cy="171450"/>
        </a:xfrm>
        <a:prstGeom prst="rect">
          <a:avLst/>
        </a:prstGeom>
        <a:noFill/>
        <a:ln w="9525" cmpd="sng">
          <a:noFill/>
        </a:ln>
      </xdr:spPr>
      <xdr:txBody>
        <a:bodyPr spcFirstLastPara="0" vertOverflow="clip" horzOverflow="clip" wrap="square" lIns="91440" tIns="45720" rIns="91440" bIns="45720" rtlCol="0" anchor="t">
          <a:noAutofit/>
        </a:bodyPr>
        <a:lstStyle/>
        <a:p>
          <a:pPr marL="0" indent="0" algn="l"/>
          <a:r>
            <a:rPr lang="en-US" sz="1000" b="0" i="0">
              <a:latin typeface="Arial" panose="020B0604020202020204" pitchFamily="34" charset="0"/>
              <a:cs typeface="Arial" panose="020B0604020202020204" pitchFamily="34" charset="0"/>
            </a:rPr>
            <a:t>Office</a:t>
          </a:r>
        </a:p>
      </xdr:txBody>
    </xdr:sp>
    <xdr:clientData/>
  </xdr:twoCellAnchor>
  <xdr:twoCellAnchor>
    <xdr:from>
      <xdr:col>15</xdr:col>
      <xdr:colOff>47625</xdr:colOff>
      <xdr:row>2</xdr:row>
      <xdr:rowOff>85725</xdr:rowOff>
    </xdr:from>
    <xdr:to>
      <xdr:col>15</xdr:col>
      <xdr:colOff>1009650</xdr:colOff>
      <xdr:row>3</xdr:row>
      <xdr:rowOff>38100</xdr:rowOff>
    </xdr:to>
    <xdr:sp macro="" textlink="">
      <xdr:nvSpPr>
        <xdr:cNvPr id="5" name="TextBox 4">
          <a:extLst>
            <a:ext uri="{FF2B5EF4-FFF2-40B4-BE49-F238E27FC236}">
              <a16:creationId xmlns:a16="http://schemas.microsoft.com/office/drawing/2014/main" id="{47786B91-3FAF-4187-8A6A-D669F04CD0AF}"/>
            </a:ext>
            <a:ext uri="{147F2762-F138-4A5C-976F-8EAC2B608ADB}">
              <a16:predDERef xmlns:a16="http://schemas.microsoft.com/office/drawing/2014/main" pred="{150EC7BC-6926-DA2F-2BF9-AC212B11883F}"/>
            </a:ext>
          </a:extLst>
        </xdr:cNvPr>
        <xdr:cNvSpPr txBox="1"/>
      </xdr:nvSpPr>
      <xdr:spPr>
        <a:xfrm>
          <a:off x="21040725" y="1000125"/>
          <a:ext cx="962025" cy="17145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000" b="0" i="0">
              <a:latin typeface="Arial" panose="020B0604020202020204" pitchFamily="34" charset="0"/>
              <a:cs typeface="Arial" panose="020B0604020202020204" pitchFamily="34" charset="0"/>
            </a:rPr>
            <a:t>Fine Storage</a:t>
          </a:r>
        </a:p>
      </xdr:txBody>
    </xdr:sp>
    <xdr:clientData/>
  </xdr:twoCellAnchor>
  <xdr:twoCellAnchor>
    <xdr:from>
      <xdr:col>15</xdr:col>
      <xdr:colOff>85725</xdr:colOff>
      <xdr:row>7</xdr:row>
      <xdr:rowOff>28575</xdr:rowOff>
    </xdr:from>
    <xdr:to>
      <xdr:col>15</xdr:col>
      <xdr:colOff>1238250</xdr:colOff>
      <xdr:row>8</xdr:row>
      <xdr:rowOff>9525</xdr:rowOff>
    </xdr:to>
    <xdr:sp macro="" textlink="">
      <xdr:nvSpPr>
        <xdr:cNvPr id="6" name="TextBox 5">
          <a:extLst>
            <a:ext uri="{FF2B5EF4-FFF2-40B4-BE49-F238E27FC236}">
              <a16:creationId xmlns:a16="http://schemas.microsoft.com/office/drawing/2014/main" id="{54C2BAE3-3694-4C75-903D-20A8A6B070F9}"/>
            </a:ext>
            <a:ext uri="{147F2762-F138-4A5C-976F-8EAC2B608ADB}">
              <a16:predDERef xmlns:a16="http://schemas.microsoft.com/office/drawing/2014/main" pred="{47786B91-3FAF-4187-8A6A-D669F04CD0AF}"/>
            </a:ext>
          </a:extLst>
        </xdr:cNvPr>
        <xdr:cNvSpPr txBox="1"/>
      </xdr:nvSpPr>
      <xdr:spPr>
        <a:xfrm>
          <a:off x="21078825" y="2095500"/>
          <a:ext cx="1152525" cy="17145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000" b="0" i="0">
              <a:latin typeface="Arial" panose="020B0604020202020204" pitchFamily="34" charset="0"/>
              <a:cs typeface="Arial" panose="020B0604020202020204" pitchFamily="34" charset="0"/>
            </a:rPr>
            <a:t>Bulk Storage</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198289</xdr:colOff>
      <xdr:row>98</xdr:row>
      <xdr:rowOff>117059</xdr:rowOff>
    </xdr:from>
    <xdr:to>
      <xdr:col>6</xdr:col>
      <xdr:colOff>191701</xdr:colOff>
      <xdr:row>118</xdr:row>
      <xdr:rowOff>151439</xdr:rowOff>
    </xdr:to>
    <xdr:pic>
      <xdr:nvPicPr>
        <xdr:cNvPr id="15" name="Picture 14">
          <a:extLst>
            <a:ext uri="{FF2B5EF4-FFF2-40B4-BE49-F238E27FC236}">
              <a16:creationId xmlns:a16="http://schemas.microsoft.com/office/drawing/2014/main" id="{31642C02-63B4-441B-AA72-92728104654E}"/>
            </a:ext>
          </a:extLst>
        </xdr:cNvPr>
        <xdr:cNvPicPr>
          <a:picLocks noChangeAspect="1"/>
        </xdr:cNvPicPr>
      </xdr:nvPicPr>
      <xdr:blipFill>
        <a:blip xmlns:r="http://schemas.openxmlformats.org/officeDocument/2006/relationships" r:embed="rId1"/>
        <a:stretch>
          <a:fillRect/>
        </a:stretch>
      </xdr:blipFill>
      <xdr:spPr>
        <a:xfrm>
          <a:off x="3582465" y="16163883"/>
          <a:ext cx="4912795" cy="3396144"/>
        </a:xfrm>
        <a:prstGeom prst="rect">
          <a:avLst/>
        </a:prstGeom>
      </xdr:spPr>
    </xdr:pic>
    <xdr:clientData/>
  </xdr:twoCellAnchor>
  <xdr:twoCellAnchor>
    <xdr:from>
      <xdr:col>3</xdr:col>
      <xdr:colOff>230757</xdr:colOff>
      <xdr:row>120</xdr:row>
      <xdr:rowOff>160439</xdr:rowOff>
    </xdr:from>
    <xdr:to>
      <xdr:col>6</xdr:col>
      <xdr:colOff>307118</xdr:colOff>
      <xdr:row>130</xdr:row>
      <xdr:rowOff>172531</xdr:rowOff>
    </xdr:to>
    <xdr:pic>
      <xdr:nvPicPr>
        <xdr:cNvPr id="16" name="Picture 15">
          <a:extLst>
            <a:ext uri="{FF2B5EF4-FFF2-40B4-BE49-F238E27FC236}">
              <a16:creationId xmlns:a16="http://schemas.microsoft.com/office/drawing/2014/main" id="{A422335F-25AA-4AD7-80AC-F9D96C7BF1D7}"/>
            </a:ext>
          </a:extLst>
        </xdr:cNvPr>
        <xdr:cNvPicPr>
          <a:picLocks noChangeAspect="1"/>
        </xdr:cNvPicPr>
      </xdr:nvPicPr>
      <xdr:blipFill>
        <a:blip xmlns:r="http://schemas.openxmlformats.org/officeDocument/2006/relationships" r:embed="rId2"/>
        <a:stretch>
          <a:fillRect/>
        </a:stretch>
      </xdr:blipFill>
      <xdr:spPr>
        <a:xfrm>
          <a:off x="3614933" y="19905204"/>
          <a:ext cx="4995744" cy="1692974"/>
        </a:xfrm>
        <a:prstGeom prst="rect">
          <a:avLst/>
        </a:prstGeom>
      </xdr:spPr>
    </xdr:pic>
    <xdr:clientData/>
  </xdr:twoCellAnchor>
  <xdr:twoCellAnchor>
    <xdr:from>
      <xdr:col>0</xdr:col>
      <xdr:colOff>45223</xdr:colOff>
      <xdr:row>99</xdr:row>
      <xdr:rowOff>52098</xdr:rowOff>
    </xdr:from>
    <xdr:to>
      <xdr:col>3</xdr:col>
      <xdr:colOff>21688</xdr:colOff>
      <xdr:row>128</xdr:row>
      <xdr:rowOff>5715</xdr:rowOff>
    </xdr:to>
    <xdr:pic>
      <xdr:nvPicPr>
        <xdr:cNvPr id="17" name="Picture 1">
          <a:extLst>
            <a:ext uri="{FF2B5EF4-FFF2-40B4-BE49-F238E27FC236}">
              <a16:creationId xmlns:a16="http://schemas.microsoft.com/office/drawing/2014/main" id="{89E0B566-76BC-4D29-AD36-7E3EDBDBEC13}"/>
            </a:ext>
          </a:extLst>
        </xdr:cNvPr>
        <xdr:cNvPicPr>
          <a:picLocks noChangeAspect="1"/>
        </xdr:cNvPicPr>
      </xdr:nvPicPr>
      <xdr:blipFill>
        <a:blip xmlns:r="http://schemas.openxmlformats.org/officeDocument/2006/relationships" r:embed="rId3"/>
        <a:stretch>
          <a:fillRect/>
        </a:stretch>
      </xdr:blipFill>
      <xdr:spPr>
        <a:xfrm>
          <a:off x="45223" y="15623402"/>
          <a:ext cx="3248095" cy="4997726"/>
        </a:xfrm>
        <a:prstGeom prst="rect">
          <a:avLst/>
        </a:prstGeom>
      </xdr:spPr>
    </xdr:pic>
    <xdr:clientData/>
  </xdr:twoCellAnchor>
  <xdr:twoCellAnchor>
    <xdr:from>
      <xdr:col>5</xdr:col>
      <xdr:colOff>853732</xdr:colOff>
      <xdr:row>76</xdr:row>
      <xdr:rowOff>242719</xdr:rowOff>
    </xdr:from>
    <xdr:to>
      <xdr:col>11</xdr:col>
      <xdr:colOff>478964</xdr:colOff>
      <xdr:row>89</xdr:row>
      <xdr:rowOff>30030</xdr:rowOff>
    </xdr:to>
    <xdr:pic>
      <xdr:nvPicPr>
        <xdr:cNvPr id="18" name="Picture 17">
          <a:extLst>
            <a:ext uri="{FF2B5EF4-FFF2-40B4-BE49-F238E27FC236}">
              <a16:creationId xmlns:a16="http://schemas.microsoft.com/office/drawing/2014/main" id="{CE11BA7D-1C13-4799-B19E-57B11FD12712}"/>
            </a:ext>
          </a:extLst>
        </xdr:cNvPr>
        <xdr:cNvPicPr>
          <a:picLocks noChangeAspect="1"/>
        </xdr:cNvPicPr>
      </xdr:nvPicPr>
      <xdr:blipFill>
        <a:blip xmlns:r="http://schemas.openxmlformats.org/officeDocument/2006/relationships" r:embed="rId4"/>
        <a:stretch>
          <a:fillRect/>
        </a:stretch>
      </xdr:blipFill>
      <xdr:spPr>
        <a:xfrm>
          <a:off x="8070320" y="12737278"/>
          <a:ext cx="6505644" cy="2140546"/>
        </a:xfrm>
        <a:prstGeom prst="rect">
          <a:avLst/>
        </a:prstGeom>
      </xdr:spPr>
    </xdr:pic>
    <xdr:clientData/>
  </xdr:twoCellAnchor>
  <xdr:twoCellAnchor>
    <xdr:from>
      <xdr:col>7</xdr:col>
      <xdr:colOff>194062</xdr:colOff>
      <xdr:row>100</xdr:row>
      <xdr:rowOff>163525</xdr:rowOff>
    </xdr:from>
    <xdr:to>
      <xdr:col>10</xdr:col>
      <xdr:colOff>436929</xdr:colOff>
      <xdr:row>127</xdr:row>
      <xdr:rowOff>97145</xdr:rowOff>
    </xdr:to>
    <xdr:pic>
      <xdr:nvPicPr>
        <xdr:cNvPr id="19" name="Picture 18">
          <a:extLst>
            <a:ext uri="{FF2B5EF4-FFF2-40B4-BE49-F238E27FC236}">
              <a16:creationId xmlns:a16="http://schemas.microsoft.com/office/drawing/2014/main" id="{835E49ED-8B20-427D-88D9-FB78EEA9C32E}"/>
            </a:ext>
          </a:extLst>
        </xdr:cNvPr>
        <xdr:cNvPicPr>
          <a:picLocks noChangeAspect="1"/>
        </xdr:cNvPicPr>
      </xdr:nvPicPr>
      <xdr:blipFill>
        <a:blip xmlns:r="http://schemas.openxmlformats.org/officeDocument/2006/relationships" r:embed="rId5"/>
        <a:stretch>
          <a:fillRect/>
        </a:stretch>
      </xdr:blipFill>
      <xdr:spPr>
        <a:xfrm>
          <a:off x="9785323" y="15908764"/>
          <a:ext cx="4145218" cy="4633669"/>
        </a:xfrm>
        <a:prstGeom prst="rect">
          <a:avLst/>
        </a:prstGeom>
      </xdr:spPr>
    </xdr:pic>
    <xdr:clientData/>
  </xdr:twoCellAnchor>
  <xdr:twoCellAnchor>
    <xdr:from>
      <xdr:col>10</xdr:col>
      <xdr:colOff>124147</xdr:colOff>
      <xdr:row>120</xdr:row>
      <xdr:rowOff>102996</xdr:rowOff>
    </xdr:from>
    <xdr:to>
      <xdr:col>20</xdr:col>
      <xdr:colOff>432011</xdr:colOff>
      <xdr:row>129</xdr:row>
      <xdr:rowOff>97043</xdr:rowOff>
    </xdr:to>
    <xdr:pic>
      <xdr:nvPicPr>
        <xdr:cNvPr id="20" name="Picture 19">
          <a:extLst>
            <a:ext uri="{FF2B5EF4-FFF2-40B4-BE49-F238E27FC236}">
              <a16:creationId xmlns:a16="http://schemas.microsoft.com/office/drawing/2014/main" id="{B33520E0-C962-432D-AF78-C5BAA398C1BF}"/>
            </a:ext>
          </a:extLst>
        </xdr:cNvPr>
        <xdr:cNvPicPr>
          <a:picLocks noChangeAspect="1"/>
        </xdr:cNvPicPr>
      </xdr:nvPicPr>
      <xdr:blipFill>
        <a:blip xmlns:r="http://schemas.openxmlformats.org/officeDocument/2006/relationships" r:embed="rId6"/>
        <a:stretch>
          <a:fillRect/>
        </a:stretch>
      </xdr:blipFill>
      <xdr:spPr>
        <a:xfrm>
          <a:off x="13739294" y="19847761"/>
          <a:ext cx="5204835" cy="1506841"/>
        </a:xfrm>
        <a:prstGeom prst="rect">
          <a:avLst/>
        </a:prstGeom>
      </xdr:spPr>
    </xdr:pic>
    <xdr:clientData/>
  </xdr:twoCellAnchor>
  <xdr:twoCellAnchor>
    <xdr:from>
      <xdr:col>10</xdr:col>
      <xdr:colOff>193679</xdr:colOff>
      <xdr:row>100</xdr:row>
      <xdr:rowOff>38680</xdr:rowOff>
    </xdr:from>
    <xdr:to>
      <xdr:col>20</xdr:col>
      <xdr:colOff>123263</xdr:colOff>
      <xdr:row>118</xdr:row>
      <xdr:rowOff>118204</xdr:rowOff>
    </xdr:to>
    <xdr:pic>
      <xdr:nvPicPr>
        <xdr:cNvPr id="21" name="Picture 20">
          <a:extLst>
            <a:ext uri="{FF2B5EF4-FFF2-40B4-BE49-F238E27FC236}">
              <a16:creationId xmlns:a16="http://schemas.microsoft.com/office/drawing/2014/main" id="{A9C6C0A8-92D2-423D-B84F-29A3AA1A3508}"/>
            </a:ext>
          </a:extLst>
        </xdr:cNvPr>
        <xdr:cNvPicPr>
          <a:picLocks noChangeAspect="1"/>
        </xdr:cNvPicPr>
      </xdr:nvPicPr>
      <xdr:blipFill>
        <a:blip xmlns:r="http://schemas.openxmlformats.org/officeDocument/2006/relationships" r:embed="rId7"/>
        <a:stretch>
          <a:fillRect/>
        </a:stretch>
      </xdr:blipFill>
      <xdr:spPr>
        <a:xfrm>
          <a:off x="13808826" y="16421680"/>
          <a:ext cx="4826555" cy="3105112"/>
        </a:xfrm>
        <a:prstGeom prst="rect">
          <a:avLst/>
        </a:prstGeom>
      </xdr:spPr>
    </xdr:pic>
    <xdr:clientData/>
  </xdr:twoCellAnchor>
  <xdr:twoCellAnchor>
    <xdr:from>
      <xdr:col>0</xdr:col>
      <xdr:colOff>-3479</xdr:colOff>
      <xdr:row>91</xdr:row>
      <xdr:rowOff>112395</xdr:rowOff>
    </xdr:from>
    <xdr:to>
      <xdr:col>3</xdr:col>
      <xdr:colOff>988446</xdr:colOff>
      <xdr:row>98</xdr:row>
      <xdr:rowOff>158851</xdr:rowOff>
    </xdr:to>
    <xdr:pic>
      <xdr:nvPicPr>
        <xdr:cNvPr id="5" name="Picture 21">
          <a:extLst>
            <a:ext uri="{FF2B5EF4-FFF2-40B4-BE49-F238E27FC236}">
              <a16:creationId xmlns:a16="http://schemas.microsoft.com/office/drawing/2014/main" id="{6599AB33-3A3C-4631-C1E4-437FB4C560C4}"/>
            </a:ext>
            <a:ext uri="{147F2762-F138-4A5C-976F-8EAC2B608ADB}">
              <a16:predDERef xmlns:a16="http://schemas.microsoft.com/office/drawing/2014/main" pred="{A9C6C0A8-92D2-423D-B84F-29A3AA1A3508}"/>
            </a:ext>
          </a:extLst>
        </xdr:cNvPr>
        <xdr:cNvPicPr>
          <a:picLocks noChangeAspect="1"/>
        </xdr:cNvPicPr>
      </xdr:nvPicPr>
      <xdr:blipFill>
        <a:blip xmlns:r="http://schemas.openxmlformats.org/officeDocument/2006/relationships" r:embed="rId8"/>
        <a:stretch>
          <a:fillRect/>
        </a:stretch>
      </xdr:blipFill>
      <xdr:spPr>
        <a:xfrm>
          <a:off x="-3479" y="16695420"/>
          <a:ext cx="4287575" cy="1484731"/>
        </a:xfrm>
        <a:prstGeom prst="rect">
          <a:avLst/>
        </a:prstGeom>
      </xdr:spPr>
    </xdr:pic>
    <xdr:clientData/>
  </xdr:twoCellAnchor>
  <xdr:twoCellAnchor>
    <xdr:from>
      <xdr:col>7</xdr:col>
      <xdr:colOff>298836</xdr:colOff>
      <xdr:row>91</xdr:row>
      <xdr:rowOff>135096</xdr:rowOff>
    </xdr:from>
    <xdr:to>
      <xdr:col>13</xdr:col>
      <xdr:colOff>397944</xdr:colOff>
      <xdr:row>98</xdr:row>
      <xdr:rowOff>157210</xdr:rowOff>
    </xdr:to>
    <xdr:pic>
      <xdr:nvPicPr>
        <xdr:cNvPr id="23" name="Picture 22">
          <a:extLst>
            <a:ext uri="{FF2B5EF4-FFF2-40B4-BE49-F238E27FC236}">
              <a16:creationId xmlns:a16="http://schemas.microsoft.com/office/drawing/2014/main" id="{D20CA670-59FC-E7D2-DB58-9403F530095C}"/>
            </a:ext>
          </a:extLst>
        </xdr:cNvPr>
        <xdr:cNvPicPr>
          <a:picLocks noChangeAspect="1"/>
        </xdr:cNvPicPr>
      </xdr:nvPicPr>
      <xdr:blipFill>
        <a:blip xmlns:r="http://schemas.openxmlformats.org/officeDocument/2006/relationships" r:embed="rId9"/>
        <a:stretch>
          <a:fillRect/>
        </a:stretch>
      </xdr:blipFill>
      <xdr:spPr>
        <a:xfrm>
          <a:off x="9890097" y="14124422"/>
          <a:ext cx="5461766" cy="1424443"/>
        </a:xfrm>
        <a:prstGeom prst="rect">
          <a:avLst/>
        </a:prstGeom>
      </xdr:spPr>
    </xdr:pic>
    <xdr:clientData/>
  </xdr:twoCellAnchor>
  <xdr:twoCellAnchor>
    <xdr:from>
      <xdr:col>12</xdr:col>
      <xdr:colOff>125170</xdr:colOff>
      <xdr:row>78</xdr:row>
      <xdr:rowOff>126338</xdr:rowOff>
    </xdr:from>
    <xdr:to>
      <xdr:col>25</xdr:col>
      <xdr:colOff>382905</xdr:colOff>
      <xdr:row>89</xdr:row>
      <xdr:rowOff>46168</xdr:rowOff>
    </xdr:to>
    <xdr:pic>
      <xdr:nvPicPr>
        <xdr:cNvPr id="24" name="Picture 23">
          <a:extLst>
            <a:ext uri="{FF2B5EF4-FFF2-40B4-BE49-F238E27FC236}">
              <a16:creationId xmlns:a16="http://schemas.microsoft.com/office/drawing/2014/main" id="{A120E7DE-A329-1507-668D-26780BCB3966}"/>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4704023" y="12867426"/>
          <a:ext cx="6801970" cy="17704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21</xdr:col>
      <xdr:colOff>495300</xdr:colOff>
      <xdr:row>97</xdr:row>
      <xdr:rowOff>28575</xdr:rowOff>
    </xdr:from>
    <xdr:to>
      <xdr:col>29</xdr:col>
      <xdr:colOff>2971800</xdr:colOff>
      <xdr:row>121</xdr:row>
      <xdr:rowOff>95250</xdr:rowOff>
    </xdr:to>
    <xdr:pic>
      <xdr:nvPicPr>
        <xdr:cNvPr id="7" name="Picture 24">
          <a:extLst>
            <a:ext uri="{FF2B5EF4-FFF2-40B4-BE49-F238E27FC236}">
              <a16:creationId xmlns:a16="http://schemas.microsoft.com/office/drawing/2014/main" id="{85E44CAD-0AF9-ECCE-4C27-BE84AABF8FA5}"/>
            </a:ext>
            <a:ext uri="{147F2762-F138-4A5C-976F-8EAC2B608ADB}">
              <a16:predDERef xmlns:a16="http://schemas.microsoft.com/office/drawing/2014/main" pred="{A120E7DE-A329-1507-668D-26780BCB3966}"/>
            </a:ext>
          </a:extLst>
        </xdr:cNvPr>
        <xdr:cNvPicPr>
          <a:picLocks noChangeAspect="1"/>
        </xdr:cNvPicPr>
      </xdr:nvPicPr>
      <xdr:blipFill>
        <a:blip xmlns:r="http://schemas.openxmlformats.org/officeDocument/2006/relationships" r:embed="rId11"/>
        <a:stretch>
          <a:fillRect/>
        </a:stretch>
      </xdr:blipFill>
      <xdr:spPr>
        <a:xfrm>
          <a:off x="18926175" y="17868900"/>
          <a:ext cx="9153525" cy="4410075"/>
        </a:xfrm>
        <a:prstGeom prst="rect">
          <a:avLst/>
        </a:prstGeom>
      </xdr:spPr>
    </xdr:pic>
    <xdr:clientData/>
  </xdr:twoCellAnchor>
  <xdr:twoCellAnchor>
    <xdr:from>
      <xdr:col>0</xdr:col>
      <xdr:colOff>66675</xdr:colOff>
      <xdr:row>135</xdr:row>
      <xdr:rowOff>142875</xdr:rowOff>
    </xdr:from>
    <xdr:to>
      <xdr:col>4</xdr:col>
      <xdr:colOff>342900</xdr:colOff>
      <xdr:row>148</xdr:row>
      <xdr:rowOff>36196</xdr:rowOff>
    </xdr:to>
    <xdr:pic>
      <xdr:nvPicPr>
        <xdr:cNvPr id="2" name="Picture 1">
          <a:extLst>
            <a:ext uri="{FF2B5EF4-FFF2-40B4-BE49-F238E27FC236}">
              <a16:creationId xmlns:a16="http://schemas.microsoft.com/office/drawing/2014/main" id="{3A7D6841-93D5-82D8-E0E8-A41012307F36}"/>
            </a:ext>
            <a:ext uri="{147F2762-F138-4A5C-976F-8EAC2B608ADB}">
              <a16:predDERef xmlns:a16="http://schemas.microsoft.com/office/drawing/2014/main" pred="{85E44CAD-0AF9-ECCE-4C27-BE84AABF8FA5}"/>
            </a:ext>
          </a:extLst>
        </xdr:cNvPr>
        <xdr:cNvPicPr>
          <a:picLocks noChangeAspect="1"/>
        </xdr:cNvPicPr>
      </xdr:nvPicPr>
      <xdr:blipFill>
        <a:blip xmlns:r="http://schemas.openxmlformats.org/officeDocument/2006/relationships" r:embed="rId12"/>
        <a:stretch>
          <a:fillRect/>
        </a:stretch>
      </xdr:blipFill>
      <xdr:spPr>
        <a:xfrm>
          <a:off x="66675" y="10696575"/>
          <a:ext cx="6410325" cy="2124075"/>
        </a:xfrm>
        <a:prstGeom prst="rect">
          <a:avLst/>
        </a:prstGeom>
      </xdr:spPr>
    </xdr:pic>
    <xdr:clientData/>
  </xdr:twoCellAnchor>
  <xdr:twoCellAnchor>
    <xdr:from>
      <xdr:col>0</xdr:col>
      <xdr:colOff>495300</xdr:colOff>
      <xdr:row>150</xdr:row>
      <xdr:rowOff>95250</xdr:rowOff>
    </xdr:from>
    <xdr:to>
      <xdr:col>3</xdr:col>
      <xdr:colOff>1771650</xdr:colOff>
      <xdr:row>161</xdr:row>
      <xdr:rowOff>15241</xdr:rowOff>
    </xdr:to>
    <xdr:pic>
      <xdr:nvPicPr>
        <xdr:cNvPr id="4" name="Picture 3">
          <a:extLst>
            <a:ext uri="{FF2B5EF4-FFF2-40B4-BE49-F238E27FC236}">
              <a16:creationId xmlns:a16="http://schemas.microsoft.com/office/drawing/2014/main" id="{21A22B50-DF50-A018-79F1-2C1C0B0B8997}"/>
            </a:ext>
            <a:ext uri="{147F2762-F138-4A5C-976F-8EAC2B608ADB}">
              <a16:predDERef xmlns:a16="http://schemas.microsoft.com/office/drawing/2014/main" pred="{9F1D6A3E-E334-A7B9-4FBF-4B96E5966A7E}"/>
            </a:ext>
          </a:extLst>
        </xdr:cNvPr>
        <xdr:cNvPicPr>
          <a:picLocks noChangeAspect="1"/>
        </xdr:cNvPicPr>
      </xdr:nvPicPr>
      <xdr:blipFill>
        <a:blip xmlns:r="http://schemas.openxmlformats.org/officeDocument/2006/relationships" r:embed="rId13"/>
        <a:stretch>
          <a:fillRect/>
        </a:stretch>
      </xdr:blipFill>
      <xdr:spPr>
        <a:xfrm>
          <a:off x="495300" y="13220700"/>
          <a:ext cx="4572000" cy="1800225"/>
        </a:xfrm>
        <a:prstGeom prst="rect">
          <a:avLst/>
        </a:prstGeom>
      </xdr:spPr>
    </xdr:pic>
    <xdr:clientData/>
  </xdr:twoCellAnchor>
  <xdr:twoCellAnchor editAs="oneCell">
    <xdr:from>
      <xdr:col>28</xdr:col>
      <xdr:colOff>156045</xdr:colOff>
      <xdr:row>71</xdr:row>
      <xdr:rowOff>152863</xdr:rowOff>
    </xdr:from>
    <xdr:to>
      <xdr:col>29</xdr:col>
      <xdr:colOff>2388369</xdr:colOff>
      <xdr:row>175</xdr:row>
      <xdr:rowOff>16149</xdr:rowOff>
    </xdr:to>
    <xdr:pic>
      <xdr:nvPicPr>
        <xdr:cNvPr id="3" name="Picture 2">
          <a:extLst>
            <a:ext uri="{FF2B5EF4-FFF2-40B4-BE49-F238E27FC236}">
              <a16:creationId xmlns:a16="http://schemas.microsoft.com/office/drawing/2014/main" id="{D5D52684-C9FA-7139-E6D9-096F032A30C4}"/>
            </a:ext>
            <a:ext uri="{147F2762-F138-4A5C-976F-8EAC2B608ADB}">
              <a16:predDERef xmlns:a16="http://schemas.microsoft.com/office/drawing/2014/main" pred="{21A22B50-DF50-A018-79F1-2C1C0B0B8997}"/>
            </a:ext>
          </a:extLst>
        </xdr:cNvPr>
        <xdr:cNvPicPr>
          <a:picLocks noChangeAspect="1"/>
        </xdr:cNvPicPr>
      </xdr:nvPicPr>
      <xdr:blipFill>
        <a:blip xmlns:r="http://schemas.openxmlformats.org/officeDocument/2006/relationships" r:embed="rId14"/>
        <a:stretch>
          <a:fillRect/>
        </a:stretch>
      </xdr:blipFill>
      <xdr:spPr>
        <a:xfrm>
          <a:off x="22949370" y="12763963"/>
          <a:ext cx="4546899" cy="218784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29</xdr:col>
      <xdr:colOff>268943</xdr:colOff>
      <xdr:row>6</xdr:row>
      <xdr:rowOff>22412</xdr:rowOff>
    </xdr:from>
    <xdr:to>
      <xdr:col>35</xdr:col>
      <xdr:colOff>620471</xdr:colOff>
      <xdr:row>8</xdr:row>
      <xdr:rowOff>429092</xdr:rowOff>
    </xdr:to>
    <xdr:graphicFrame macro="">
      <xdr:nvGraphicFramePr>
        <xdr:cNvPr id="2" name="Chart 5">
          <a:extLst>
            <a:ext uri="{FF2B5EF4-FFF2-40B4-BE49-F238E27FC236}">
              <a16:creationId xmlns:a16="http://schemas.microsoft.com/office/drawing/2014/main" id="{7F887ED4-EF83-451C-B1B7-74B19AE46174}"/>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29</xdr:col>
      <xdr:colOff>289560</xdr:colOff>
      <xdr:row>9</xdr:row>
      <xdr:rowOff>0</xdr:rowOff>
    </xdr:from>
    <xdr:to>
      <xdr:col>36</xdr:col>
      <xdr:colOff>0</xdr:colOff>
      <xdr:row>11</xdr:row>
      <xdr:rowOff>391886</xdr:rowOff>
    </xdr:to>
    <xdr:graphicFrame macro="">
      <xdr:nvGraphicFramePr>
        <xdr:cNvPr id="3" name="Chart 5">
          <a:extLst>
            <a:ext uri="{FF2B5EF4-FFF2-40B4-BE49-F238E27FC236}">
              <a16:creationId xmlns:a16="http://schemas.microsoft.com/office/drawing/2014/main" id="{562C7D60-D222-45AF-9013-A79B918CAA53}"/>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29</xdr:col>
      <xdr:colOff>289560</xdr:colOff>
      <xdr:row>59</xdr:row>
      <xdr:rowOff>0</xdr:rowOff>
    </xdr:from>
    <xdr:to>
      <xdr:col>36</xdr:col>
      <xdr:colOff>0</xdr:colOff>
      <xdr:row>61</xdr:row>
      <xdr:rowOff>391886</xdr:rowOff>
    </xdr:to>
    <xdr:graphicFrame macro="">
      <xdr:nvGraphicFramePr>
        <xdr:cNvPr id="5" name="Chart 5">
          <a:extLst>
            <a:ext uri="{FF2B5EF4-FFF2-40B4-BE49-F238E27FC236}">
              <a16:creationId xmlns:a16="http://schemas.microsoft.com/office/drawing/2014/main" id="{F8649B1F-C1B4-4ACF-B5FC-61526761CFE2}"/>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29</xdr:col>
      <xdr:colOff>289560</xdr:colOff>
      <xdr:row>18</xdr:row>
      <xdr:rowOff>0</xdr:rowOff>
    </xdr:from>
    <xdr:to>
      <xdr:col>36</xdr:col>
      <xdr:colOff>0</xdr:colOff>
      <xdr:row>20</xdr:row>
      <xdr:rowOff>391886</xdr:rowOff>
    </xdr:to>
    <xdr:graphicFrame macro="">
      <xdr:nvGraphicFramePr>
        <xdr:cNvPr id="6" name="Chart 5">
          <a:extLst>
            <a:ext uri="{FF2B5EF4-FFF2-40B4-BE49-F238E27FC236}">
              <a16:creationId xmlns:a16="http://schemas.microsoft.com/office/drawing/2014/main" id="{3829B692-84CA-4F11-A572-28334A0337A2}"/>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29</xdr:col>
      <xdr:colOff>289560</xdr:colOff>
      <xdr:row>12</xdr:row>
      <xdr:rowOff>0</xdr:rowOff>
    </xdr:from>
    <xdr:to>
      <xdr:col>36</xdr:col>
      <xdr:colOff>0</xdr:colOff>
      <xdr:row>14</xdr:row>
      <xdr:rowOff>391886</xdr:rowOff>
    </xdr:to>
    <xdr:graphicFrame macro="">
      <xdr:nvGraphicFramePr>
        <xdr:cNvPr id="7" name="Chart 5">
          <a:extLst>
            <a:ext uri="{FF2B5EF4-FFF2-40B4-BE49-F238E27FC236}">
              <a16:creationId xmlns:a16="http://schemas.microsoft.com/office/drawing/2014/main" id="{44729C12-D2A0-4BBC-B561-E4199A740F80}"/>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29</xdr:col>
      <xdr:colOff>289560</xdr:colOff>
      <xdr:row>15</xdr:row>
      <xdr:rowOff>0</xdr:rowOff>
    </xdr:from>
    <xdr:to>
      <xdr:col>36</xdr:col>
      <xdr:colOff>0</xdr:colOff>
      <xdr:row>17</xdr:row>
      <xdr:rowOff>391886</xdr:rowOff>
    </xdr:to>
    <xdr:graphicFrame macro="">
      <xdr:nvGraphicFramePr>
        <xdr:cNvPr id="8" name="Chart 7">
          <a:extLst>
            <a:ext uri="{FF2B5EF4-FFF2-40B4-BE49-F238E27FC236}">
              <a16:creationId xmlns:a16="http://schemas.microsoft.com/office/drawing/2014/main" id="{64306D0B-239D-466F-B383-D93A0723FCC6}"/>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29</xdr:col>
      <xdr:colOff>289560</xdr:colOff>
      <xdr:row>62</xdr:row>
      <xdr:rowOff>0</xdr:rowOff>
    </xdr:from>
    <xdr:to>
      <xdr:col>36</xdr:col>
      <xdr:colOff>0</xdr:colOff>
      <xdr:row>64</xdr:row>
      <xdr:rowOff>391886</xdr:rowOff>
    </xdr:to>
    <xdr:graphicFrame macro="">
      <xdr:nvGraphicFramePr>
        <xdr:cNvPr id="10" name="Chart 5">
          <a:extLst>
            <a:ext uri="{FF2B5EF4-FFF2-40B4-BE49-F238E27FC236}">
              <a16:creationId xmlns:a16="http://schemas.microsoft.com/office/drawing/2014/main" id="{C48C3029-B5F1-4B32-B1A3-D5B22C5C63C7}"/>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29</xdr:col>
      <xdr:colOff>277233</xdr:colOff>
      <xdr:row>67</xdr:row>
      <xdr:rowOff>468407</xdr:rowOff>
    </xdr:from>
    <xdr:to>
      <xdr:col>35</xdr:col>
      <xdr:colOff>609600</xdr:colOff>
      <xdr:row>70</xdr:row>
      <xdr:rowOff>376518</xdr:rowOff>
    </xdr:to>
    <xdr:graphicFrame macro="">
      <xdr:nvGraphicFramePr>
        <xdr:cNvPr id="11" name="Chart 5">
          <a:extLst>
            <a:ext uri="{FF2B5EF4-FFF2-40B4-BE49-F238E27FC236}">
              <a16:creationId xmlns:a16="http://schemas.microsoft.com/office/drawing/2014/main" id="{AD13ECEB-16E4-4AFF-8E89-282EEAAE886B}"/>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29</xdr:col>
      <xdr:colOff>278355</xdr:colOff>
      <xdr:row>65</xdr:row>
      <xdr:rowOff>75079</xdr:rowOff>
    </xdr:from>
    <xdr:to>
      <xdr:col>35</xdr:col>
      <xdr:colOff>618566</xdr:colOff>
      <xdr:row>67</xdr:row>
      <xdr:rowOff>349624</xdr:rowOff>
    </xdr:to>
    <xdr:graphicFrame macro="">
      <xdr:nvGraphicFramePr>
        <xdr:cNvPr id="12" name="Chart 5">
          <a:extLst>
            <a:ext uri="{FF2B5EF4-FFF2-40B4-BE49-F238E27FC236}">
              <a16:creationId xmlns:a16="http://schemas.microsoft.com/office/drawing/2014/main" id="{C5525377-4094-49D7-A558-50BC6FA52BBB}"/>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29</xdr:col>
      <xdr:colOff>281940</xdr:colOff>
      <xdr:row>56</xdr:row>
      <xdr:rowOff>0</xdr:rowOff>
    </xdr:from>
    <xdr:to>
      <xdr:col>35</xdr:col>
      <xdr:colOff>634365</xdr:colOff>
      <xdr:row>58</xdr:row>
      <xdr:rowOff>332831</xdr:rowOff>
    </xdr:to>
    <xdr:graphicFrame macro="">
      <xdr:nvGraphicFramePr>
        <xdr:cNvPr id="13" name="Chart 5">
          <a:extLst>
            <a:ext uri="{FF2B5EF4-FFF2-40B4-BE49-F238E27FC236}">
              <a16:creationId xmlns:a16="http://schemas.microsoft.com/office/drawing/2014/main" id="{5D80E14B-9B99-49BA-A8A8-57450D8BBB65}"/>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29</xdr:col>
      <xdr:colOff>278354</xdr:colOff>
      <xdr:row>71</xdr:row>
      <xdr:rowOff>57150</xdr:rowOff>
    </xdr:from>
    <xdr:to>
      <xdr:col>36</xdr:col>
      <xdr:colOff>0</xdr:colOff>
      <xdr:row>73</xdr:row>
      <xdr:rowOff>449036</xdr:rowOff>
    </xdr:to>
    <xdr:graphicFrame macro="">
      <xdr:nvGraphicFramePr>
        <xdr:cNvPr id="15" name="Chart 5">
          <a:extLst>
            <a:ext uri="{FF2B5EF4-FFF2-40B4-BE49-F238E27FC236}">
              <a16:creationId xmlns:a16="http://schemas.microsoft.com/office/drawing/2014/main" id="{4CF35C84-2205-461F-BE9D-DE7A96498FA3}"/>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29</xdr:col>
      <xdr:colOff>286870</xdr:colOff>
      <xdr:row>17</xdr:row>
      <xdr:rowOff>466165</xdr:rowOff>
    </xdr:from>
    <xdr:to>
      <xdr:col>35</xdr:col>
      <xdr:colOff>633804</xdr:colOff>
      <xdr:row>18</xdr:row>
      <xdr:rowOff>0</xdr:rowOff>
    </xdr:to>
    <xdr:graphicFrame macro="">
      <xdr:nvGraphicFramePr>
        <xdr:cNvPr id="27" name="Chart 5">
          <a:extLst>
            <a:ext uri="{FF2B5EF4-FFF2-40B4-BE49-F238E27FC236}">
              <a16:creationId xmlns:a16="http://schemas.microsoft.com/office/drawing/2014/main" id="{B2EDD7BD-9E89-4747-92BE-83BD9B7BB81C}"/>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29</xdr:col>
      <xdr:colOff>274656</xdr:colOff>
      <xdr:row>2</xdr:row>
      <xdr:rowOff>304800</xdr:rowOff>
    </xdr:from>
    <xdr:to>
      <xdr:col>35</xdr:col>
      <xdr:colOff>622374</xdr:colOff>
      <xdr:row>5</xdr:row>
      <xdr:rowOff>353098</xdr:rowOff>
    </xdr:to>
    <xdr:graphicFrame macro="">
      <xdr:nvGraphicFramePr>
        <xdr:cNvPr id="25" name="Chart 5">
          <a:extLst>
            <a:ext uri="{FF2B5EF4-FFF2-40B4-BE49-F238E27FC236}">
              <a16:creationId xmlns:a16="http://schemas.microsoft.com/office/drawing/2014/main" id="{BFB5E6CE-1DC8-43BD-AB76-7B507BEB194C}"/>
            </a:ext>
            <a:ext uri="{147F2762-F138-4A5C-976F-8EAC2B608ADB}">
              <a16:predDERef xmlns:a16="http://schemas.microsoft.com/office/drawing/2014/main" pred="{B2EDD7BD-9E89-4747-92BE-83BD9B7BB8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xdr:col>
      <xdr:colOff>1</xdr:colOff>
      <xdr:row>118</xdr:row>
      <xdr:rowOff>63141</xdr:rowOff>
    </xdr:from>
    <xdr:to>
      <xdr:col>12</xdr:col>
      <xdr:colOff>228005</xdr:colOff>
      <xdr:row>143</xdr:row>
      <xdr:rowOff>53341</xdr:rowOff>
    </xdr:to>
    <xdr:pic>
      <xdr:nvPicPr>
        <xdr:cNvPr id="4" name="Picture 3">
          <a:extLst>
            <a:ext uri="{FF2B5EF4-FFF2-40B4-BE49-F238E27FC236}">
              <a16:creationId xmlns:a16="http://schemas.microsoft.com/office/drawing/2014/main" id="{5E4966C6-34B5-0861-D772-B59B41591AAF}"/>
            </a:ext>
          </a:extLst>
        </xdr:cNvPr>
        <xdr:cNvPicPr>
          <a:picLocks noChangeAspect="1"/>
        </xdr:cNvPicPr>
      </xdr:nvPicPr>
      <xdr:blipFill>
        <a:blip xmlns:r="http://schemas.openxmlformats.org/officeDocument/2006/relationships" r:embed="rId14"/>
        <a:stretch>
          <a:fillRect/>
        </a:stretch>
      </xdr:blipFill>
      <xdr:spPr>
        <a:xfrm>
          <a:off x="1" y="20065641"/>
          <a:ext cx="7101244" cy="3609700"/>
        </a:xfrm>
        <a:prstGeom prst="rect">
          <a:avLst/>
        </a:prstGeom>
      </xdr:spPr>
    </xdr:pic>
    <xdr:clientData/>
  </xdr:twoCellAnchor>
  <xdr:twoCellAnchor>
    <xdr:from>
      <xdr:col>1</xdr:col>
      <xdr:colOff>0</xdr:colOff>
      <xdr:row>143</xdr:row>
      <xdr:rowOff>135656</xdr:rowOff>
    </xdr:from>
    <xdr:to>
      <xdr:col>12</xdr:col>
      <xdr:colOff>213422</xdr:colOff>
      <xdr:row>165</xdr:row>
      <xdr:rowOff>53340</xdr:rowOff>
    </xdr:to>
    <xdr:pic>
      <xdr:nvPicPr>
        <xdr:cNvPr id="16" name="Picture 15">
          <a:extLst>
            <a:ext uri="{FF2B5EF4-FFF2-40B4-BE49-F238E27FC236}">
              <a16:creationId xmlns:a16="http://schemas.microsoft.com/office/drawing/2014/main" id="{7D3FAD0A-782A-0988-39C7-02E4847A10F4}"/>
            </a:ext>
          </a:extLst>
        </xdr:cNvPr>
        <xdr:cNvPicPr>
          <a:picLocks noChangeAspect="1"/>
        </xdr:cNvPicPr>
      </xdr:nvPicPr>
      <xdr:blipFill>
        <a:blip xmlns:r="http://schemas.openxmlformats.org/officeDocument/2006/relationships" r:embed="rId15"/>
        <a:stretch>
          <a:fillRect/>
        </a:stretch>
      </xdr:blipFill>
      <xdr:spPr>
        <a:xfrm>
          <a:off x="0" y="23757656"/>
          <a:ext cx="7086662" cy="3102844"/>
        </a:xfrm>
        <a:prstGeom prst="rect">
          <a:avLst/>
        </a:prstGeom>
      </xdr:spPr>
    </xdr:pic>
    <xdr:clientData/>
  </xdr:twoCellAnchor>
  <xdr:twoCellAnchor>
    <xdr:from>
      <xdr:col>1</xdr:col>
      <xdr:colOff>0</xdr:colOff>
      <xdr:row>166</xdr:row>
      <xdr:rowOff>0</xdr:rowOff>
    </xdr:from>
    <xdr:to>
      <xdr:col>12</xdr:col>
      <xdr:colOff>212668</xdr:colOff>
      <xdr:row>187</xdr:row>
      <xdr:rowOff>109398</xdr:rowOff>
    </xdr:to>
    <xdr:pic>
      <xdr:nvPicPr>
        <xdr:cNvPr id="17" name="Picture 16">
          <a:extLst>
            <a:ext uri="{FF2B5EF4-FFF2-40B4-BE49-F238E27FC236}">
              <a16:creationId xmlns:a16="http://schemas.microsoft.com/office/drawing/2014/main" id="{A1BC29F2-F3CE-963B-57C7-168C5D12B90C}"/>
            </a:ext>
          </a:extLst>
        </xdr:cNvPr>
        <xdr:cNvPicPr>
          <a:picLocks noChangeAspect="1"/>
        </xdr:cNvPicPr>
      </xdr:nvPicPr>
      <xdr:blipFill>
        <a:blip xmlns:r="http://schemas.openxmlformats.org/officeDocument/2006/relationships" r:embed="rId16"/>
        <a:stretch>
          <a:fillRect/>
        </a:stretch>
      </xdr:blipFill>
      <xdr:spPr>
        <a:xfrm>
          <a:off x="0" y="26573018"/>
          <a:ext cx="7079673" cy="3018853"/>
        </a:xfrm>
        <a:prstGeom prst="rect">
          <a:avLst/>
        </a:prstGeom>
      </xdr:spPr>
    </xdr:pic>
    <xdr:clientData/>
  </xdr:twoCellAnchor>
  <xdr:twoCellAnchor>
    <xdr:from>
      <xdr:col>1</xdr:col>
      <xdr:colOff>0</xdr:colOff>
      <xdr:row>188</xdr:row>
      <xdr:rowOff>27710</xdr:rowOff>
    </xdr:from>
    <xdr:to>
      <xdr:col>12</xdr:col>
      <xdr:colOff>288298</xdr:colOff>
      <xdr:row>209</xdr:row>
      <xdr:rowOff>45373</xdr:rowOff>
    </xdr:to>
    <xdr:pic>
      <xdr:nvPicPr>
        <xdr:cNvPr id="18" name="Picture 17">
          <a:extLst>
            <a:ext uri="{FF2B5EF4-FFF2-40B4-BE49-F238E27FC236}">
              <a16:creationId xmlns:a16="http://schemas.microsoft.com/office/drawing/2014/main" id="{42782ADC-BA8C-A555-47A6-E35A40FB5843}"/>
            </a:ext>
          </a:extLst>
        </xdr:cNvPr>
        <xdr:cNvPicPr>
          <a:picLocks noChangeAspect="1"/>
        </xdr:cNvPicPr>
      </xdr:nvPicPr>
      <xdr:blipFill>
        <a:blip xmlns:r="http://schemas.openxmlformats.org/officeDocument/2006/relationships" r:embed="rId17"/>
        <a:stretch>
          <a:fillRect/>
        </a:stretch>
      </xdr:blipFill>
      <xdr:spPr>
        <a:xfrm>
          <a:off x="0" y="29648728"/>
          <a:ext cx="7147683" cy="2923308"/>
        </a:xfrm>
        <a:prstGeom prst="rect">
          <a:avLst/>
        </a:prstGeom>
      </xdr:spPr>
    </xdr:pic>
    <xdr:clientData/>
  </xdr:twoCellAnchor>
  <xdr:twoCellAnchor>
    <xdr:from>
      <xdr:col>29</xdr:col>
      <xdr:colOff>268943</xdr:colOff>
      <xdr:row>31</xdr:row>
      <xdr:rowOff>22412</xdr:rowOff>
    </xdr:from>
    <xdr:to>
      <xdr:col>35</xdr:col>
      <xdr:colOff>620471</xdr:colOff>
      <xdr:row>33</xdr:row>
      <xdr:rowOff>429092</xdr:rowOff>
    </xdr:to>
    <xdr:graphicFrame macro="">
      <xdr:nvGraphicFramePr>
        <xdr:cNvPr id="9" name="Chart 5">
          <a:extLst>
            <a:ext uri="{FF2B5EF4-FFF2-40B4-BE49-F238E27FC236}">
              <a16:creationId xmlns:a16="http://schemas.microsoft.com/office/drawing/2014/main" id="{62712EE5-632F-4805-9915-00C25A49A70E}"/>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29</xdr:col>
      <xdr:colOff>289560</xdr:colOff>
      <xdr:row>34</xdr:row>
      <xdr:rowOff>0</xdr:rowOff>
    </xdr:from>
    <xdr:to>
      <xdr:col>36</xdr:col>
      <xdr:colOff>0</xdr:colOff>
      <xdr:row>36</xdr:row>
      <xdr:rowOff>391886</xdr:rowOff>
    </xdr:to>
    <xdr:graphicFrame macro="">
      <xdr:nvGraphicFramePr>
        <xdr:cNvPr id="19" name="Chart 5">
          <a:extLst>
            <a:ext uri="{FF2B5EF4-FFF2-40B4-BE49-F238E27FC236}">
              <a16:creationId xmlns:a16="http://schemas.microsoft.com/office/drawing/2014/main" id="{A36FB85F-DE4E-4821-89B7-D9381F2D8926}"/>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29</xdr:col>
      <xdr:colOff>289560</xdr:colOff>
      <xdr:row>43</xdr:row>
      <xdr:rowOff>0</xdr:rowOff>
    </xdr:from>
    <xdr:to>
      <xdr:col>36</xdr:col>
      <xdr:colOff>0</xdr:colOff>
      <xdr:row>45</xdr:row>
      <xdr:rowOff>391886</xdr:rowOff>
    </xdr:to>
    <xdr:graphicFrame macro="">
      <xdr:nvGraphicFramePr>
        <xdr:cNvPr id="20" name="Chart 19">
          <a:extLst>
            <a:ext uri="{FF2B5EF4-FFF2-40B4-BE49-F238E27FC236}">
              <a16:creationId xmlns:a16="http://schemas.microsoft.com/office/drawing/2014/main" id="{9686F19A-C740-4978-8A43-E34D195DF11F}"/>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29</xdr:col>
      <xdr:colOff>289560</xdr:colOff>
      <xdr:row>37</xdr:row>
      <xdr:rowOff>0</xdr:rowOff>
    </xdr:from>
    <xdr:to>
      <xdr:col>36</xdr:col>
      <xdr:colOff>0</xdr:colOff>
      <xdr:row>39</xdr:row>
      <xdr:rowOff>391886</xdr:rowOff>
    </xdr:to>
    <xdr:graphicFrame macro="">
      <xdr:nvGraphicFramePr>
        <xdr:cNvPr id="21" name="Chart 5">
          <a:extLst>
            <a:ext uri="{FF2B5EF4-FFF2-40B4-BE49-F238E27FC236}">
              <a16:creationId xmlns:a16="http://schemas.microsoft.com/office/drawing/2014/main" id="{7D4C0FEC-53B0-4057-A5B9-E9716571D7C1}"/>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29</xdr:col>
      <xdr:colOff>289560</xdr:colOff>
      <xdr:row>40</xdr:row>
      <xdr:rowOff>0</xdr:rowOff>
    </xdr:from>
    <xdr:to>
      <xdr:col>36</xdr:col>
      <xdr:colOff>0</xdr:colOff>
      <xdr:row>42</xdr:row>
      <xdr:rowOff>391886</xdr:rowOff>
    </xdr:to>
    <xdr:graphicFrame macro="">
      <xdr:nvGraphicFramePr>
        <xdr:cNvPr id="22" name="Chart 21">
          <a:extLst>
            <a:ext uri="{FF2B5EF4-FFF2-40B4-BE49-F238E27FC236}">
              <a16:creationId xmlns:a16="http://schemas.microsoft.com/office/drawing/2014/main" id="{0DE24E6E-6547-49EA-B62C-0AB12440B68C}"/>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29</xdr:col>
      <xdr:colOff>286870</xdr:colOff>
      <xdr:row>42</xdr:row>
      <xdr:rowOff>466165</xdr:rowOff>
    </xdr:from>
    <xdr:to>
      <xdr:col>35</xdr:col>
      <xdr:colOff>633804</xdr:colOff>
      <xdr:row>43</xdr:row>
      <xdr:rowOff>0</xdr:rowOff>
    </xdr:to>
    <xdr:graphicFrame macro="">
      <xdr:nvGraphicFramePr>
        <xdr:cNvPr id="23" name="Chart 5">
          <a:extLst>
            <a:ext uri="{FF2B5EF4-FFF2-40B4-BE49-F238E27FC236}">
              <a16:creationId xmlns:a16="http://schemas.microsoft.com/office/drawing/2014/main" id="{C7FA7100-635D-470B-8B51-9B573D48DC03}"/>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29</xdr:col>
      <xdr:colOff>274656</xdr:colOff>
      <xdr:row>27</xdr:row>
      <xdr:rowOff>304800</xdr:rowOff>
    </xdr:from>
    <xdr:to>
      <xdr:col>35</xdr:col>
      <xdr:colOff>622374</xdr:colOff>
      <xdr:row>30</xdr:row>
      <xdr:rowOff>353098</xdr:rowOff>
    </xdr:to>
    <xdr:graphicFrame macro="">
      <xdr:nvGraphicFramePr>
        <xdr:cNvPr id="24" name="Chart 5">
          <a:extLst>
            <a:ext uri="{FF2B5EF4-FFF2-40B4-BE49-F238E27FC236}">
              <a16:creationId xmlns:a16="http://schemas.microsoft.com/office/drawing/2014/main" id="{9DD4CF8F-D556-4262-AD32-289BC70CA011}"/>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23</xdr:col>
      <xdr:colOff>0</xdr:colOff>
      <xdr:row>0</xdr:row>
      <xdr:rowOff>0</xdr:rowOff>
    </xdr:from>
    <xdr:to>
      <xdr:col>44</xdr:col>
      <xdr:colOff>200025</xdr:colOff>
      <xdr:row>14</xdr:row>
      <xdr:rowOff>142875</xdr:rowOff>
    </xdr:to>
    <xdr:graphicFrame macro="">
      <xdr:nvGraphicFramePr>
        <xdr:cNvPr id="3" name="Chart 2">
          <a:extLst>
            <a:ext uri="{FF2B5EF4-FFF2-40B4-BE49-F238E27FC236}">
              <a16:creationId xmlns:a16="http://schemas.microsoft.com/office/drawing/2014/main" id="{21A09C35-7D47-4DEC-BD73-91A0210C42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0</xdr:colOff>
      <xdr:row>20</xdr:row>
      <xdr:rowOff>114300</xdr:rowOff>
    </xdr:from>
    <xdr:to>
      <xdr:col>44</xdr:col>
      <xdr:colOff>104775</xdr:colOff>
      <xdr:row>44</xdr:row>
      <xdr:rowOff>152400</xdr:rowOff>
    </xdr:to>
    <xdr:graphicFrame macro="">
      <xdr:nvGraphicFramePr>
        <xdr:cNvPr id="4" name="Chart 3">
          <a:extLst>
            <a:ext uri="{FF2B5EF4-FFF2-40B4-BE49-F238E27FC236}">
              <a16:creationId xmlns:a16="http://schemas.microsoft.com/office/drawing/2014/main" id="{38181523-1E94-4B70-ADBA-1FE3943A4739}"/>
            </a:ext>
            <a:ext uri="{147F2762-F138-4A5C-976F-8EAC2B608ADB}">
              <a16:predDERef xmlns:a16="http://schemas.microsoft.com/office/drawing/2014/main" pred="{21A09C35-7D47-4DEC-BD73-91A0210C42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govinfo.gov/content/pkg/FR-2009-03-23/pdf/FR-2009-03-23.pdf" TargetMode="External"/><Relationship Id="rId13" Type="http://schemas.openxmlformats.org/officeDocument/2006/relationships/hyperlink" Target="https://www.pnnl.gov/main/publications/external/technical_reports/PNNL-17056.pdf" TargetMode="External"/><Relationship Id="rId3" Type="http://schemas.openxmlformats.org/officeDocument/2006/relationships/hyperlink" Target="https://github.com/sound-data/DEER-Prototypes-EnergyPlus" TargetMode="External"/><Relationship Id="rId7" Type="http://schemas.openxmlformats.org/officeDocument/2006/relationships/hyperlink" Target="https://2050partners.sharepoint.com/:w:/r/sites/CalBEMCollaborativeEfforts/_layouts/15/Doc.aspx?sourcedoc=%7B3BEF8F74-7FAC-44F2-A70C-D76617660066%7D&amp;file=Infiltration_rate_report_14May2025-Short-Version.docx&amp;action=default&amp;mobileredirect=true" TargetMode="External"/><Relationship Id="rId12" Type="http://schemas.openxmlformats.org/officeDocument/2006/relationships/hyperlink" Target="https://efiling.energy.ca.gov/GetDocument.aspx?tn=265693&amp;DocumentContentId=102545" TargetMode="External"/><Relationship Id="rId2" Type="http://schemas.openxmlformats.org/officeDocument/2006/relationships/hyperlink" Target="https://www.energycodes.gov/prototype-building-models" TargetMode="External"/><Relationship Id="rId1" Type="http://schemas.openxmlformats.org/officeDocument/2006/relationships/hyperlink" Target="https://bees.noresco.com/software2022.html" TargetMode="External"/><Relationship Id="rId6" Type="http://schemas.openxmlformats.org/officeDocument/2006/relationships/hyperlink" Target="https://www.pnnl.gov/main/publications/external/technical_reports/PNNL-20405.pdf" TargetMode="External"/><Relationship Id="rId11" Type="http://schemas.openxmlformats.org/officeDocument/2006/relationships/hyperlink" Target="https://title24stakeholders.com/wp-content/uploads/2016/10/T24-2019-CASE-Study-Results-Report-Outdoor-Sources_Final_with-Attachments.pdf" TargetMode="External"/><Relationship Id="rId5" Type="http://schemas.openxmlformats.org/officeDocument/2006/relationships/hyperlink" Target="https://title24stakeholders.com/wp-content/uploads/2020/10/2022-T24-Final-CASE-Report_Reduce-Infiltration.pdf" TargetMode="External"/><Relationship Id="rId15" Type="http://schemas.openxmlformats.org/officeDocument/2006/relationships/drawing" Target="../drawings/drawing1.xml"/><Relationship Id="rId10" Type="http://schemas.openxmlformats.org/officeDocument/2006/relationships/hyperlink" Target="https://www.govinfo.gov/content/pkg/CFR-2013-title10-vol3/pdf/CFR-2013-title10-vol3-part431.pdf" TargetMode="External"/><Relationship Id="rId4" Type="http://schemas.openxmlformats.org/officeDocument/2006/relationships/hyperlink" Target="https://www.energy.ca.gov/publications/2022/2022-nonresidential-and-multifamily-alternative-calculation-method-reference" TargetMode="External"/><Relationship Id="rId9" Type="http://schemas.openxmlformats.org/officeDocument/2006/relationships/hyperlink" Target="https://www.govinfo.gov/content/pkg/CFR-2024-title10-vol3/pdf/CFR-2024-title10-vol3-part431-subpartF.pdf" TargetMode="External"/><Relationship Id="rId14" Type="http://schemas.openxmlformats.org/officeDocument/2006/relationships/hyperlink" Target="https://neea.org/wp-content/uploads/2025/03/CBSA-4-2019-Final-Report.pdf"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hyperlink" Target="https://2050partners.sharepoint.com/:w:/r/sites/CalBEMCollaborativeEfforts/_layouts/15/Doc.aspx?sourcedoc=%7B3BEF8F74-7FAC-44F2-A70C-D76617660066%7D&amp;file=Infiltration_rate_report_14May2025-Short-Version.docx&amp;action=default&amp;mobileredirect=true&amp;wdLOR=c37D90580-1DC7-4CAF-9995-F2723497E773" TargetMode="External"/><Relationship Id="rId2" Type="http://schemas.openxmlformats.org/officeDocument/2006/relationships/hyperlink" Target="https://title24stakeholders.com/wp-content/uploads/2020/10/2022-T24-Final-CASE-Report_Reduce-Infiltration.pdf" TargetMode="External"/><Relationship Id="rId1" Type="http://schemas.openxmlformats.org/officeDocument/2006/relationships/hyperlink" Target="https://title24stakeholders.com/wp-content/uploads/2020/10/2022-T24-Final-CASE-Report_Reduce-Infiltration.pdf" TargetMode="External"/><Relationship Id="rId5" Type="http://schemas.openxmlformats.org/officeDocument/2006/relationships/drawing" Target="../drawings/drawing4.xml"/><Relationship Id="rId4" Type="http://schemas.openxmlformats.org/officeDocument/2006/relationships/hyperlink" Target="https://www.pnnl.gov/main/publications/external/technical_reports/PNNL-17056.pdf"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hyperlink" Target="https://continentalfan.com/destratification-fan-application-guide/?utm" TargetMode="Externa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65BDF-3C17-4869-B954-111AEEDC46EB}">
  <sheetPr codeName="Sheet4"/>
  <dimension ref="A1:E133"/>
  <sheetViews>
    <sheetView zoomScale="85" zoomScaleNormal="85" workbookViewId="0">
      <selection sqref="A1:C1"/>
    </sheetView>
  </sheetViews>
  <sheetFormatPr defaultColWidth="9.33203125" defaultRowHeight="13.2" x14ac:dyDescent="0.25"/>
  <cols>
    <col min="1" max="1" width="14.6640625" style="4" customWidth="1"/>
    <col min="2" max="2" width="96" style="4" customWidth="1"/>
    <col min="3" max="3" width="39" style="4" customWidth="1"/>
    <col min="4" max="4" width="9.33203125" style="4"/>
    <col min="5" max="5" width="21.6640625" style="4" customWidth="1"/>
    <col min="6" max="6" width="10.6640625" style="4" customWidth="1"/>
    <col min="7" max="7" width="9.6640625" style="4" customWidth="1"/>
    <col min="8" max="8" width="9.6640625" style="4" bestFit="1" customWidth="1"/>
    <col min="9" max="9" width="12.44140625" style="4" customWidth="1"/>
    <col min="10" max="10" width="9.33203125" style="4"/>
    <col min="11" max="11" width="12.5546875" style="4" customWidth="1"/>
    <col min="12" max="16384" width="9.33203125" style="4"/>
  </cols>
  <sheetData>
    <row r="1" spans="1:4" ht="20.399999999999999" customHeight="1" x14ac:dyDescent="0.25">
      <c r="A1" s="570" t="s">
        <v>0</v>
      </c>
      <c r="B1" s="570"/>
      <c r="C1" s="570"/>
    </row>
    <row r="2" spans="1:4" x14ac:dyDescent="0.25">
      <c r="A2" s="586" t="s">
        <v>1</v>
      </c>
      <c r="B2" s="4" t="s">
        <v>2</v>
      </c>
      <c r="C2" s="518"/>
    </row>
    <row r="3" spans="1:4" x14ac:dyDescent="0.25">
      <c r="A3" s="586"/>
      <c r="B3" s="4" t="s">
        <v>3</v>
      </c>
      <c r="C3" s="518"/>
    </row>
    <row r="4" spans="1:4" x14ac:dyDescent="0.25">
      <c r="A4" s="586"/>
      <c r="B4" s="4" t="s">
        <v>4</v>
      </c>
      <c r="C4" s="518"/>
    </row>
    <row r="5" spans="1:4" x14ac:dyDescent="0.25">
      <c r="A5" s="586"/>
      <c r="B5" s="4" t="s">
        <v>5</v>
      </c>
      <c r="C5" s="518"/>
    </row>
    <row r="6" spans="1:4" ht="14.4" x14ac:dyDescent="0.3">
      <c r="A6" s="586" t="s">
        <v>6</v>
      </c>
      <c r="B6" s="4" t="s">
        <v>7</v>
      </c>
      <c r="C6" s="290" t="s">
        <v>8</v>
      </c>
      <c r="D6" s="4" t="s">
        <v>9</v>
      </c>
    </row>
    <row r="7" spans="1:4" ht="14.4" x14ac:dyDescent="0.3">
      <c r="A7" s="586"/>
      <c r="B7" s="4" t="s">
        <v>10</v>
      </c>
      <c r="C7" s="290" t="s">
        <v>11</v>
      </c>
      <c r="D7" s="4" t="s">
        <v>9</v>
      </c>
    </row>
    <row r="8" spans="1:4" ht="14.4" x14ac:dyDescent="0.3">
      <c r="A8" s="586"/>
      <c r="B8" s="4" t="s">
        <v>12</v>
      </c>
      <c r="C8" s="290" t="s">
        <v>13</v>
      </c>
      <c r="D8" s="4" t="s">
        <v>9</v>
      </c>
    </row>
    <row r="9" spans="1:4" ht="14.4" x14ac:dyDescent="0.3">
      <c r="A9" s="586"/>
      <c r="C9" s="290"/>
      <c r="D9" s="4" t="s">
        <v>9</v>
      </c>
    </row>
    <row r="10" spans="1:4" x14ac:dyDescent="0.25">
      <c r="A10" s="586" t="s">
        <v>14</v>
      </c>
      <c r="B10" s="4" t="s">
        <v>15</v>
      </c>
      <c r="C10" s="518"/>
      <c r="D10" s="4" t="s">
        <v>9</v>
      </c>
    </row>
    <row r="11" spans="1:4" x14ac:dyDescent="0.25">
      <c r="A11" s="586"/>
      <c r="B11" s="4" t="s">
        <v>16</v>
      </c>
      <c r="C11" s="518"/>
      <c r="D11" s="4" t="s">
        <v>9</v>
      </c>
    </row>
    <row r="12" spans="1:4" ht="14.4" x14ac:dyDescent="0.3">
      <c r="A12" s="586"/>
      <c r="B12" s="4" t="s">
        <v>17</v>
      </c>
      <c r="C12" s="290" t="s">
        <v>18</v>
      </c>
      <c r="D12" s="4" t="s">
        <v>9</v>
      </c>
    </row>
    <row r="13" spans="1:4" ht="14.4" x14ac:dyDescent="0.3">
      <c r="A13" s="586"/>
      <c r="B13" s="4" t="s">
        <v>19</v>
      </c>
      <c r="C13" s="290" t="s">
        <v>20</v>
      </c>
      <c r="D13" s="4" t="s">
        <v>9</v>
      </c>
    </row>
    <row r="14" spans="1:4" ht="14.4" x14ac:dyDescent="0.3">
      <c r="A14" s="586"/>
      <c r="B14" s="4" t="s">
        <v>21</v>
      </c>
      <c r="C14" s="290" t="s">
        <v>22</v>
      </c>
      <c r="D14" s="4" t="s">
        <v>9</v>
      </c>
    </row>
    <row r="15" spans="1:4" x14ac:dyDescent="0.25">
      <c r="A15" s="586"/>
      <c r="C15" s="518"/>
      <c r="D15" s="4" t="s">
        <v>9</v>
      </c>
    </row>
    <row r="16" spans="1:4" ht="12.75" customHeight="1" x14ac:dyDescent="0.25">
      <c r="A16" s="586" t="s">
        <v>23</v>
      </c>
      <c r="B16" s="289" t="s">
        <v>24</v>
      </c>
      <c r="C16" s="289"/>
      <c r="D16" s="4" t="s">
        <v>9</v>
      </c>
    </row>
    <row r="17" spans="1:4" ht="14.4" customHeight="1" x14ac:dyDescent="0.3">
      <c r="A17" s="586"/>
      <c r="B17" s="289" t="s">
        <v>25</v>
      </c>
      <c r="C17" s="290" t="s">
        <v>26</v>
      </c>
      <c r="D17" s="4" t="s">
        <v>9</v>
      </c>
    </row>
    <row r="18" spans="1:4" ht="12.75" customHeight="1" x14ac:dyDescent="0.3">
      <c r="A18" s="586"/>
      <c r="B18" s="90" t="s">
        <v>27</v>
      </c>
      <c r="C18" s="290" t="s">
        <v>28</v>
      </c>
      <c r="D18" s="4" t="s">
        <v>9</v>
      </c>
    </row>
    <row r="19" spans="1:4" ht="12.75" customHeight="1" x14ac:dyDescent="0.3">
      <c r="A19" s="586"/>
      <c r="B19" s="4" t="s">
        <v>29</v>
      </c>
      <c r="C19" s="290" t="s">
        <v>30</v>
      </c>
      <c r="D19" s="4" t="s">
        <v>9</v>
      </c>
    </row>
    <row r="20" spans="1:4" ht="12.75" customHeight="1" x14ac:dyDescent="0.3">
      <c r="A20" s="586"/>
      <c r="B20" s="4" t="s">
        <v>31</v>
      </c>
      <c r="C20" s="290" t="s">
        <v>32</v>
      </c>
      <c r="D20" s="4" t="s">
        <v>9</v>
      </c>
    </row>
    <row r="21" spans="1:4" ht="12.75" customHeight="1" x14ac:dyDescent="0.3">
      <c r="A21" s="586"/>
      <c r="B21" s="4" t="s">
        <v>33</v>
      </c>
      <c r="C21" s="291" t="s">
        <v>34</v>
      </c>
      <c r="D21" s="4" t="s">
        <v>9</v>
      </c>
    </row>
    <row r="22" spans="1:4" ht="29.4" customHeight="1" x14ac:dyDescent="0.25">
      <c r="A22" s="586"/>
      <c r="B22" s="293" t="s">
        <v>35</v>
      </c>
      <c r="C22" s="292" t="s">
        <v>36</v>
      </c>
      <c r="D22" s="4" t="s">
        <v>9</v>
      </c>
    </row>
    <row r="23" spans="1:4" ht="24" customHeight="1" x14ac:dyDescent="0.25">
      <c r="A23" s="586"/>
      <c r="B23" s="8" t="s">
        <v>37</v>
      </c>
      <c r="C23" s="349" t="s">
        <v>38</v>
      </c>
      <c r="D23" s="4" t="s">
        <v>9</v>
      </c>
    </row>
    <row r="24" spans="1:4" ht="24" customHeight="1" x14ac:dyDescent="0.3">
      <c r="A24" s="586"/>
      <c r="B24" s="424" t="s">
        <v>39</v>
      </c>
      <c r="C24" s="398" t="s">
        <v>40</v>
      </c>
      <c r="D24" s="4" t="s">
        <v>9</v>
      </c>
    </row>
    <row r="25" spans="1:4" ht="13.8" x14ac:dyDescent="0.3">
      <c r="A25" s="588" t="s">
        <v>41</v>
      </c>
      <c r="B25" s="4" t="s">
        <v>42</v>
      </c>
      <c r="C25" s="421" t="str">
        <f>HYPERLINK("https://www.energystar.gov/productfinder/product/certified-commercial-water-heaters/results?fuel_filter=Gas&amp;markets_filter=United+States","ENERGY STAR product finder — gas")</f>
        <v>ENERGY STAR product finder — gas</v>
      </c>
    </row>
    <row r="26" spans="1:4" ht="13.8" x14ac:dyDescent="0.3">
      <c r="A26" s="588"/>
      <c r="B26" s="4" t="s">
        <v>43</v>
      </c>
      <c r="C26" s="421" t="str">
        <f>HYPERLINK("https://data.energystar.gov/Active-Specifications/ENERGY-STAR-Certified-Commercial-Water-Heaters/xmq6-bm79","ENERGY STAR dataset xmq6-bm79")</f>
        <v>ENERGY STAR dataset xmq6-bm79</v>
      </c>
    </row>
    <row r="27" spans="1:4" ht="13.8" x14ac:dyDescent="0.3">
      <c r="A27" s="588"/>
      <c r="B27" s="4" t="s">
        <v>44</v>
      </c>
      <c r="C27" s="421" t="str">
        <f>HYPERLINK("https://www.energystar.gov/products/water_heaters/commercial_water_heaters/key_product_criteria","ENERGY STAR key product criteria")</f>
        <v>ENERGY STAR key product criteria</v>
      </c>
    </row>
    <row r="28" spans="1:4" ht="13.8" x14ac:dyDescent="0.3">
      <c r="A28" s="588"/>
      <c r="B28" s="4" t="s">
        <v>45</v>
      </c>
      <c r="C28" s="421" t="str">
        <f>HYPERLINK("https://www.grainger.com/category/plumbing/water-heaters/gas-tank-water-heaters","Grainger — gas tank WH")</f>
        <v>Grainger — gas tank WH</v>
      </c>
    </row>
    <row r="29" spans="1:4" ht="13.8" x14ac:dyDescent="0.3">
      <c r="A29" s="588"/>
      <c r="B29" s="4" t="s">
        <v>46</v>
      </c>
      <c r="C29" s="421" t="str">
        <f>HYPERLINK("https://www.grainger.com/category/plumbing/water-heaters/electric-tank-water-heaters","Grainger — electric tank WH")</f>
        <v>Grainger — electric tank WH</v>
      </c>
    </row>
    <row r="30" spans="1:4" ht="13.8" x14ac:dyDescent="0.3">
      <c r="A30" s="588"/>
      <c r="B30" s="4" t="s">
        <v>47</v>
      </c>
      <c r="C30" s="421" t="str">
        <f>HYPERLINK("https://www.energystar.gov/productfinder/product/certified-commercial-water-heaters/results?fuel_filter=Electric&amp;markets_filter=United+States","ENERGY STAR — electric (HPWH)")</f>
        <v>ENERGY STAR — electric (HPWH)</v>
      </c>
    </row>
    <row r="31" spans="1:4" x14ac:dyDescent="0.25">
      <c r="C31" s="518"/>
    </row>
    <row r="32" spans="1:4" ht="19.2" customHeight="1" x14ac:dyDescent="0.25">
      <c r="A32" s="570" t="s">
        <v>48</v>
      </c>
      <c r="B32" s="570"/>
      <c r="C32" s="570"/>
    </row>
    <row r="33" spans="1:5" ht="34.200000000000003" customHeight="1" x14ac:dyDescent="0.25">
      <c r="A33" s="521" t="s">
        <v>49</v>
      </c>
      <c r="B33" s="587" t="s">
        <v>50</v>
      </c>
      <c r="C33" s="587"/>
      <c r="E33" s="519"/>
    </row>
    <row r="34" spans="1:5" x14ac:dyDescent="0.25">
      <c r="A34" s="6"/>
      <c r="B34" s="584"/>
      <c r="C34" s="584"/>
      <c r="E34" s="519"/>
    </row>
    <row r="35" spans="1:5" x14ac:dyDescent="0.25">
      <c r="A35" s="6"/>
      <c r="B35" s="584"/>
      <c r="C35" s="584"/>
    </row>
    <row r="36" spans="1:5" ht="14.4" customHeight="1" x14ac:dyDescent="0.25">
      <c r="A36" s="6"/>
      <c r="B36" s="584" t="s">
        <v>51</v>
      </c>
      <c r="C36" s="584"/>
    </row>
    <row r="74" spans="1:3" hidden="1" x14ac:dyDescent="0.25">
      <c r="B74" s="585" t="s">
        <v>52</v>
      </c>
      <c r="C74" s="585"/>
    </row>
    <row r="75" spans="1:3" hidden="1" x14ac:dyDescent="0.25">
      <c r="A75" s="66" t="s">
        <v>53</v>
      </c>
      <c r="B75" s="74" t="s">
        <v>54</v>
      </c>
      <c r="C75" s="74" t="s">
        <v>55</v>
      </c>
    </row>
    <row r="76" spans="1:3" hidden="1" x14ac:dyDescent="0.25">
      <c r="A76" s="75">
        <v>1967</v>
      </c>
      <c r="B76" s="72">
        <v>5361.9</v>
      </c>
      <c r="C76" s="4">
        <v>152</v>
      </c>
    </row>
    <row r="77" spans="1:3" hidden="1" x14ac:dyDescent="0.25">
      <c r="A77" s="75">
        <v>1968</v>
      </c>
      <c r="B77" s="72">
        <v>8270.9999999999982</v>
      </c>
      <c r="C77" s="4">
        <v>452</v>
      </c>
    </row>
    <row r="78" spans="1:3" hidden="1" x14ac:dyDescent="0.25">
      <c r="A78" s="75">
        <v>1969</v>
      </c>
      <c r="B78" s="72">
        <v>13593.6</v>
      </c>
      <c r="C78" s="4">
        <v>655</v>
      </c>
    </row>
    <row r="79" spans="1:3" hidden="1" x14ac:dyDescent="0.25">
      <c r="A79" s="75">
        <v>1970</v>
      </c>
      <c r="B79" s="72">
        <v>14323.700000000006</v>
      </c>
      <c r="C79" s="4">
        <v>601</v>
      </c>
    </row>
    <row r="80" spans="1:3" hidden="1" x14ac:dyDescent="0.25">
      <c r="A80" s="75">
        <v>1971</v>
      </c>
      <c r="B80" s="72">
        <v>13719.800000000003</v>
      </c>
      <c r="C80" s="4">
        <v>592</v>
      </c>
    </row>
    <row r="81" spans="1:3" hidden="1" x14ac:dyDescent="0.25">
      <c r="A81" s="75">
        <v>1972</v>
      </c>
      <c r="B81" s="72">
        <v>16513.900000000001</v>
      </c>
      <c r="C81" s="4">
        <v>687</v>
      </c>
    </row>
    <row r="82" spans="1:3" hidden="1" x14ac:dyDescent="0.25">
      <c r="A82" s="75">
        <v>1973</v>
      </c>
      <c r="B82" s="72">
        <v>27619.599999999988</v>
      </c>
      <c r="C82" s="4">
        <v>920</v>
      </c>
    </row>
    <row r="83" spans="1:3" hidden="1" x14ac:dyDescent="0.25">
      <c r="A83" s="75">
        <v>1974</v>
      </c>
      <c r="B83" s="72">
        <v>26732.000000000015</v>
      </c>
      <c r="C83" s="4">
        <v>804</v>
      </c>
    </row>
    <row r="84" spans="1:3" hidden="1" x14ac:dyDescent="0.25">
      <c r="A84" s="75">
        <v>1975</v>
      </c>
      <c r="B84" s="72">
        <v>13654.600000000019</v>
      </c>
      <c r="C84" s="4">
        <v>710</v>
      </c>
    </row>
    <row r="85" spans="1:3" hidden="1" x14ac:dyDescent="0.25">
      <c r="A85" s="75">
        <v>1976</v>
      </c>
      <c r="B85" s="72">
        <v>19608.399999999991</v>
      </c>
      <c r="C85" s="4">
        <v>853</v>
      </c>
    </row>
    <row r="86" spans="1:3" hidden="1" x14ac:dyDescent="0.25">
      <c r="A86" s="76">
        <v>1977</v>
      </c>
      <c r="B86" s="73">
        <v>29745.300000000007</v>
      </c>
      <c r="C86" s="71">
        <v>1055</v>
      </c>
    </row>
    <row r="87" spans="1:3" hidden="1" x14ac:dyDescent="0.25">
      <c r="A87" s="75">
        <v>1978</v>
      </c>
      <c r="B87" s="72">
        <v>40044.400000000052</v>
      </c>
      <c r="C87" s="4">
        <v>1359</v>
      </c>
    </row>
    <row r="88" spans="1:3" hidden="1" x14ac:dyDescent="0.25">
      <c r="A88" s="77">
        <v>1979</v>
      </c>
      <c r="B88" s="72">
        <v>40268.500000000015</v>
      </c>
      <c r="C88" s="4">
        <v>1053</v>
      </c>
    </row>
    <row r="89" spans="1:3" hidden="1" x14ac:dyDescent="0.25">
      <c r="A89" s="77">
        <v>1980</v>
      </c>
      <c r="B89" s="72">
        <v>26862.200000000019</v>
      </c>
      <c r="C89" s="4">
        <v>851</v>
      </c>
    </row>
    <row r="90" spans="1:3" hidden="1" x14ac:dyDescent="0.25">
      <c r="A90" s="75">
        <v>1981</v>
      </c>
      <c r="B90" s="72">
        <v>21498.200000000004</v>
      </c>
      <c r="C90" s="4">
        <v>812</v>
      </c>
    </row>
    <row r="91" spans="1:3" hidden="1" x14ac:dyDescent="0.25">
      <c r="A91" s="75">
        <v>1982</v>
      </c>
      <c r="B91" s="72">
        <v>14017.9</v>
      </c>
      <c r="C91" s="4">
        <v>606</v>
      </c>
    </row>
    <row r="92" spans="1:3" hidden="1" x14ac:dyDescent="0.25">
      <c r="A92" s="75">
        <v>1983</v>
      </c>
      <c r="B92" s="72">
        <v>19364.400000000012</v>
      </c>
      <c r="C92" s="4">
        <v>880</v>
      </c>
    </row>
    <row r="93" spans="1:3" hidden="1" x14ac:dyDescent="0.25">
      <c r="A93" s="75">
        <v>1984</v>
      </c>
      <c r="B93" s="72">
        <v>31271.700000000041</v>
      </c>
      <c r="C93" s="4">
        <v>1271</v>
      </c>
    </row>
    <row r="94" spans="1:3" hidden="1" x14ac:dyDescent="0.25">
      <c r="A94" s="75">
        <v>1985</v>
      </c>
      <c r="B94" s="72">
        <v>44833.100000000057</v>
      </c>
      <c r="C94" s="4">
        <v>1461</v>
      </c>
    </row>
    <row r="95" spans="1:3" hidden="1" x14ac:dyDescent="0.25">
      <c r="A95" s="75">
        <v>1986</v>
      </c>
      <c r="B95" s="72">
        <v>46291.200000000019</v>
      </c>
      <c r="C95" s="4">
        <v>1382</v>
      </c>
    </row>
    <row r="96" spans="1:3" hidden="1" x14ac:dyDescent="0.25">
      <c r="A96" s="75">
        <v>1987</v>
      </c>
      <c r="B96" s="72">
        <v>46613.600000000064</v>
      </c>
      <c r="C96" s="4">
        <v>1265</v>
      </c>
    </row>
    <row r="97" spans="1:3" hidden="1" x14ac:dyDescent="0.25">
      <c r="A97" s="75">
        <v>1988</v>
      </c>
      <c r="B97" s="72">
        <v>50555.200000000048</v>
      </c>
      <c r="C97" s="4">
        <v>1237</v>
      </c>
    </row>
    <row r="98" spans="1:3" hidden="1" x14ac:dyDescent="0.25">
      <c r="A98" s="75">
        <v>1989</v>
      </c>
      <c r="B98" s="72">
        <v>48019.100000000035</v>
      </c>
      <c r="C98" s="4">
        <v>1233</v>
      </c>
    </row>
    <row r="99" spans="1:3" hidden="1" x14ac:dyDescent="0.25">
      <c r="A99" s="75">
        <v>1990</v>
      </c>
      <c r="B99" s="72">
        <v>37809.799999999996</v>
      </c>
      <c r="C99" s="4">
        <v>1111</v>
      </c>
    </row>
    <row r="100" spans="1:3" hidden="1" x14ac:dyDescent="0.25">
      <c r="A100" s="75">
        <v>1991</v>
      </c>
      <c r="B100" s="72">
        <v>20082.399999999983</v>
      </c>
      <c r="C100" s="4">
        <v>768</v>
      </c>
    </row>
    <row r="101" spans="1:3" hidden="1" x14ac:dyDescent="0.25">
      <c r="A101" s="75">
        <v>1992</v>
      </c>
      <c r="B101" s="72">
        <v>11010.900000000014</v>
      </c>
      <c r="C101" s="4">
        <v>426</v>
      </c>
    </row>
    <row r="102" spans="1:3" hidden="1" x14ac:dyDescent="0.25">
      <c r="A102" s="75">
        <v>1993</v>
      </c>
      <c r="B102" s="72">
        <v>7511.1999999999962</v>
      </c>
      <c r="C102" s="4">
        <v>470</v>
      </c>
    </row>
    <row r="103" spans="1:3" hidden="1" x14ac:dyDescent="0.25">
      <c r="A103" s="75">
        <v>1994</v>
      </c>
      <c r="B103" s="72">
        <v>11961.3</v>
      </c>
      <c r="C103" s="4">
        <v>465</v>
      </c>
    </row>
    <row r="104" spans="1:3" hidden="1" x14ac:dyDescent="0.25">
      <c r="A104" s="75">
        <v>1995</v>
      </c>
      <c r="B104" s="72">
        <v>13270.899999999998</v>
      </c>
      <c r="C104" s="4">
        <v>521</v>
      </c>
    </row>
    <row r="105" spans="1:3" hidden="1" x14ac:dyDescent="0.25">
      <c r="A105" s="75">
        <v>1996</v>
      </c>
      <c r="B105" s="72">
        <v>20653.800000000003</v>
      </c>
      <c r="C105" s="4">
        <v>570</v>
      </c>
    </row>
    <row r="106" spans="1:3" hidden="1" x14ac:dyDescent="0.25">
      <c r="A106" s="76">
        <v>1997</v>
      </c>
      <c r="B106" s="73">
        <v>27588.899999999998</v>
      </c>
      <c r="C106" s="71">
        <v>407</v>
      </c>
    </row>
    <row r="107" spans="1:3" hidden="1" x14ac:dyDescent="0.25">
      <c r="A107" s="75">
        <v>1998</v>
      </c>
      <c r="B107" s="72">
        <v>41631.299999999974</v>
      </c>
      <c r="C107" s="4">
        <v>476</v>
      </c>
    </row>
    <row r="108" spans="1:3" hidden="1" x14ac:dyDescent="0.25">
      <c r="A108" s="75">
        <v>1999</v>
      </c>
      <c r="B108" s="72">
        <v>48039.599999999969</v>
      </c>
      <c r="C108" s="4">
        <v>533</v>
      </c>
    </row>
    <row r="109" spans="1:3" hidden="1" x14ac:dyDescent="0.25">
      <c r="A109" s="75">
        <v>2000</v>
      </c>
      <c r="B109" s="72">
        <v>52612.199999999968</v>
      </c>
      <c r="C109" s="4">
        <v>500</v>
      </c>
    </row>
    <row r="110" spans="1:3" hidden="1" x14ac:dyDescent="0.25">
      <c r="A110" s="75">
        <v>2001</v>
      </c>
      <c r="B110" s="72">
        <v>40337.200000000026</v>
      </c>
      <c r="C110" s="4">
        <v>432</v>
      </c>
    </row>
    <row r="111" spans="1:3" hidden="1" x14ac:dyDescent="0.25">
      <c r="A111" s="75">
        <v>2002</v>
      </c>
      <c r="B111" s="72">
        <v>33147.200000000004</v>
      </c>
      <c r="C111" s="4">
        <v>399</v>
      </c>
    </row>
    <row r="112" spans="1:3" hidden="1" x14ac:dyDescent="0.25">
      <c r="A112" s="75">
        <v>2003</v>
      </c>
      <c r="B112" s="72">
        <v>30982.799999999977</v>
      </c>
      <c r="C112" s="4">
        <v>398</v>
      </c>
    </row>
    <row r="113" spans="1:3" hidden="1" x14ac:dyDescent="0.25">
      <c r="A113" s="75">
        <v>2004</v>
      </c>
      <c r="B113" s="72">
        <v>29560.799999999985</v>
      </c>
      <c r="C113" s="4">
        <v>417</v>
      </c>
    </row>
    <row r="114" spans="1:3" hidden="1" x14ac:dyDescent="0.25">
      <c r="A114" s="75">
        <v>2005</v>
      </c>
      <c r="B114" s="72">
        <v>27484.099999999995</v>
      </c>
      <c r="C114" s="4">
        <v>347</v>
      </c>
    </row>
    <row r="115" spans="1:3" hidden="1" x14ac:dyDescent="0.25">
      <c r="A115" s="75">
        <v>2006</v>
      </c>
      <c r="B115" s="72">
        <v>25891.899999999983</v>
      </c>
      <c r="C115" s="4">
        <v>299</v>
      </c>
    </row>
    <row r="116" spans="1:3" hidden="1" x14ac:dyDescent="0.25">
      <c r="A116" s="76">
        <v>2007</v>
      </c>
      <c r="B116" s="73">
        <v>25769.199999999993</v>
      </c>
      <c r="C116" s="71">
        <v>248</v>
      </c>
    </row>
    <row r="117" spans="1:3" hidden="1" x14ac:dyDescent="0.25">
      <c r="A117" s="75">
        <v>2008</v>
      </c>
      <c r="B117" s="72">
        <v>20632.600000000006</v>
      </c>
      <c r="C117" s="4">
        <v>236</v>
      </c>
    </row>
    <row r="118" spans="1:3" hidden="1" x14ac:dyDescent="0.25">
      <c r="A118" s="75">
        <v>2009</v>
      </c>
      <c r="B118" s="72">
        <v>5608</v>
      </c>
      <c r="C118" s="4">
        <v>122</v>
      </c>
    </row>
    <row r="119" spans="1:3" hidden="1" x14ac:dyDescent="0.25">
      <c r="A119" s="75">
        <v>2010</v>
      </c>
      <c r="B119" s="72">
        <v>2602.9</v>
      </c>
      <c r="C119" s="4">
        <v>47</v>
      </c>
    </row>
    <row r="120" spans="1:3" hidden="1" x14ac:dyDescent="0.25">
      <c r="A120" s="75">
        <v>2011</v>
      </c>
      <c r="B120" s="72">
        <v>3617.8999999999996</v>
      </c>
      <c r="C120" s="4">
        <v>36</v>
      </c>
    </row>
    <row r="121" spans="1:3" hidden="1" x14ac:dyDescent="0.25">
      <c r="A121" s="75">
        <v>2012</v>
      </c>
      <c r="B121" s="72">
        <v>8233.2000000000007</v>
      </c>
      <c r="C121" s="4">
        <v>63</v>
      </c>
    </row>
    <row r="122" spans="1:3" hidden="1" x14ac:dyDescent="0.25">
      <c r="A122" s="75">
        <v>2013</v>
      </c>
      <c r="B122" s="72">
        <v>17625.900000000009</v>
      </c>
      <c r="C122" s="4">
        <v>46</v>
      </c>
    </row>
    <row r="123" spans="1:3" hidden="1" x14ac:dyDescent="0.25">
      <c r="A123" s="75">
        <v>2014</v>
      </c>
      <c r="B123" s="72">
        <v>13973.900000000001</v>
      </c>
      <c r="C123" s="4">
        <v>72</v>
      </c>
    </row>
    <row r="124" spans="1:3" hidden="1" x14ac:dyDescent="0.25">
      <c r="A124" s="75">
        <v>2015</v>
      </c>
      <c r="B124" s="72">
        <v>29759.5</v>
      </c>
      <c r="C124" s="4">
        <v>104</v>
      </c>
    </row>
    <row r="125" spans="1:3" hidden="1" x14ac:dyDescent="0.25">
      <c r="A125" s="75">
        <v>2016</v>
      </c>
      <c r="B125" s="72">
        <v>25538.800000000003</v>
      </c>
      <c r="C125" s="4">
        <v>152</v>
      </c>
    </row>
    <row r="126" spans="1:3" hidden="1" x14ac:dyDescent="0.25">
      <c r="A126" s="75">
        <v>2017</v>
      </c>
      <c r="B126" s="72">
        <v>27796.899999999994</v>
      </c>
      <c r="C126" s="4">
        <v>105</v>
      </c>
    </row>
    <row r="127" spans="1:3" hidden="1" x14ac:dyDescent="0.25">
      <c r="A127" s="76">
        <v>2018</v>
      </c>
      <c r="B127" s="73">
        <v>32684.699999999997</v>
      </c>
      <c r="C127" s="71">
        <v>117</v>
      </c>
    </row>
    <row r="128" spans="1:3" hidden="1" x14ac:dyDescent="0.25">
      <c r="A128" s="75">
        <v>2019</v>
      </c>
      <c r="B128" s="72">
        <v>30948.5</v>
      </c>
      <c r="C128" s="4">
        <v>141</v>
      </c>
    </row>
    <row r="129" spans="1:3" hidden="1" x14ac:dyDescent="0.25">
      <c r="A129" s="75">
        <v>2020</v>
      </c>
      <c r="B129" s="72">
        <v>34022.899999999994</v>
      </c>
      <c r="C129" s="4">
        <v>162</v>
      </c>
    </row>
    <row r="130" spans="1:3" hidden="1" x14ac:dyDescent="0.25">
      <c r="A130" s="75">
        <v>2021</v>
      </c>
      <c r="B130" s="72">
        <v>53815</v>
      </c>
      <c r="C130" s="4">
        <v>225</v>
      </c>
    </row>
    <row r="131" spans="1:3" hidden="1" x14ac:dyDescent="0.25">
      <c r="A131" s="75">
        <v>2022</v>
      </c>
      <c r="B131" s="72">
        <v>41442.099999999991</v>
      </c>
      <c r="C131" s="4">
        <v>218</v>
      </c>
    </row>
    <row r="132" spans="1:3" hidden="1" x14ac:dyDescent="0.25">
      <c r="A132" s="76">
        <v>2023</v>
      </c>
      <c r="B132" s="73">
        <v>10975.699999999997</v>
      </c>
      <c r="C132" s="71">
        <v>44</v>
      </c>
    </row>
    <row r="133" spans="1:3" hidden="1" x14ac:dyDescent="0.25"/>
  </sheetData>
  <mergeCells count="12">
    <mergeCell ref="B36:C36"/>
    <mergeCell ref="B74:C74"/>
    <mergeCell ref="A2:A5"/>
    <mergeCell ref="A6:A9"/>
    <mergeCell ref="A1:C1"/>
    <mergeCell ref="B34:C34"/>
    <mergeCell ref="B35:C35"/>
    <mergeCell ref="A32:C32"/>
    <mergeCell ref="A10:A15"/>
    <mergeCell ref="B33:C33"/>
    <mergeCell ref="A16:A24"/>
    <mergeCell ref="A25:A30"/>
  </mergeCells>
  <hyperlinks>
    <hyperlink ref="C6" r:id="rId1" xr:uid="{BE11EEF8-3AF7-48F0-A38B-7309CE5A9491}"/>
    <hyperlink ref="C7" r:id="rId2" location="Commercial" xr:uid="{626A4776-C2FA-489E-88C0-BC9C7C8EA36F}"/>
    <hyperlink ref="C8" r:id="rId3" xr:uid="{0DEB00BB-3A26-4527-9ED4-40D17F93A579}"/>
    <hyperlink ref="C17" r:id="rId4" xr:uid="{C101F69F-EDD8-471F-98DF-28BD71BFA34E}"/>
    <hyperlink ref="C18" r:id="rId5" xr:uid="{C21443C5-174B-48CB-B5FC-BB95D3C23A8F}"/>
    <hyperlink ref="C20" r:id="rId6" xr:uid="{4E61207C-6D7D-460C-9DCB-0AE5748B3693}"/>
    <hyperlink ref="C21" r:id="rId7" xr:uid="{5BC370BB-1BDD-4FB0-B79E-B506D3A772A4}"/>
    <hyperlink ref="C12" r:id="rId8" xr:uid="{4C0AD932-1417-4F37-8CE6-5428F9E95D4D}"/>
    <hyperlink ref="C14" r:id="rId9" xr:uid="{01E16CA6-DE8D-459D-AD1C-DBAD9C8825B5}"/>
    <hyperlink ref="C13" r:id="rId10" xr:uid="{F3B96E39-7573-49D7-89DD-B71DAC94F1EC}"/>
    <hyperlink ref="C19" r:id="rId11" xr:uid="{69576B2E-A9A2-478E-A000-014A867874A5}"/>
    <hyperlink ref="C22" r:id="rId12" xr:uid="{FA572175-7543-4BF2-B1BB-ACCFDD3FFEC8}"/>
    <hyperlink ref="C23" r:id="rId13" xr:uid="{3CBEC58C-5994-4990-859E-0C8824DFCABD}"/>
    <hyperlink ref="C24" r:id="rId14" xr:uid="{0D015741-E264-42CD-9DE8-06FD7473A43E}"/>
  </hyperlinks>
  <pageMargins left="0.7" right="0.7" top="0.75" bottom="0.75" header="0.3" footer="0.3"/>
  <drawing r:id="rId1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A2FF8-E67F-4AF9-A6F9-E2B7AE862021}">
  <sheetPr codeName="Sheet1"/>
  <dimension ref="A1:BH57"/>
  <sheetViews>
    <sheetView tabSelected="1" zoomScale="80" zoomScaleNormal="80" workbookViewId="0">
      <selection sqref="A1:C1"/>
    </sheetView>
  </sheetViews>
  <sheetFormatPr defaultColWidth="9.33203125" defaultRowHeight="13.8" x14ac:dyDescent="0.25"/>
  <cols>
    <col min="1" max="1" width="25" style="2" customWidth="1"/>
    <col min="2" max="2" width="51.33203125" style="2" customWidth="1"/>
    <col min="3" max="3" width="49.6640625" style="2" customWidth="1"/>
    <col min="4" max="4" width="51.6640625" style="2" customWidth="1"/>
    <col min="5" max="5" width="50.5546875" style="2" customWidth="1"/>
    <col min="6" max="6" width="50.33203125" style="2" customWidth="1"/>
    <col min="7" max="7" width="53.6640625" style="2" customWidth="1"/>
    <col min="8" max="9" width="8.6640625" style="2" customWidth="1"/>
    <col min="10" max="16384" width="9.33203125" style="2"/>
  </cols>
  <sheetData>
    <row r="1" spans="1:9" ht="17.399999999999999" x14ac:dyDescent="0.25">
      <c r="A1" s="590" t="s">
        <v>646</v>
      </c>
      <c r="B1" s="590"/>
      <c r="C1" s="590"/>
      <c r="D1" s="9"/>
      <c r="E1" s="9"/>
      <c r="F1" s="9"/>
    </row>
    <row r="2" spans="1:9" ht="25.2" customHeight="1" x14ac:dyDescent="0.25">
      <c r="A2" s="591" t="s">
        <v>49</v>
      </c>
      <c r="B2" s="592"/>
      <c r="C2" s="592"/>
      <c r="D2" s="9"/>
      <c r="E2" s="9"/>
      <c r="F2" s="9"/>
    </row>
    <row r="3" spans="1:9" ht="20.399999999999999" customHeight="1" x14ac:dyDescent="0.25">
      <c r="A3" s="17" t="s">
        <v>56</v>
      </c>
      <c r="B3" s="532" t="s">
        <v>57</v>
      </c>
      <c r="C3" s="18" t="s">
        <v>0</v>
      </c>
    </row>
    <row r="4" spans="1:9" ht="16.2" customHeight="1" x14ac:dyDescent="0.25">
      <c r="A4" s="14" t="s">
        <v>58</v>
      </c>
      <c r="B4" s="520" t="s">
        <v>49</v>
      </c>
      <c r="C4" s="14"/>
    </row>
    <row r="5" spans="1:9" ht="16.2" customHeight="1" x14ac:dyDescent="0.25">
      <c r="A5" s="14" t="s">
        <v>59</v>
      </c>
      <c r="B5" s="520" t="s">
        <v>60</v>
      </c>
      <c r="C5" s="14"/>
    </row>
    <row r="6" spans="1:9" ht="16.2" customHeight="1" x14ac:dyDescent="0.25">
      <c r="A6" s="486" t="s">
        <v>61</v>
      </c>
      <c r="B6" s="487" t="s">
        <v>62</v>
      </c>
      <c r="C6" s="14"/>
    </row>
    <row r="7" spans="1:9" ht="92.25" customHeight="1" x14ac:dyDescent="0.25">
      <c r="A7" s="14" t="s">
        <v>63</v>
      </c>
      <c r="B7" s="15" t="s">
        <v>64</v>
      </c>
      <c r="C7" s="433" t="s">
        <v>65</v>
      </c>
      <c r="D7" s="60"/>
    </row>
    <row r="8" spans="1:9" ht="97.2" customHeight="1" x14ac:dyDescent="0.25">
      <c r="A8" s="14" t="s">
        <v>66</v>
      </c>
      <c r="B8" s="520"/>
      <c r="C8" s="16" t="s">
        <v>67</v>
      </c>
      <c r="D8" s="70"/>
      <c r="I8" s="3"/>
    </row>
    <row r="9" spans="1:9" ht="55.5" customHeight="1" x14ac:dyDescent="0.25">
      <c r="A9" s="10" t="s">
        <v>68</v>
      </c>
      <c r="B9" s="11" t="s">
        <v>69</v>
      </c>
      <c r="C9" s="16" t="s">
        <v>70</v>
      </c>
    </row>
    <row r="10" spans="1:9" ht="16.2" customHeight="1" x14ac:dyDescent="0.25">
      <c r="A10" s="10" t="s">
        <v>71</v>
      </c>
      <c r="B10" s="59">
        <v>2.2000000000000002</v>
      </c>
      <c r="C10" s="16" t="s">
        <v>67</v>
      </c>
    </row>
    <row r="11" spans="1:9" x14ac:dyDescent="0.25">
      <c r="A11" s="12" t="s">
        <v>72</v>
      </c>
      <c r="B11" s="520">
        <v>1</v>
      </c>
      <c r="C11" s="64"/>
    </row>
    <row r="12" spans="1:9" x14ac:dyDescent="0.25">
      <c r="A12" s="12" t="s">
        <v>73</v>
      </c>
      <c r="B12" s="520" t="s">
        <v>74</v>
      </c>
      <c r="C12" s="64"/>
    </row>
    <row r="13" spans="1:9" x14ac:dyDescent="0.25">
      <c r="A13" s="12" t="s">
        <v>75</v>
      </c>
      <c r="B13" s="81">
        <v>7.1000000000000004E-3</v>
      </c>
      <c r="C13" s="16" t="s">
        <v>67</v>
      </c>
    </row>
    <row r="14" spans="1:9" ht="14.7" customHeight="1" x14ac:dyDescent="0.25">
      <c r="A14" s="10" t="s">
        <v>76</v>
      </c>
      <c r="B14" s="13" t="s">
        <v>77</v>
      </c>
      <c r="C14" s="14"/>
    </row>
    <row r="15" spans="1:9" ht="14.7" customHeight="1" x14ac:dyDescent="0.25">
      <c r="A15" s="10" t="s">
        <v>78</v>
      </c>
      <c r="B15" s="520">
        <v>28</v>
      </c>
      <c r="C15" s="16" t="s">
        <v>67</v>
      </c>
    </row>
    <row r="16" spans="1:9" ht="16.2" customHeight="1" x14ac:dyDescent="0.25">
      <c r="A16" s="10" t="s">
        <v>79</v>
      </c>
      <c r="B16" s="520" t="s">
        <v>80</v>
      </c>
      <c r="C16" s="16" t="s">
        <v>67</v>
      </c>
    </row>
    <row r="17" spans="1:60" x14ac:dyDescent="0.25">
      <c r="A17" s="10" t="s">
        <v>81</v>
      </c>
      <c r="B17" s="15" t="s">
        <v>82</v>
      </c>
      <c r="C17" s="16" t="s">
        <v>67</v>
      </c>
    </row>
    <row r="22" spans="1:60" ht="14.7" customHeight="1" x14ac:dyDescent="0.25"/>
    <row r="23" spans="1:60" s="4" customFormat="1" ht="12.6" customHeight="1" x14ac:dyDescent="0.25">
      <c r="U23" s="34"/>
      <c r="V23" s="50"/>
      <c r="W23" s="51"/>
      <c r="X23" s="51"/>
      <c r="Y23" s="51"/>
      <c r="Z23" s="51"/>
      <c r="AA23" s="51"/>
      <c r="AB23" s="51"/>
      <c r="AC23" s="51"/>
      <c r="AD23" s="51"/>
      <c r="AE23" s="51"/>
      <c r="AF23" s="51"/>
      <c r="AG23" s="51"/>
      <c r="AH23" s="51"/>
      <c r="AI23" s="51"/>
      <c r="AJ23" s="51"/>
      <c r="AK23" s="51"/>
      <c r="AL23" s="51"/>
    </row>
    <row r="24" spans="1:60" s="54" customFormat="1" ht="26.4" customHeight="1" x14ac:dyDescent="0.25">
      <c r="A24" s="158" t="s">
        <v>85</v>
      </c>
      <c r="B24" s="2"/>
      <c r="C24" s="157"/>
      <c r="D24" s="157"/>
      <c r="E24" s="157"/>
      <c r="F24" s="53"/>
      <c r="G24" s="53"/>
      <c r="H24" s="53"/>
      <c r="I24" s="53"/>
      <c r="J24" s="53"/>
      <c r="K24" s="53"/>
      <c r="L24" s="53"/>
      <c r="M24" s="53"/>
      <c r="N24" s="53"/>
      <c r="O24" s="53"/>
      <c r="P24" s="53"/>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row>
    <row r="25" spans="1:60" s="54" customFormat="1" ht="14.4" customHeight="1" x14ac:dyDescent="0.25">
      <c r="A25" s="159"/>
      <c r="B25" s="160" t="s">
        <v>86</v>
      </c>
      <c r="C25" s="160" t="s">
        <v>87</v>
      </c>
      <c r="D25" s="160" t="s">
        <v>88</v>
      </c>
      <c r="E25" s="160" t="s">
        <v>89</v>
      </c>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row>
    <row r="26" spans="1:60" s="54" customFormat="1" ht="127.2" customHeight="1" x14ac:dyDescent="0.25">
      <c r="A26" s="161" t="s">
        <v>83</v>
      </c>
      <c r="B26" s="162"/>
      <c r="C26" s="163"/>
      <c r="D26" s="163"/>
      <c r="E26" s="163"/>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row>
    <row r="27" spans="1:60" s="54" customFormat="1" ht="19.2" customHeight="1" x14ac:dyDescent="0.25">
      <c r="A27" s="159" t="s">
        <v>90</v>
      </c>
      <c r="B27" s="164">
        <v>49495.17</v>
      </c>
      <c r="C27" s="164">
        <v>49495.29</v>
      </c>
      <c r="D27" s="164">
        <v>499990.41</v>
      </c>
      <c r="E27" s="165">
        <v>499990.41</v>
      </c>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row>
    <row r="28" spans="1:60" s="54" customFormat="1" ht="18" customHeight="1" x14ac:dyDescent="0.25">
      <c r="A28" s="159" t="s">
        <v>91</v>
      </c>
      <c r="B28" s="166">
        <v>28</v>
      </c>
      <c r="C28" s="167">
        <v>28</v>
      </c>
      <c r="D28" s="167">
        <v>48</v>
      </c>
      <c r="E28" s="168">
        <v>48</v>
      </c>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row>
    <row r="30" spans="1:60" ht="73.2" customHeight="1" x14ac:dyDescent="0.25">
      <c r="A30" s="593" t="s">
        <v>92</v>
      </c>
      <c r="B30" s="525" t="s">
        <v>93</v>
      </c>
      <c r="C30" s="180" t="s">
        <v>94</v>
      </c>
      <c r="D30" s="180" t="s">
        <v>95</v>
      </c>
      <c r="E30" s="596">
        <f>100/50000</f>
        <v>2E-3</v>
      </c>
      <c r="F30" s="589"/>
      <c r="G30" s="589"/>
      <c r="H30" s="589"/>
      <c r="I30" s="589"/>
      <c r="J30" s="589"/>
      <c r="K30" s="589"/>
      <c r="L30" s="589"/>
      <c r="M30" s="589"/>
      <c r="N30" s="589"/>
      <c r="O30" s="589"/>
      <c r="P30" s="589"/>
      <c r="Q30" s="589"/>
      <c r="R30" s="589"/>
      <c r="S30" s="589"/>
      <c r="T30" s="589"/>
      <c r="U30" s="589"/>
      <c r="V30" s="589"/>
      <c r="W30" s="589"/>
      <c r="X30" s="589"/>
      <c r="Y30" s="589"/>
      <c r="Z30" s="589"/>
      <c r="AA30" s="589"/>
      <c r="AB30" s="589"/>
      <c r="AC30" s="589"/>
      <c r="AD30" s="589"/>
      <c r="AE30" s="589"/>
      <c r="AF30" s="589"/>
      <c r="AG30" s="589"/>
      <c r="AH30" s="589"/>
      <c r="AI30" s="589"/>
      <c r="AJ30" s="589"/>
      <c r="AK30" s="589"/>
      <c r="AL30" s="589"/>
      <c r="AM30" s="589"/>
      <c r="AN30" s="589"/>
      <c r="AO30" s="589"/>
      <c r="AP30" s="589"/>
      <c r="AQ30" s="589"/>
      <c r="AR30" s="589"/>
      <c r="AS30" s="589"/>
      <c r="AT30" s="589"/>
      <c r="AU30" s="589"/>
      <c r="AV30" s="589"/>
      <c r="AW30" s="589"/>
      <c r="AX30" s="589"/>
      <c r="AY30" s="589"/>
      <c r="AZ30" s="589"/>
      <c r="BA30" s="589"/>
      <c r="BB30" s="589"/>
      <c r="BC30" s="589"/>
      <c r="BD30" s="589"/>
      <c r="BE30" s="589"/>
      <c r="BF30" s="589"/>
      <c r="BG30" s="589"/>
      <c r="BH30" s="589"/>
    </row>
    <row r="31" spans="1:60" ht="44.4" customHeight="1" x14ac:dyDescent="0.25">
      <c r="A31" s="594"/>
      <c r="B31" s="526" t="s">
        <v>96</v>
      </c>
      <c r="C31" s="181" t="s">
        <v>97</v>
      </c>
      <c r="D31" s="181" t="s">
        <v>98</v>
      </c>
      <c r="E31" s="596"/>
      <c r="F31" s="589"/>
      <c r="G31" s="589"/>
      <c r="H31" s="589"/>
      <c r="I31" s="589"/>
      <c r="J31" s="589"/>
      <c r="K31" s="589"/>
      <c r="L31" s="589"/>
      <c r="M31" s="589"/>
      <c r="N31" s="589"/>
      <c r="O31" s="589"/>
      <c r="P31" s="589"/>
      <c r="Q31" s="589"/>
      <c r="R31" s="589"/>
      <c r="S31" s="589"/>
      <c r="T31" s="589"/>
      <c r="U31" s="589"/>
      <c r="V31" s="589"/>
      <c r="W31" s="589"/>
      <c r="X31" s="589"/>
      <c r="Y31" s="589"/>
      <c r="Z31" s="589"/>
      <c r="AA31" s="589"/>
      <c r="AB31" s="589"/>
      <c r="AC31" s="589"/>
      <c r="AD31" s="589"/>
      <c r="AE31" s="589"/>
      <c r="AF31" s="589"/>
      <c r="AG31" s="589"/>
      <c r="AH31" s="589"/>
      <c r="AI31" s="589"/>
      <c r="AJ31" s="589"/>
      <c r="AK31" s="589"/>
      <c r="AL31" s="589"/>
      <c r="AM31" s="589"/>
      <c r="AN31" s="589"/>
      <c r="AO31" s="589"/>
      <c r="AP31" s="589"/>
      <c r="AQ31" s="589"/>
      <c r="AR31" s="589"/>
      <c r="AS31" s="589"/>
      <c r="AT31" s="589"/>
      <c r="AU31" s="589"/>
      <c r="AV31" s="589"/>
      <c r="AW31" s="589"/>
      <c r="AX31" s="589"/>
      <c r="AY31" s="589"/>
      <c r="AZ31" s="589"/>
      <c r="BA31" s="589"/>
      <c r="BB31" s="589"/>
      <c r="BC31" s="589"/>
      <c r="BD31" s="589"/>
      <c r="BE31" s="589"/>
      <c r="BF31" s="589"/>
      <c r="BG31" s="589"/>
      <c r="BH31" s="589"/>
    </row>
    <row r="32" spans="1:60" x14ac:dyDescent="0.25">
      <c r="A32" s="595"/>
      <c r="B32" s="527" t="s">
        <v>99</v>
      </c>
      <c r="C32" s="182" t="s">
        <v>100</v>
      </c>
      <c r="D32" s="182"/>
      <c r="E32" s="596"/>
      <c r="F32" s="589"/>
      <c r="G32" s="589"/>
      <c r="H32" s="589"/>
      <c r="I32" s="589"/>
      <c r="J32" s="589"/>
      <c r="K32" s="589"/>
      <c r="L32" s="589"/>
      <c r="M32" s="589"/>
      <c r="N32" s="589"/>
      <c r="O32" s="589"/>
      <c r="P32" s="589"/>
      <c r="Q32" s="589"/>
      <c r="R32" s="589"/>
      <c r="S32" s="589"/>
      <c r="T32" s="589"/>
      <c r="U32" s="589"/>
      <c r="V32" s="589"/>
      <c r="W32" s="589"/>
      <c r="X32" s="589"/>
      <c r="Y32" s="589"/>
      <c r="Z32" s="589"/>
      <c r="AA32" s="589"/>
      <c r="AB32" s="589"/>
      <c r="AC32" s="589"/>
      <c r="AD32" s="589"/>
      <c r="AE32" s="589"/>
      <c r="AF32" s="589"/>
      <c r="AG32" s="589"/>
      <c r="AH32" s="589"/>
      <c r="AI32" s="589"/>
      <c r="AJ32" s="589"/>
      <c r="AK32" s="589"/>
      <c r="AL32" s="589"/>
      <c r="AM32" s="589"/>
      <c r="AN32" s="589"/>
      <c r="AO32" s="589"/>
      <c r="AP32" s="589"/>
      <c r="AQ32" s="589"/>
      <c r="AR32" s="589"/>
      <c r="AS32" s="589"/>
      <c r="AT32" s="589"/>
      <c r="AU32" s="589"/>
      <c r="AV32" s="589"/>
      <c r="AW32" s="589"/>
      <c r="AX32" s="589"/>
      <c r="AY32" s="589"/>
      <c r="AZ32" s="589"/>
      <c r="BA32" s="589"/>
      <c r="BB32" s="589"/>
      <c r="BC32" s="589"/>
      <c r="BD32" s="589"/>
      <c r="BE32" s="589"/>
      <c r="BF32" s="589"/>
      <c r="BG32" s="589"/>
      <c r="BH32" s="589"/>
    </row>
    <row r="33" spans="1:60" x14ac:dyDescent="0.25">
      <c r="A33" s="593" t="s">
        <v>101</v>
      </c>
      <c r="B33" s="526" t="s">
        <v>102</v>
      </c>
      <c r="C33" s="525" t="s">
        <v>103</v>
      </c>
      <c r="D33" s="525" t="s">
        <v>104</v>
      </c>
      <c r="E33" s="596"/>
      <c r="F33" s="589"/>
      <c r="G33" s="589"/>
      <c r="H33" s="589"/>
      <c r="I33" s="589"/>
      <c r="J33" s="589"/>
      <c r="K33" s="589"/>
      <c r="L33" s="589"/>
      <c r="M33" s="589"/>
      <c r="N33" s="589"/>
      <c r="O33" s="589"/>
      <c r="P33" s="589"/>
      <c r="Q33" s="589"/>
      <c r="R33" s="589"/>
      <c r="S33" s="589"/>
      <c r="T33" s="589"/>
      <c r="U33" s="589"/>
      <c r="V33" s="589"/>
      <c r="W33" s="589"/>
      <c r="X33" s="589"/>
      <c r="Y33" s="589"/>
      <c r="Z33" s="589"/>
      <c r="AA33" s="589"/>
      <c r="AB33" s="589"/>
      <c r="AC33" s="589"/>
      <c r="AD33" s="589"/>
      <c r="AE33" s="589"/>
      <c r="AF33" s="589"/>
      <c r="AG33" s="589"/>
      <c r="AH33" s="589"/>
      <c r="AI33" s="589"/>
      <c r="AJ33" s="589"/>
      <c r="AK33" s="589"/>
      <c r="AL33" s="589"/>
      <c r="AM33" s="589"/>
      <c r="AN33" s="589"/>
      <c r="AO33" s="589"/>
      <c r="AP33" s="589"/>
      <c r="AQ33" s="589"/>
      <c r="AR33" s="589"/>
      <c r="AS33" s="589"/>
      <c r="AT33" s="589"/>
      <c r="AU33" s="589"/>
      <c r="AV33" s="589"/>
      <c r="AW33" s="589"/>
      <c r="AX33" s="589"/>
      <c r="AY33" s="589"/>
      <c r="AZ33" s="589"/>
      <c r="BA33" s="589"/>
      <c r="BB33" s="589"/>
      <c r="BC33" s="589"/>
      <c r="BD33" s="589"/>
      <c r="BE33" s="589"/>
      <c r="BF33" s="589"/>
      <c r="BG33" s="589"/>
      <c r="BH33" s="589"/>
    </row>
    <row r="34" spans="1:60" x14ac:dyDescent="0.25">
      <c r="A34" s="594"/>
      <c r="B34" s="526" t="s">
        <v>105</v>
      </c>
      <c r="C34" s="526" t="s">
        <v>106</v>
      </c>
      <c r="D34" s="526" t="s">
        <v>107</v>
      </c>
      <c r="E34" s="596"/>
      <c r="F34" s="589"/>
      <c r="G34" s="589"/>
      <c r="H34" s="589"/>
      <c r="I34" s="589"/>
      <c r="J34" s="589"/>
      <c r="K34" s="589"/>
      <c r="L34" s="589"/>
      <c r="M34" s="589"/>
      <c r="N34" s="589"/>
      <c r="O34" s="589"/>
      <c r="P34" s="589"/>
      <c r="Q34" s="589"/>
      <c r="R34" s="589"/>
      <c r="S34" s="589"/>
      <c r="T34" s="589"/>
      <c r="U34" s="589"/>
      <c r="V34" s="589"/>
      <c r="W34" s="589"/>
      <c r="X34" s="589"/>
      <c r="Y34" s="589"/>
      <c r="Z34" s="589"/>
      <c r="AA34" s="589"/>
      <c r="AB34" s="589"/>
      <c r="AC34" s="589"/>
      <c r="AD34" s="589"/>
      <c r="AE34" s="589"/>
      <c r="AF34" s="589"/>
      <c r="AG34" s="589"/>
      <c r="AH34" s="589"/>
      <c r="AI34" s="589"/>
      <c r="AJ34" s="589"/>
      <c r="AK34" s="589"/>
      <c r="AL34" s="589"/>
      <c r="AM34" s="589"/>
      <c r="AN34" s="589"/>
      <c r="AO34" s="589"/>
      <c r="AP34" s="589"/>
      <c r="AQ34" s="589"/>
      <c r="AR34" s="589"/>
      <c r="AS34" s="589"/>
      <c r="AT34" s="589"/>
      <c r="AU34" s="589"/>
      <c r="AV34" s="589"/>
      <c r="AW34" s="589"/>
      <c r="AX34" s="589"/>
      <c r="AY34" s="589"/>
      <c r="AZ34" s="589"/>
      <c r="BA34" s="589"/>
      <c r="BB34" s="589"/>
      <c r="BC34" s="589"/>
      <c r="BD34" s="589"/>
      <c r="BE34" s="589"/>
      <c r="BF34" s="589"/>
      <c r="BG34" s="589"/>
      <c r="BH34" s="589"/>
    </row>
    <row r="35" spans="1:60" x14ac:dyDescent="0.25">
      <c r="A35" s="595"/>
      <c r="B35" s="526" t="s">
        <v>108</v>
      </c>
      <c r="C35" s="527" t="s">
        <v>109</v>
      </c>
      <c r="D35" s="527"/>
      <c r="E35" s="596"/>
      <c r="F35" s="589"/>
      <c r="G35" s="589"/>
      <c r="H35" s="589"/>
      <c r="I35" s="589"/>
      <c r="J35" s="589"/>
      <c r="K35" s="589"/>
      <c r="L35" s="589"/>
      <c r="M35" s="589"/>
      <c r="N35" s="589"/>
      <c r="O35" s="589"/>
      <c r="P35" s="589"/>
      <c r="Q35" s="589"/>
      <c r="R35" s="589"/>
      <c r="S35" s="589"/>
      <c r="T35" s="589"/>
      <c r="U35" s="589"/>
      <c r="V35" s="589"/>
      <c r="W35" s="589"/>
      <c r="X35" s="589"/>
      <c r="Y35" s="589"/>
      <c r="Z35" s="589"/>
      <c r="AA35" s="589"/>
      <c r="AB35" s="589"/>
      <c r="AC35" s="589"/>
      <c r="AD35" s="589"/>
      <c r="AE35" s="589"/>
      <c r="AF35" s="589"/>
      <c r="AG35" s="589"/>
      <c r="AH35" s="589"/>
      <c r="AI35" s="589"/>
      <c r="AJ35" s="589"/>
      <c r="AK35" s="589"/>
      <c r="AL35" s="589"/>
      <c r="AM35" s="589"/>
      <c r="AN35" s="589"/>
      <c r="AO35" s="589"/>
      <c r="AP35" s="589"/>
      <c r="AQ35" s="589"/>
      <c r="AR35" s="589"/>
      <c r="AS35" s="589"/>
      <c r="AT35" s="589"/>
      <c r="AU35" s="589"/>
      <c r="AV35" s="589"/>
      <c r="AW35" s="589"/>
      <c r="AX35" s="589"/>
      <c r="AY35" s="589"/>
      <c r="AZ35" s="589"/>
      <c r="BA35" s="589"/>
      <c r="BB35" s="589"/>
      <c r="BC35" s="589"/>
      <c r="BD35" s="589"/>
      <c r="BE35" s="589"/>
      <c r="BF35" s="589"/>
      <c r="BG35" s="589"/>
      <c r="BH35" s="589"/>
    </row>
    <row r="36" spans="1:60" x14ac:dyDescent="0.25">
      <c r="A36" s="593" t="s">
        <v>110</v>
      </c>
      <c r="B36" s="525" t="s">
        <v>111</v>
      </c>
      <c r="C36" s="597" t="s">
        <v>112</v>
      </c>
      <c r="D36" s="597" t="s">
        <v>112</v>
      </c>
      <c r="E36" s="596"/>
      <c r="F36" s="589"/>
      <c r="G36" s="589"/>
      <c r="H36" s="589"/>
      <c r="I36" s="589"/>
      <c r="J36" s="589"/>
      <c r="K36" s="589"/>
      <c r="L36" s="589"/>
      <c r="M36" s="589"/>
      <c r="N36" s="589"/>
      <c r="O36" s="589"/>
      <c r="P36" s="589"/>
      <c r="Q36" s="589"/>
      <c r="R36" s="589"/>
      <c r="S36" s="589"/>
      <c r="T36" s="589"/>
      <c r="U36" s="589"/>
      <c r="V36" s="589"/>
      <c r="W36" s="589"/>
      <c r="X36" s="589"/>
      <c r="Y36" s="589"/>
      <c r="Z36" s="589"/>
      <c r="AA36" s="589"/>
      <c r="AB36" s="589"/>
      <c r="AC36" s="589"/>
      <c r="AD36" s="589"/>
      <c r="AE36" s="589"/>
      <c r="AF36" s="589"/>
      <c r="AG36" s="589"/>
      <c r="AH36" s="589"/>
      <c r="AI36" s="589"/>
      <c r="AJ36" s="589"/>
      <c r="AK36" s="589"/>
      <c r="AL36" s="589"/>
      <c r="AM36" s="589"/>
      <c r="AN36" s="589"/>
      <c r="AO36" s="589"/>
      <c r="AP36" s="589"/>
      <c r="AQ36" s="589"/>
      <c r="AR36" s="589"/>
      <c r="AS36" s="589"/>
      <c r="AT36" s="589"/>
      <c r="AU36" s="589"/>
      <c r="AV36" s="589"/>
      <c r="AW36" s="589"/>
      <c r="AX36" s="589"/>
      <c r="AY36" s="589"/>
      <c r="AZ36" s="589"/>
      <c r="BA36" s="589"/>
      <c r="BB36" s="589"/>
      <c r="BC36" s="589"/>
      <c r="BD36" s="589"/>
      <c r="BE36" s="589"/>
      <c r="BF36" s="589"/>
      <c r="BG36" s="589"/>
      <c r="BH36" s="589"/>
    </row>
    <row r="37" spans="1:60" x14ac:dyDescent="0.25">
      <c r="A37" s="594"/>
      <c r="B37" s="526" t="s">
        <v>113</v>
      </c>
      <c r="C37" s="598"/>
      <c r="D37" s="598"/>
      <c r="E37" s="596"/>
      <c r="F37" s="589"/>
      <c r="G37" s="589"/>
      <c r="H37" s="589"/>
      <c r="I37" s="589"/>
      <c r="J37" s="589"/>
      <c r="K37" s="589"/>
      <c r="L37" s="589"/>
      <c r="M37" s="589"/>
      <c r="N37" s="589"/>
      <c r="O37" s="589"/>
      <c r="P37" s="589"/>
      <c r="Q37" s="589"/>
      <c r="R37" s="589"/>
      <c r="S37" s="589"/>
      <c r="T37" s="589"/>
      <c r="U37" s="589"/>
      <c r="V37" s="589"/>
      <c r="W37" s="589"/>
      <c r="X37" s="589"/>
      <c r="Y37" s="589"/>
      <c r="Z37" s="589"/>
      <c r="AA37" s="589"/>
      <c r="AB37" s="589"/>
      <c r="AC37" s="589"/>
      <c r="AD37" s="589"/>
      <c r="AE37" s="589"/>
      <c r="AF37" s="589"/>
      <c r="AG37" s="589"/>
      <c r="AH37" s="589"/>
      <c r="AI37" s="589"/>
      <c r="AJ37" s="589"/>
      <c r="AK37" s="589"/>
      <c r="AL37" s="589"/>
      <c r="AM37" s="589"/>
      <c r="AN37" s="589"/>
      <c r="AO37" s="589"/>
      <c r="AP37" s="589"/>
      <c r="AQ37" s="589"/>
      <c r="AR37" s="589"/>
      <c r="AS37" s="589"/>
      <c r="AT37" s="589"/>
      <c r="AU37" s="589"/>
      <c r="AV37" s="589"/>
      <c r="AW37" s="589"/>
      <c r="AX37" s="589"/>
      <c r="AY37" s="589"/>
      <c r="AZ37" s="589"/>
      <c r="BA37" s="589"/>
      <c r="BB37" s="589"/>
      <c r="BC37" s="589"/>
      <c r="BD37" s="589"/>
      <c r="BE37" s="589"/>
      <c r="BF37" s="589"/>
      <c r="BG37" s="589"/>
      <c r="BH37" s="589"/>
    </row>
    <row r="38" spans="1:60" x14ac:dyDescent="0.25">
      <c r="A38" s="595"/>
      <c r="B38" s="527" t="s">
        <v>114</v>
      </c>
      <c r="C38" s="599"/>
      <c r="D38" s="599"/>
      <c r="E38" s="596"/>
      <c r="F38" s="589"/>
      <c r="G38" s="589"/>
      <c r="H38" s="589"/>
      <c r="I38" s="589"/>
      <c r="J38" s="589"/>
      <c r="K38" s="589"/>
      <c r="L38" s="589"/>
      <c r="M38" s="589"/>
      <c r="N38" s="589"/>
      <c r="O38" s="589"/>
      <c r="P38" s="589"/>
      <c r="Q38" s="589"/>
      <c r="R38" s="589"/>
      <c r="S38" s="589"/>
      <c r="T38" s="589"/>
      <c r="U38" s="589"/>
      <c r="V38" s="589"/>
      <c r="W38" s="589"/>
      <c r="X38" s="589"/>
      <c r="Y38" s="589"/>
      <c r="Z38" s="589"/>
      <c r="AA38" s="589"/>
      <c r="AB38" s="589"/>
      <c r="AC38" s="589"/>
      <c r="AD38" s="589"/>
      <c r="AE38" s="589"/>
      <c r="AF38" s="589"/>
      <c r="AG38" s="589"/>
      <c r="AH38" s="589"/>
      <c r="AI38" s="589"/>
      <c r="AJ38" s="589"/>
      <c r="AK38" s="589"/>
      <c r="AL38" s="589"/>
      <c r="AM38" s="589"/>
      <c r="AN38" s="589"/>
      <c r="AO38" s="589"/>
      <c r="AP38" s="589"/>
      <c r="AQ38" s="589"/>
      <c r="AR38" s="589"/>
      <c r="AS38" s="589"/>
      <c r="AT38" s="589"/>
      <c r="AU38" s="589"/>
      <c r="AV38" s="589"/>
      <c r="AW38" s="589"/>
      <c r="AX38" s="589"/>
      <c r="AY38" s="589"/>
      <c r="AZ38" s="589"/>
      <c r="BA38" s="589"/>
      <c r="BB38" s="589"/>
      <c r="BC38" s="589"/>
      <c r="BD38" s="589"/>
      <c r="BE38" s="589"/>
      <c r="BF38" s="589"/>
      <c r="BG38" s="589"/>
      <c r="BH38" s="589"/>
    </row>
    <row r="39" spans="1:60" x14ac:dyDescent="0.25">
      <c r="A39" s="600" t="s">
        <v>115</v>
      </c>
      <c r="B39" s="183" t="s">
        <v>116</v>
      </c>
      <c r="C39" s="185" t="s">
        <v>117</v>
      </c>
      <c r="D39" s="185" t="s">
        <v>118</v>
      </c>
      <c r="E39" s="596"/>
      <c r="F39" s="589"/>
      <c r="G39" s="589"/>
      <c r="H39" s="589"/>
      <c r="I39" s="589"/>
      <c r="J39" s="589"/>
      <c r="K39" s="589"/>
      <c r="L39" s="589"/>
      <c r="M39" s="589"/>
      <c r="N39" s="589"/>
      <c r="O39" s="589"/>
      <c r="P39" s="589"/>
      <c r="Q39" s="589"/>
      <c r="R39" s="589"/>
      <c r="S39" s="589"/>
      <c r="T39" s="589"/>
      <c r="U39" s="589"/>
      <c r="V39" s="589"/>
      <c r="W39" s="589"/>
      <c r="X39" s="589"/>
      <c r="Y39" s="589"/>
      <c r="Z39" s="589"/>
      <c r="AA39" s="589"/>
      <c r="AB39" s="589"/>
      <c r="AC39" s="589"/>
      <c r="AD39" s="589"/>
      <c r="AE39" s="589"/>
      <c r="AF39" s="589"/>
      <c r="AG39" s="589"/>
      <c r="AH39" s="589"/>
      <c r="AI39" s="589"/>
      <c r="AJ39" s="589"/>
      <c r="AK39" s="589"/>
      <c r="AL39" s="589"/>
      <c r="AM39" s="589"/>
      <c r="AN39" s="589"/>
      <c r="AO39" s="589"/>
      <c r="AP39" s="589"/>
      <c r="AQ39" s="589"/>
      <c r="AR39" s="589"/>
      <c r="AS39" s="589"/>
      <c r="AT39" s="589"/>
      <c r="AU39" s="589"/>
      <c r="AV39" s="589"/>
      <c r="AW39" s="589"/>
      <c r="AX39" s="589"/>
      <c r="AY39" s="589"/>
      <c r="AZ39" s="589"/>
      <c r="BA39" s="589"/>
      <c r="BB39" s="589"/>
      <c r="BC39" s="589"/>
      <c r="BD39" s="589"/>
      <c r="BE39" s="589"/>
      <c r="BF39" s="589"/>
      <c r="BG39" s="589"/>
      <c r="BH39" s="589"/>
    </row>
    <row r="40" spans="1:60" x14ac:dyDescent="0.25">
      <c r="A40" s="601"/>
      <c r="B40" s="183"/>
      <c r="C40" s="185" t="s">
        <v>119</v>
      </c>
      <c r="D40" s="185" t="s">
        <v>120</v>
      </c>
      <c r="E40" s="596"/>
      <c r="F40" s="589"/>
      <c r="G40" s="589"/>
      <c r="H40" s="589"/>
      <c r="I40" s="589"/>
      <c r="J40" s="589"/>
      <c r="K40" s="589"/>
      <c r="L40" s="589"/>
      <c r="M40" s="589"/>
      <c r="N40" s="589"/>
      <c r="O40" s="589"/>
      <c r="P40" s="589"/>
      <c r="Q40" s="589"/>
      <c r="R40" s="589"/>
      <c r="S40" s="589"/>
      <c r="T40" s="589"/>
      <c r="U40" s="589"/>
      <c r="V40" s="589"/>
      <c r="W40" s="589"/>
      <c r="X40" s="589"/>
      <c r="Y40" s="589"/>
      <c r="Z40" s="589"/>
      <c r="AA40" s="589"/>
      <c r="AB40" s="589"/>
      <c r="AC40" s="589"/>
      <c r="AD40" s="589"/>
      <c r="AE40" s="589"/>
      <c r="AF40" s="589"/>
      <c r="AG40" s="589"/>
      <c r="AH40" s="589"/>
      <c r="AI40" s="589"/>
      <c r="AJ40" s="589"/>
      <c r="AK40" s="589"/>
      <c r="AL40" s="589"/>
      <c r="AM40" s="589"/>
      <c r="AN40" s="589"/>
      <c r="AO40" s="589"/>
      <c r="AP40" s="589"/>
      <c r="AQ40" s="589"/>
      <c r="AR40" s="589"/>
      <c r="AS40" s="589"/>
      <c r="AT40" s="589"/>
      <c r="AU40" s="589"/>
      <c r="AV40" s="589"/>
      <c r="AW40" s="589"/>
      <c r="AX40" s="589"/>
      <c r="AY40" s="589"/>
      <c r="AZ40" s="589"/>
      <c r="BA40" s="589"/>
      <c r="BB40" s="589"/>
      <c r="BC40" s="589"/>
      <c r="BD40" s="589"/>
      <c r="BE40" s="589"/>
      <c r="BF40" s="589"/>
      <c r="BG40" s="589"/>
      <c r="BH40" s="589"/>
    </row>
    <row r="41" spans="1:60" x14ac:dyDescent="0.25">
      <c r="A41" s="602"/>
      <c r="B41" s="184" t="s">
        <v>121</v>
      </c>
      <c r="C41" s="186" t="s">
        <v>122</v>
      </c>
      <c r="D41" s="186"/>
      <c r="E41" s="596"/>
      <c r="F41" s="589"/>
      <c r="G41" s="589"/>
      <c r="H41" s="589"/>
      <c r="I41" s="589"/>
      <c r="J41" s="589"/>
      <c r="K41" s="589"/>
      <c r="L41" s="589"/>
      <c r="M41" s="589"/>
      <c r="N41" s="589"/>
      <c r="O41" s="589"/>
      <c r="P41" s="589"/>
      <c r="Q41" s="589"/>
      <c r="R41" s="589"/>
      <c r="S41" s="589"/>
      <c r="T41" s="589"/>
      <c r="U41" s="589"/>
      <c r="V41" s="589"/>
      <c r="W41" s="589"/>
      <c r="X41" s="589"/>
      <c r="Y41" s="589"/>
      <c r="Z41" s="589"/>
      <c r="AA41" s="589"/>
      <c r="AB41" s="589"/>
      <c r="AC41" s="589"/>
      <c r="AD41" s="589"/>
      <c r="AE41" s="589"/>
      <c r="AF41" s="589"/>
      <c r="AG41" s="589"/>
      <c r="AH41" s="589"/>
      <c r="AI41" s="589"/>
      <c r="AJ41" s="589"/>
      <c r="AK41" s="589"/>
      <c r="AL41" s="589"/>
      <c r="AM41" s="589"/>
      <c r="AN41" s="589"/>
      <c r="AO41" s="589"/>
      <c r="AP41" s="589"/>
      <c r="AQ41" s="589"/>
      <c r="AR41" s="589"/>
      <c r="AS41" s="589"/>
      <c r="AT41" s="589"/>
      <c r="AU41" s="589"/>
      <c r="AV41" s="589"/>
      <c r="AW41" s="589"/>
      <c r="AX41" s="589"/>
      <c r="AY41" s="589"/>
      <c r="AZ41" s="589"/>
      <c r="BA41" s="589"/>
      <c r="BB41" s="589"/>
      <c r="BC41" s="589"/>
      <c r="BD41" s="589"/>
      <c r="BE41" s="589"/>
      <c r="BF41" s="589"/>
      <c r="BG41" s="589"/>
      <c r="BH41" s="589"/>
    </row>
    <row r="42" spans="1:60" x14ac:dyDescent="0.25">
      <c r="A42" s="187"/>
      <c r="B42" s="188"/>
      <c r="C42" s="188"/>
      <c r="D42" s="189"/>
      <c r="E42" s="189"/>
      <c r="F42" s="512"/>
      <c r="G42" s="512"/>
      <c r="H42" s="512"/>
      <c r="I42" s="512"/>
      <c r="J42" s="512"/>
      <c r="K42" s="512"/>
      <c r="L42" s="512"/>
      <c r="M42" s="512"/>
      <c r="N42" s="512"/>
      <c r="O42" s="512"/>
      <c r="P42" s="512"/>
      <c r="Q42" s="512"/>
      <c r="R42" s="512"/>
      <c r="S42" s="512"/>
      <c r="T42" s="512"/>
      <c r="U42" s="512"/>
      <c r="V42" s="512"/>
      <c r="W42" s="512"/>
      <c r="X42" s="512"/>
      <c r="Y42" s="512"/>
      <c r="Z42" s="512"/>
      <c r="AA42" s="512"/>
      <c r="AB42" s="512"/>
      <c r="AC42" s="512"/>
      <c r="AD42" s="512"/>
      <c r="AE42" s="512"/>
      <c r="AF42" s="512"/>
      <c r="AG42" s="512"/>
      <c r="AH42" s="512"/>
      <c r="AI42" s="512"/>
      <c r="AJ42" s="512"/>
      <c r="AK42" s="512"/>
      <c r="AL42" s="512"/>
      <c r="AM42" s="512"/>
      <c r="AN42" s="512"/>
      <c r="AO42" s="512"/>
      <c r="AP42" s="512"/>
      <c r="AQ42" s="512"/>
      <c r="AR42" s="512"/>
      <c r="AS42" s="512"/>
      <c r="AT42" s="512"/>
      <c r="AU42" s="512"/>
      <c r="AV42" s="512"/>
      <c r="AW42" s="512"/>
      <c r="AX42" s="512"/>
      <c r="AY42" s="512"/>
      <c r="AZ42" s="512"/>
      <c r="BA42" s="512"/>
      <c r="BB42" s="512"/>
      <c r="BC42" s="512"/>
      <c r="BD42" s="512"/>
      <c r="BE42" s="512"/>
      <c r="BF42" s="512"/>
      <c r="BG42" s="512"/>
      <c r="BH42" s="512"/>
    </row>
    <row r="43" spans="1:60" x14ac:dyDescent="0.25">
      <c r="A43" s="190" t="s">
        <v>123</v>
      </c>
      <c r="B43" s="190" t="s">
        <v>124</v>
      </c>
      <c r="C43" s="190" t="s">
        <v>125</v>
      </c>
      <c r="D43" s="190" t="s">
        <v>126</v>
      </c>
      <c r="E43" s="512"/>
      <c r="F43" s="512"/>
      <c r="G43" s="512"/>
      <c r="H43" s="512"/>
      <c r="I43" s="512"/>
      <c r="J43" s="512"/>
      <c r="K43" s="512"/>
      <c r="L43" s="512"/>
      <c r="M43" s="512"/>
      <c r="N43" s="512"/>
      <c r="O43" s="512"/>
      <c r="P43" s="512"/>
      <c r="Q43" s="512"/>
      <c r="R43" s="512"/>
      <c r="S43" s="512"/>
      <c r="T43" s="512"/>
      <c r="U43" s="512"/>
      <c r="V43" s="512"/>
      <c r="W43" s="512"/>
      <c r="X43" s="512"/>
      <c r="Y43" s="512"/>
      <c r="Z43" s="512"/>
      <c r="AA43" s="512"/>
      <c r="AB43" s="512"/>
      <c r="AC43" s="512"/>
      <c r="AD43" s="512"/>
      <c r="AE43" s="512"/>
      <c r="AF43" s="512"/>
      <c r="AG43" s="512"/>
      <c r="AH43" s="512"/>
      <c r="AI43" s="512"/>
      <c r="AJ43" s="512"/>
      <c r="AK43" s="512"/>
      <c r="AL43" s="512"/>
      <c r="AM43" s="512"/>
      <c r="AN43" s="512"/>
      <c r="AO43" s="512"/>
      <c r="AP43" s="512"/>
      <c r="AQ43" s="512"/>
      <c r="AR43" s="512"/>
      <c r="AS43" s="512"/>
      <c r="AT43" s="512"/>
      <c r="AU43" s="512"/>
      <c r="AV43" s="512"/>
      <c r="AW43" s="512"/>
      <c r="AX43" s="512"/>
      <c r="AY43" s="512"/>
      <c r="AZ43" s="512"/>
      <c r="BA43" s="512"/>
      <c r="BB43" s="512"/>
      <c r="BC43" s="512"/>
      <c r="BD43" s="512"/>
      <c r="BE43" s="512"/>
      <c r="BF43" s="512"/>
      <c r="BG43" s="512"/>
      <c r="BH43" s="512"/>
    </row>
    <row r="44" spans="1:60" ht="39.6" x14ac:dyDescent="0.25">
      <c r="A44" s="603" t="s">
        <v>127</v>
      </c>
      <c r="B44" s="191" t="s">
        <v>128</v>
      </c>
      <c r="C44" s="193" t="s">
        <v>129</v>
      </c>
      <c r="D44" s="193" t="s">
        <v>130</v>
      </c>
      <c r="E44" s="606"/>
      <c r="F44" s="589"/>
      <c r="G44" s="589"/>
      <c r="H44" s="589"/>
      <c r="I44" s="589"/>
      <c r="J44" s="589"/>
      <c r="K44" s="589"/>
      <c r="L44" s="589"/>
      <c r="M44" s="589"/>
      <c r="N44" s="589"/>
      <c r="O44" s="589"/>
      <c r="P44" s="589"/>
      <c r="Q44" s="589"/>
      <c r="R44" s="589"/>
      <c r="S44" s="589"/>
      <c r="T44" s="589"/>
      <c r="U44" s="589"/>
      <c r="V44" s="589"/>
      <c r="W44" s="589"/>
      <c r="X44" s="589"/>
      <c r="Y44" s="589"/>
      <c r="Z44" s="589"/>
      <c r="AA44" s="589"/>
      <c r="AB44" s="589"/>
      <c r="AC44" s="589"/>
      <c r="AD44" s="589"/>
      <c r="AE44" s="589"/>
      <c r="AF44" s="589"/>
      <c r="AG44" s="589"/>
      <c r="AH44" s="589"/>
      <c r="AI44" s="589"/>
      <c r="AJ44" s="589"/>
      <c r="AK44" s="589"/>
      <c r="AL44" s="589"/>
      <c r="AM44" s="589"/>
      <c r="AN44" s="589"/>
      <c r="AO44" s="589"/>
      <c r="AP44" s="589"/>
      <c r="AQ44" s="589"/>
      <c r="AR44" s="589"/>
      <c r="AS44" s="589"/>
      <c r="AT44" s="589"/>
      <c r="AU44" s="589"/>
      <c r="AV44" s="589"/>
      <c r="AW44" s="589"/>
      <c r="AX44" s="589"/>
      <c r="AY44" s="589"/>
      <c r="AZ44" s="589"/>
      <c r="BA44" s="589"/>
      <c r="BB44" s="589"/>
      <c r="BC44" s="589"/>
      <c r="BD44" s="589"/>
      <c r="BE44" s="589"/>
      <c r="BF44" s="589"/>
      <c r="BG44" s="589"/>
      <c r="BH44" s="589"/>
    </row>
    <row r="45" spans="1:60" ht="26.4" x14ac:dyDescent="0.25">
      <c r="A45" s="604"/>
      <c r="B45" s="192" t="s">
        <v>131</v>
      </c>
      <c r="C45" s="194" t="s">
        <v>132</v>
      </c>
      <c r="D45" s="194" t="s">
        <v>133</v>
      </c>
      <c r="E45" s="606"/>
      <c r="F45" s="589"/>
      <c r="G45" s="589"/>
      <c r="H45" s="589"/>
      <c r="I45" s="589"/>
      <c r="J45" s="589"/>
      <c r="K45" s="589"/>
      <c r="L45" s="589"/>
      <c r="M45" s="589"/>
      <c r="N45" s="589"/>
      <c r="O45" s="589"/>
      <c r="P45" s="589"/>
      <c r="Q45" s="589"/>
      <c r="R45" s="589"/>
      <c r="S45" s="589"/>
      <c r="T45" s="589"/>
      <c r="U45" s="589"/>
      <c r="V45" s="589"/>
      <c r="W45" s="589"/>
      <c r="X45" s="589"/>
      <c r="Y45" s="589"/>
      <c r="Z45" s="589"/>
      <c r="AA45" s="589"/>
      <c r="AB45" s="589"/>
      <c r="AC45" s="589"/>
      <c r="AD45" s="589"/>
      <c r="AE45" s="589"/>
      <c r="AF45" s="589"/>
      <c r="AG45" s="589"/>
      <c r="AH45" s="589"/>
      <c r="AI45" s="589"/>
      <c r="AJ45" s="589"/>
      <c r="AK45" s="589"/>
      <c r="AL45" s="589"/>
      <c r="AM45" s="589"/>
      <c r="AN45" s="589"/>
      <c r="AO45" s="589"/>
      <c r="AP45" s="589"/>
      <c r="AQ45" s="589"/>
      <c r="AR45" s="589"/>
      <c r="AS45" s="589"/>
      <c r="AT45" s="589"/>
      <c r="AU45" s="589"/>
      <c r="AV45" s="589"/>
      <c r="AW45" s="589"/>
      <c r="AX45" s="589"/>
      <c r="AY45" s="589"/>
      <c r="AZ45" s="589"/>
      <c r="BA45" s="589"/>
      <c r="BB45" s="589"/>
      <c r="BC45" s="589"/>
      <c r="BD45" s="589"/>
      <c r="BE45" s="589"/>
      <c r="BF45" s="589"/>
      <c r="BG45" s="589"/>
      <c r="BH45" s="589"/>
    </row>
    <row r="46" spans="1:60" x14ac:dyDescent="0.25">
      <c r="A46" s="604"/>
      <c r="B46" s="192" t="s">
        <v>134</v>
      </c>
      <c r="C46" s="194" t="s">
        <v>135</v>
      </c>
      <c r="D46" s="194" t="s">
        <v>136</v>
      </c>
      <c r="E46" s="606"/>
      <c r="F46" s="589"/>
      <c r="G46" s="589"/>
      <c r="H46" s="589"/>
      <c r="I46" s="589"/>
      <c r="J46" s="589"/>
      <c r="K46" s="589"/>
      <c r="L46" s="589"/>
      <c r="M46" s="589"/>
      <c r="N46" s="589"/>
      <c r="O46" s="589"/>
      <c r="P46" s="589"/>
      <c r="Q46" s="589"/>
      <c r="R46" s="589"/>
      <c r="S46" s="589"/>
      <c r="T46" s="589"/>
      <c r="U46" s="589"/>
      <c r="V46" s="589"/>
      <c r="W46" s="589"/>
      <c r="X46" s="589"/>
      <c r="Y46" s="589"/>
      <c r="Z46" s="589"/>
      <c r="AA46" s="589"/>
      <c r="AB46" s="589"/>
      <c r="AC46" s="589"/>
      <c r="AD46" s="589"/>
      <c r="AE46" s="589"/>
      <c r="AF46" s="589"/>
      <c r="AG46" s="589"/>
      <c r="AH46" s="589"/>
      <c r="AI46" s="589"/>
      <c r="AJ46" s="589"/>
      <c r="AK46" s="589"/>
      <c r="AL46" s="589"/>
      <c r="AM46" s="589"/>
      <c r="AN46" s="589"/>
      <c r="AO46" s="589"/>
      <c r="AP46" s="589"/>
      <c r="AQ46" s="589"/>
      <c r="AR46" s="589"/>
      <c r="AS46" s="589"/>
      <c r="AT46" s="589"/>
      <c r="AU46" s="589"/>
      <c r="AV46" s="589"/>
      <c r="AW46" s="589"/>
      <c r="AX46" s="589"/>
      <c r="AY46" s="589"/>
      <c r="AZ46" s="589"/>
      <c r="BA46" s="589"/>
      <c r="BB46" s="589"/>
      <c r="BC46" s="589"/>
      <c r="BD46" s="589"/>
      <c r="BE46" s="589"/>
      <c r="BF46" s="589"/>
      <c r="BG46" s="589"/>
      <c r="BH46" s="589"/>
    </row>
    <row r="47" spans="1:60" ht="26.4" x14ac:dyDescent="0.25">
      <c r="A47" s="605"/>
      <c r="B47" s="192" t="s">
        <v>137</v>
      </c>
      <c r="C47" s="194"/>
      <c r="D47" s="194"/>
      <c r="E47" s="606"/>
      <c r="F47" s="589"/>
      <c r="G47" s="589"/>
      <c r="H47" s="589"/>
      <c r="I47" s="589"/>
      <c r="J47" s="589"/>
      <c r="K47" s="589"/>
      <c r="L47" s="589"/>
      <c r="M47" s="589"/>
      <c r="N47" s="589"/>
      <c r="O47" s="589"/>
      <c r="P47" s="589"/>
      <c r="Q47" s="589"/>
      <c r="R47" s="589"/>
      <c r="S47" s="589"/>
      <c r="T47" s="589"/>
      <c r="U47" s="589"/>
      <c r="V47" s="589"/>
      <c r="W47" s="589"/>
      <c r="X47" s="589"/>
      <c r="Y47" s="589"/>
      <c r="Z47" s="589"/>
      <c r="AA47" s="589"/>
      <c r="AB47" s="589"/>
      <c r="AC47" s="589"/>
      <c r="AD47" s="589"/>
      <c r="AE47" s="589"/>
      <c r="AF47" s="589"/>
      <c r="AG47" s="589"/>
      <c r="AH47" s="589"/>
      <c r="AI47" s="589"/>
      <c r="AJ47" s="589"/>
      <c r="AK47" s="589"/>
      <c r="AL47" s="589"/>
      <c r="AM47" s="589"/>
      <c r="AN47" s="589"/>
      <c r="AO47" s="589"/>
      <c r="AP47" s="589"/>
      <c r="AQ47" s="589"/>
      <c r="AR47" s="589"/>
      <c r="AS47" s="589"/>
      <c r="AT47" s="589"/>
      <c r="AU47" s="589"/>
      <c r="AV47" s="589"/>
      <c r="AW47" s="589"/>
      <c r="AX47" s="589"/>
      <c r="AY47" s="589"/>
      <c r="AZ47" s="589"/>
      <c r="BA47" s="589"/>
      <c r="BB47" s="589"/>
      <c r="BC47" s="589"/>
      <c r="BD47" s="589"/>
      <c r="BE47" s="589"/>
      <c r="BF47" s="589"/>
      <c r="BG47" s="589"/>
      <c r="BH47" s="589"/>
    </row>
    <row r="48" spans="1:60" x14ac:dyDescent="0.25">
      <c r="A48" s="603" t="s">
        <v>138</v>
      </c>
      <c r="B48" s="195" t="s">
        <v>139</v>
      </c>
      <c r="C48" s="195" t="s">
        <v>139</v>
      </c>
      <c r="D48" s="195" t="s">
        <v>140</v>
      </c>
      <c r="E48" s="596"/>
      <c r="F48" s="589"/>
      <c r="G48" s="589"/>
      <c r="H48" s="589"/>
      <c r="I48" s="589"/>
      <c r="J48" s="589"/>
      <c r="K48" s="589"/>
      <c r="L48" s="589"/>
      <c r="M48" s="589"/>
      <c r="N48" s="589"/>
      <c r="O48" s="589"/>
      <c r="P48" s="589"/>
      <c r="Q48" s="589"/>
      <c r="R48" s="589"/>
      <c r="S48" s="589"/>
      <c r="T48" s="589"/>
      <c r="U48" s="589"/>
      <c r="V48" s="589"/>
      <c r="W48" s="589"/>
      <c r="X48" s="589"/>
      <c r="Y48" s="589"/>
      <c r="Z48" s="589"/>
      <c r="AA48" s="589"/>
      <c r="AB48" s="589"/>
      <c r="AC48" s="589"/>
      <c r="AD48" s="589"/>
      <c r="AE48" s="589"/>
      <c r="AF48" s="589"/>
      <c r="AG48" s="589"/>
      <c r="AH48" s="589"/>
      <c r="AI48" s="589"/>
      <c r="AJ48" s="589"/>
      <c r="AK48" s="589"/>
      <c r="AL48" s="589"/>
      <c r="AM48" s="589"/>
      <c r="AN48" s="589"/>
      <c r="AO48" s="589"/>
      <c r="AP48" s="589"/>
      <c r="AQ48" s="589"/>
      <c r="AR48" s="589"/>
      <c r="AS48" s="589"/>
      <c r="AT48" s="589"/>
      <c r="AU48" s="589"/>
      <c r="AV48" s="589"/>
      <c r="AW48" s="589"/>
      <c r="AX48" s="589"/>
      <c r="AY48" s="589"/>
      <c r="AZ48" s="589"/>
      <c r="BA48" s="589"/>
      <c r="BB48" s="589"/>
      <c r="BC48" s="589"/>
      <c r="BD48" s="589"/>
      <c r="BE48" s="589"/>
      <c r="BF48" s="589"/>
      <c r="BG48" s="589"/>
      <c r="BH48" s="589"/>
    </row>
    <row r="49" spans="1:60" x14ac:dyDescent="0.25">
      <c r="A49" s="604"/>
      <c r="B49" s="196" t="s">
        <v>141</v>
      </c>
      <c r="C49" s="196" t="s">
        <v>142</v>
      </c>
      <c r="D49" s="196" t="s">
        <v>140</v>
      </c>
      <c r="E49" s="596"/>
      <c r="F49" s="589"/>
      <c r="G49" s="589"/>
      <c r="H49" s="589"/>
      <c r="I49" s="589"/>
      <c r="J49" s="589"/>
      <c r="K49" s="589"/>
      <c r="L49" s="589"/>
      <c r="M49" s="589"/>
      <c r="N49" s="589"/>
      <c r="O49" s="589"/>
      <c r="P49" s="589"/>
      <c r="Q49" s="589"/>
      <c r="R49" s="589"/>
      <c r="S49" s="589"/>
      <c r="T49" s="589"/>
      <c r="U49" s="589"/>
      <c r="V49" s="589"/>
      <c r="W49" s="589"/>
      <c r="X49" s="589"/>
      <c r="Y49" s="589"/>
      <c r="Z49" s="589"/>
      <c r="AA49" s="589"/>
      <c r="AB49" s="589"/>
      <c r="AC49" s="589"/>
      <c r="AD49" s="589"/>
      <c r="AE49" s="589"/>
      <c r="AF49" s="589"/>
      <c r="AG49" s="589"/>
      <c r="AH49" s="589"/>
      <c r="AI49" s="589"/>
      <c r="AJ49" s="589"/>
      <c r="AK49" s="589"/>
      <c r="AL49" s="589"/>
      <c r="AM49" s="589"/>
      <c r="AN49" s="589"/>
      <c r="AO49" s="589"/>
      <c r="AP49" s="589"/>
      <c r="AQ49" s="589"/>
      <c r="AR49" s="589"/>
      <c r="AS49" s="589"/>
      <c r="AT49" s="589"/>
      <c r="AU49" s="589"/>
      <c r="AV49" s="589"/>
      <c r="AW49" s="589"/>
      <c r="AX49" s="589"/>
      <c r="AY49" s="589"/>
      <c r="AZ49" s="589"/>
      <c r="BA49" s="589"/>
      <c r="BB49" s="589"/>
      <c r="BC49" s="589"/>
      <c r="BD49" s="589"/>
      <c r="BE49" s="589"/>
      <c r="BF49" s="589"/>
      <c r="BG49" s="589"/>
      <c r="BH49" s="589"/>
    </row>
    <row r="50" spans="1:60" x14ac:dyDescent="0.25">
      <c r="A50" s="605"/>
      <c r="B50" s="197" t="s">
        <v>143</v>
      </c>
      <c r="C50" s="197" t="s">
        <v>144</v>
      </c>
      <c r="D50" s="197"/>
      <c r="E50" s="596"/>
      <c r="F50" s="589"/>
      <c r="G50" s="589"/>
      <c r="H50" s="589"/>
      <c r="I50" s="589"/>
      <c r="J50" s="589"/>
      <c r="K50" s="589"/>
      <c r="L50" s="589"/>
      <c r="M50" s="589"/>
      <c r="N50" s="589"/>
      <c r="O50" s="589"/>
      <c r="P50" s="589"/>
      <c r="Q50" s="589"/>
      <c r="R50" s="589"/>
      <c r="S50" s="589"/>
      <c r="T50" s="589"/>
      <c r="U50" s="589"/>
      <c r="V50" s="589"/>
      <c r="W50" s="589"/>
      <c r="X50" s="589"/>
      <c r="Y50" s="589"/>
      <c r="Z50" s="589"/>
      <c r="AA50" s="589"/>
      <c r="AB50" s="589"/>
      <c r="AC50" s="589"/>
      <c r="AD50" s="589"/>
      <c r="AE50" s="589"/>
      <c r="AF50" s="589"/>
      <c r="AG50" s="589"/>
      <c r="AH50" s="589"/>
      <c r="AI50" s="589"/>
      <c r="AJ50" s="589"/>
      <c r="AK50" s="589"/>
      <c r="AL50" s="589"/>
      <c r="AM50" s="589"/>
      <c r="AN50" s="589"/>
      <c r="AO50" s="589"/>
      <c r="AP50" s="589"/>
      <c r="AQ50" s="589"/>
      <c r="AR50" s="589"/>
      <c r="AS50" s="589"/>
      <c r="AT50" s="589"/>
      <c r="AU50" s="589"/>
      <c r="AV50" s="589"/>
      <c r="AW50" s="589"/>
      <c r="AX50" s="589"/>
      <c r="AY50" s="589"/>
      <c r="AZ50" s="589"/>
      <c r="BA50" s="589"/>
      <c r="BB50" s="589"/>
      <c r="BC50" s="589"/>
      <c r="BD50" s="589"/>
      <c r="BE50" s="589"/>
      <c r="BF50" s="589"/>
      <c r="BG50" s="589"/>
      <c r="BH50" s="589"/>
    </row>
    <row r="51" spans="1:60" x14ac:dyDescent="0.25">
      <c r="A51" s="289"/>
      <c r="B51" s="289"/>
      <c r="C51" s="289"/>
      <c r="D51" s="512"/>
      <c r="E51" s="512"/>
      <c r="F51" s="512"/>
      <c r="G51" s="512"/>
      <c r="H51" s="512"/>
      <c r="I51" s="512"/>
      <c r="J51" s="512"/>
      <c r="K51" s="512"/>
      <c r="L51" s="512"/>
      <c r="M51" s="512"/>
      <c r="N51" s="512"/>
      <c r="O51" s="512"/>
      <c r="P51" s="512"/>
      <c r="Q51" s="512"/>
      <c r="R51" s="512"/>
      <c r="S51" s="512"/>
      <c r="T51" s="512"/>
      <c r="U51" s="512"/>
      <c r="V51" s="512"/>
      <c r="W51" s="512"/>
      <c r="X51" s="512"/>
      <c r="Y51" s="512"/>
      <c r="Z51" s="512"/>
      <c r="AA51" s="512"/>
      <c r="AB51" s="512"/>
      <c r="AC51" s="512"/>
      <c r="AD51" s="512"/>
      <c r="AE51" s="512"/>
      <c r="AF51" s="512"/>
      <c r="AG51" s="512"/>
      <c r="AH51" s="512"/>
      <c r="AI51" s="512"/>
      <c r="AJ51" s="512"/>
      <c r="AK51" s="512"/>
      <c r="AL51" s="512"/>
      <c r="AM51" s="512"/>
      <c r="AN51" s="512"/>
      <c r="AO51" s="512"/>
      <c r="AP51" s="512"/>
      <c r="AQ51" s="512"/>
      <c r="AR51" s="512"/>
      <c r="AS51" s="512"/>
      <c r="AT51" s="512"/>
      <c r="AU51" s="512"/>
      <c r="AV51" s="512"/>
      <c r="AW51" s="512"/>
      <c r="AX51" s="512"/>
      <c r="AY51" s="512"/>
      <c r="AZ51" s="512"/>
      <c r="BA51" s="512"/>
      <c r="BB51" s="512"/>
      <c r="BC51" s="512"/>
      <c r="BD51" s="512"/>
      <c r="BE51" s="512"/>
      <c r="BF51" s="512"/>
      <c r="BG51" s="512"/>
      <c r="BH51" s="512"/>
    </row>
    <row r="52" spans="1:60" x14ac:dyDescent="0.25">
      <c r="A52" s="607" t="s">
        <v>145</v>
      </c>
      <c r="B52" s="522" t="s">
        <v>146</v>
      </c>
      <c r="C52" s="609" t="s">
        <v>112</v>
      </c>
      <c r="D52" s="609" t="s">
        <v>112</v>
      </c>
      <c r="E52" s="596"/>
      <c r="F52" s="589"/>
      <c r="G52" s="589"/>
      <c r="H52" s="589"/>
      <c r="I52" s="589"/>
      <c r="J52" s="589"/>
      <c r="K52" s="589"/>
      <c r="L52" s="589"/>
      <c r="M52" s="589"/>
      <c r="N52" s="589"/>
      <c r="O52" s="589"/>
      <c r="P52" s="589"/>
      <c r="Q52" s="589"/>
      <c r="R52" s="589"/>
      <c r="S52" s="589"/>
      <c r="T52" s="589"/>
      <c r="U52" s="589"/>
      <c r="V52" s="589"/>
      <c r="W52" s="589"/>
      <c r="X52" s="589"/>
      <c r="Y52" s="589"/>
      <c r="Z52" s="589"/>
      <c r="AA52" s="589"/>
      <c r="AB52" s="589"/>
      <c r="AC52" s="589"/>
      <c r="AD52" s="589"/>
      <c r="AE52" s="589"/>
      <c r="AF52" s="589"/>
      <c r="AG52" s="589"/>
      <c r="AH52" s="589"/>
      <c r="AI52" s="589"/>
      <c r="AJ52" s="589"/>
      <c r="AK52" s="589"/>
      <c r="AL52" s="589"/>
      <c r="AM52" s="589"/>
      <c r="AN52" s="589"/>
      <c r="AO52" s="589"/>
      <c r="AP52" s="589"/>
      <c r="AQ52" s="589"/>
      <c r="AR52" s="589"/>
      <c r="AS52" s="589"/>
      <c r="AT52" s="589"/>
      <c r="AU52" s="589"/>
      <c r="AV52" s="589"/>
      <c r="AW52" s="589"/>
      <c r="AX52" s="589"/>
      <c r="AY52" s="589"/>
      <c r="AZ52" s="589"/>
      <c r="BA52" s="589"/>
      <c r="BB52" s="589"/>
      <c r="BC52" s="589"/>
      <c r="BD52" s="589"/>
      <c r="BE52" s="589"/>
      <c r="BF52" s="589"/>
      <c r="BG52" s="589"/>
      <c r="BH52" s="589"/>
    </row>
    <row r="53" spans="1:60" ht="26.4" x14ac:dyDescent="0.25">
      <c r="A53" s="608"/>
      <c r="B53" s="524" t="s">
        <v>147</v>
      </c>
      <c r="C53" s="610"/>
      <c r="D53" s="610"/>
      <c r="E53" s="596"/>
      <c r="F53" s="589"/>
      <c r="G53" s="589"/>
      <c r="H53" s="589"/>
      <c r="I53" s="589"/>
      <c r="J53" s="589"/>
      <c r="K53" s="589"/>
      <c r="L53" s="589"/>
      <c r="M53" s="589"/>
      <c r="N53" s="589"/>
      <c r="O53" s="589"/>
      <c r="P53" s="589"/>
      <c r="Q53" s="589"/>
      <c r="R53" s="589"/>
      <c r="S53" s="589"/>
      <c r="T53" s="589"/>
      <c r="U53" s="589"/>
      <c r="V53" s="589"/>
      <c r="W53" s="589"/>
      <c r="X53" s="589"/>
      <c r="Y53" s="589"/>
      <c r="Z53" s="589"/>
      <c r="AA53" s="589"/>
      <c r="AB53" s="589"/>
      <c r="AC53" s="589"/>
      <c r="AD53" s="589"/>
      <c r="AE53" s="589"/>
      <c r="AF53" s="589"/>
      <c r="AG53" s="589"/>
      <c r="AH53" s="589"/>
      <c r="AI53" s="589"/>
      <c r="AJ53" s="589"/>
      <c r="AK53" s="589"/>
      <c r="AL53" s="589"/>
      <c r="AM53" s="589"/>
      <c r="AN53" s="589"/>
      <c r="AO53" s="589"/>
      <c r="AP53" s="589"/>
      <c r="AQ53" s="589"/>
      <c r="AR53" s="589"/>
      <c r="AS53" s="589"/>
      <c r="AT53" s="589"/>
      <c r="AU53" s="589"/>
      <c r="AV53" s="589"/>
      <c r="AW53" s="589"/>
      <c r="AX53" s="589"/>
      <c r="AY53" s="589"/>
      <c r="AZ53" s="589"/>
      <c r="BA53" s="589"/>
      <c r="BB53" s="589"/>
      <c r="BC53" s="589"/>
      <c r="BD53" s="589"/>
      <c r="BE53" s="589"/>
      <c r="BF53" s="589"/>
      <c r="BG53" s="589"/>
      <c r="BH53" s="589"/>
    </row>
    <row r="54" spans="1:60" x14ac:dyDescent="0.25">
      <c r="A54" s="611" t="s">
        <v>148</v>
      </c>
      <c r="B54" s="522" t="s">
        <v>149</v>
      </c>
      <c r="C54" s="522" t="s">
        <v>150</v>
      </c>
      <c r="D54" s="522" t="s">
        <v>151</v>
      </c>
      <c r="E54" s="596"/>
      <c r="F54" s="589"/>
      <c r="G54" s="589"/>
      <c r="H54" s="589"/>
      <c r="I54" s="589"/>
      <c r="J54" s="589"/>
      <c r="K54" s="589"/>
      <c r="L54" s="589"/>
      <c r="M54" s="589"/>
      <c r="N54" s="589"/>
      <c r="O54" s="589"/>
      <c r="P54" s="589"/>
      <c r="Q54" s="589"/>
      <c r="R54" s="589"/>
      <c r="S54" s="589"/>
      <c r="T54" s="589"/>
      <c r="U54" s="589"/>
      <c r="V54" s="589"/>
      <c r="W54" s="589"/>
      <c r="X54" s="589"/>
      <c r="Y54" s="589"/>
      <c r="Z54" s="589"/>
      <c r="AA54" s="589"/>
      <c r="AB54" s="589"/>
      <c r="AC54" s="589"/>
      <c r="AD54" s="589"/>
      <c r="AE54" s="589"/>
      <c r="AF54" s="589"/>
      <c r="AG54" s="589"/>
      <c r="AH54" s="589"/>
      <c r="AI54" s="589"/>
      <c r="AJ54" s="589"/>
      <c r="AK54" s="589"/>
      <c r="AL54" s="589"/>
      <c r="AM54" s="589"/>
      <c r="AN54" s="589"/>
      <c r="AO54" s="589"/>
      <c r="AP54" s="589"/>
      <c r="AQ54" s="589"/>
      <c r="AR54" s="589"/>
      <c r="AS54" s="589"/>
      <c r="AT54" s="589"/>
      <c r="AU54" s="589"/>
      <c r="AV54" s="589"/>
      <c r="AW54" s="589"/>
      <c r="AX54" s="589"/>
      <c r="AY54" s="589"/>
      <c r="AZ54" s="589"/>
      <c r="BA54" s="589"/>
      <c r="BB54" s="589"/>
      <c r="BC54" s="589"/>
      <c r="BD54" s="589"/>
      <c r="BE54" s="589"/>
      <c r="BF54" s="589"/>
      <c r="BG54" s="589"/>
      <c r="BH54" s="589"/>
    </row>
    <row r="55" spans="1:60" x14ac:dyDescent="0.25">
      <c r="A55" s="612"/>
      <c r="B55" s="523" t="s">
        <v>152</v>
      </c>
      <c r="C55" s="523" t="s">
        <v>153</v>
      </c>
      <c r="D55" s="523" t="s">
        <v>154</v>
      </c>
      <c r="E55" s="596"/>
      <c r="F55" s="589"/>
      <c r="G55" s="589"/>
      <c r="H55" s="589"/>
      <c r="I55" s="589"/>
      <c r="J55" s="589"/>
      <c r="K55" s="589"/>
      <c r="L55" s="589"/>
      <c r="M55" s="589"/>
      <c r="N55" s="589"/>
      <c r="O55" s="589"/>
      <c r="P55" s="589"/>
      <c r="Q55" s="589"/>
      <c r="R55" s="589"/>
      <c r="S55" s="589"/>
      <c r="T55" s="589"/>
      <c r="U55" s="589"/>
      <c r="V55" s="589"/>
      <c r="W55" s="589"/>
      <c r="X55" s="589"/>
      <c r="Y55" s="589"/>
      <c r="Z55" s="589"/>
      <c r="AA55" s="589"/>
      <c r="AB55" s="589"/>
      <c r="AC55" s="589"/>
      <c r="AD55" s="589"/>
      <c r="AE55" s="589"/>
      <c r="AF55" s="589"/>
      <c r="AG55" s="589"/>
      <c r="AH55" s="589"/>
      <c r="AI55" s="589"/>
      <c r="AJ55" s="589"/>
      <c r="AK55" s="589"/>
      <c r="AL55" s="589"/>
      <c r="AM55" s="589"/>
      <c r="AN55" s="589"/>
      <c r="AO55" s="589"/>
      <c r="AP55" s="589"/>
      <c r="AQ55" s="589"/>
      <c r="AR55" s="589"/>
      <c r="AS55" s="589"/>
      <c r="AT55" s="589"/>
      <c r="AU55" s="589"/>
      <c r="AV55" s="589"/>
      <c r="AW55" s="589"/>
      <c r="AX55" s="589"/>
      <c r="AY55" s="589"/>
      <c r="AZ55" s="589"/>
      <c r="BA55" s="589"/>
      <c r="BB55" s="589"/>
      <c r="BC55" s="589"/>
      <c r="BD55" s="589"/>
      <c r="BE55" s="589"/>
      <c r="BF55" s="589"/>
      <c r="BG55" s="589"/>
      <c r="BH55" s="589"/>
    </row>
    <row r="56" spans="1:60" x14ac:dyDescent="0.25">
      <c r="A56" s="613"/>
      <c r="B56" s="198" t="s">
        <v>155</v>
      </c>
      <c r="C56" s="199" t="s">
        <v>156</v>
      </c>
      <c r="D56" s="524"/>
      <c r="E56" s="596"/>
      <c r="F56" s="589"/>
      <c r="G56" s="589"/>
      <c r="H56" s="589"/>
      <c r="I56" s="589"/>
      <c r="J56" s="589"/>
      <c r="K56" s="589"/>
      <c r="L56" s="589"/>
      <c r="M56" s="589"/>
      <c r="N56" s="589"/>
      <c r="O56" s="589"/>
      <c r="P56" s="589"/>
      <c r="Q56" s="589"/>
      <c r="R56" s="589"/>
      <c r="S56" s="589"/>
      <c r="T56" s="589"/>
      <c r="U56" s="589"/>
      <c r="V56" s="589"/>
      <c r="W56" s="589"/>
      <c r="X56" s="589"/>
      <c r="Y56" s="589"/>
      <c r="Z56" s="589"/>
      <c r="AA56" s="589"/>
      <c r="AB56" s="589"/>
      <c r="AC56" s="589"/>
      <c r="AD56" s="589"/>
      <c r="AE56" s="589"/>
      <c r="AF56" s="589"/>
      <c r="AG56" s="589"/>
      <c r="AH56" s="589"/>
      <c r="AI56" s="589"/>
      <c r="AJ56" s="589"/>
      <c r="AK56" s="589"/>
      <c r="AL56" s="589"/>
      <c r="AM56" s="589"/>
      <c r="AN56" s="589"/>
      <c r="AO56" s="589"/>
      <c r="AP56" s="589"/>
      <c r="AQ56" s="589"/>
      <c r="AR56" s="589"/>
      <c r="AS56" s="589"/>
      <c r="AT56" s="589"/>
      <c r="AU56" s="589"/>
      <c r="AV56" s="589"/>
      <c r="AW56" s="589"/>
      <c r="AX56" s="589"/>
      <c r="AY56" s="589"/>
      <c r="AZ56" s="589"/>
      <c r="BA56" s="589"/>
      <c r="BB56" s="589"/>
      <c r="BC56" s="589"/>
      <c r="BD56" s="589"/>
      <c r="BE56" s="589"/>
      <c r="BF56" s="589"/>
      <c r="BG56" s="589"/>
      <c r="BH56" s="589"/>
    </row>
    <row r="57" spans="1:60" x14ac:dyDescent="0.25">
      <c r="A57" s="200" t="s">
        <v>157</v>
      </c>
      <c r="B57" s="513" t="s">
        <v>158</v>
      </c>
      <c r="C57" s="513" t="s">
        <v>159</v>
      </c>
      <c r="D57" s="513" t="s">
        <v>160</v>
      </c>
      <c r="E57" s="512"/>
      <c r="F57" s="512"/>
      <c r="G57" s="512"/>
      <c r="H57" s="512"/>
      <c r="I57" s="512"/>
      <c r="J57" s="512"/>
      <c r="K57" s="512"/>
      <c r="L57" s="512"/>
      <c r="M57" s="512"/>
      <c r="N57" s="512"/>
      <c r="O57" s="512"/>
      <c r="P57" s="512"/>
      <c r="Q57" s="512"/>
      <c r="R57" s="512"/>
      <c r="S57" s="512"/>
      <c r="T57" s="512"/>
      <c r="U57" s="512"/>
      <c r="V57" s="512"/>
      <c r="W57" s="512"/>
      <c r="X57" s="512"/>
      <c r="Y57" s="512"/>
      <c r="Z57" s="512"/>
      <c r="AA57" s="512"/>
      <c r="AB57" s="512"/>
      <c r="AC57" s="512"/>
      <c r="AD57" s="512"/>
      <c r="AE57" s="512"/>
      <c r="AF57" s="512"/>
      <c r="AG57" s="512"/>
      <c r="AH57" s="512"/>
      <c r="AI57" s="512"/>
      <c r="AJ57" s="512"/>
      <c r="AK57" s="512"/>
      <c r="AL57" s="512"/>
      <c r="AM57" s="512"/>
      <c r="AN57" s="512"/>
      <c r="AO57" s="512"/>
      <c r="AP57" s="512"/>
      <c r="AQ57" s="512"/>
      <c r="AR57" s="512"/>
      <c r="AS57" s="512"/>
      <c r="AT57" s="512"/>
      <c r="AU57" s="512"/>
      <c r="AV57" s="512"/>
      <c r="AW57" s="512"/>
      <c r="AX57" s="512"/>
      <c r="AY57" s="512"/>
      <c r="AZ57" s="512"/>
      <c r="BA57" s="512"/>
      <c r="BB57" s="512"/>
      <c r="BC57" s="512"/>
      <c r="BD57" s="512"/>
      <c r="BE57" s="512"/>
      <c r="BF57" s="512"/>
      <c r="BG57" s="512"/>
      <c r="BH57" s="512"/>
    </row>
  </sheetData>
  <mergeCells count="462">
    <mergeCell ref="BG54:BG56"/>
    <mergeCell ref="BH54:BH56"/>
    <mergeCell ref="BB54:BB56"/>
    <mergeCell ref="BC54:BC56"/>
    <mergeCell ref="BD54:BD56"/>
    <mergeCell ref="BE54:BE56"/>
    <mergeCell ref="BF54:BF56"/>
    <mergeCell ref="AW54:AW56"/>
    <mergeCell ref="AX54:AX56"/>
    <mergeCell ref="AY54:AY56"/>
    <mergeCell ref="AZ54:AZ56"/>
    <mergeCell ref="BA54:BA56"/>
    <mergeCell ref="AR54:AR56"/>
    <mergeCell ref="AS54:AS56"/>
    <mergeCell ref="AT54:AT56"/>
    <mergeCell ref="AU54:AU56"/>
    <mergeCell ref="AV54:AV56"/>
    <mergeCell ref="AM54:AM56"/>
    <mergeCell ref="AN54:AN56"/>
    <mergeCell ref="AO54:AO56"/>
    <mergeCell ref="AP54:AP56"/>
    <mergeCell ref="AQ54:AQ56"/>
    <mergeCell ref="AH54:AH56"/>
    <mergeCell ref="AI54:AI56"/>
    <mergeCell ref="AJ54:AJ56"/>
    <mergeCell ref="AK54:AK56"/>
    <mergeCell ref="AL54:AL56"/>
    <mergeCell ref="AC54:AC56"/>
    <mergeCell ref="AD54:AD56"/>
    <mergeCell ref="AE54:AE56"/>
    <mergeCell ref="AF54:AF56"/>
    <mergeCell ref="AG54:AG56"/>
    <mergeCell ref="X54:X56"/>
    <mergeCell ref="Y54:Y56"/>
    <mergeCell ref="Z54:Z56"/>
    <mergeCell ref="AA54:AA56"/>
    <mergeCell ref="AB54:AB56"/>
    <mergeCell ref="S54:S56"/>
    <mergeCell ref="T54:T56"/>
    <mergeCell ref="U54:U56"/>
    <mergeCell ref="V54:V56"/>
    <mergeCell ref="W54:W56"/>
    <mergeCell ref="BH52:BH53"/>
    <mergeCell ref="A54:A56"/>
    <mergeCell ref="E54:E56"/>
    <mergeCell ref="F54:F56"/>
    <mergeCell ref="G54:G56"/>
    <mergeCell ref="H54:H56"/>
    <mergeCell ref="I54:I56"/>
    <mergeCell ref="J54:J56"/>
    <mergeCell ref="K54:K56"/>
    <mergeCell ref="L54:L56"/>
    <mergeCell ref="M54:M56"/>
    <mergeCell ref="N54:N56"/>
    <mergeCell ref="O54:O56"/>
    <mergeCell ref="P54:P56"/>
    <mergeCell ref="Q54:Q56"/>
    <mergeCell ref="R54:R56"/>
    <mergeCell ref="BC52:BC53"/>
    <mergeCell ref="BD52:BD53"/>
    <mergeCell ref="BE52:BE53"/>
    <mergeCell ref="BF52:BF53"/>
    <mergeCell ref="BG52:BG53"/>
    <mergeCell ref="AX52:AX53"/>
    <mergeCell ref="AY52:AY53"/>
    <mergeCell ref="AZ52:AZ53"/>
    <mergeCell ref="BA52:BA53"/>
    <mergeCell ref="BB52:BB53"/>
    <mergeCell ref="AS52:AS53"/>
    <mergeCell ref="AT52:AT53"/>
    <mergeCell ref="AU52:AU53"/>
    <mergeCell ref="AV52:AV53"/>
    <mergeCell ref="AW52:AW53"/>
    <mergeCell ref="AN52:AN53"/>
    <mergeCell ref="AO52:AO53"/>
    <mergeCell ref="AP52:AP53"/>
    <mergeCell ref="AQ52:AQ53"/>
    <mergeCell ref="AR52:AR53"/>
    <mergeCell ref="AI52:AI53"/>
    <mergeCell ref="AJ52:AJ53"/>
    <mergeCell ref="AK52:AK53"/>
    <mergeCell ref="AL52:AL53"/>
    <mergeCell ref="AM52:AM53"/>
    <mergeCell ref="AD52:AD53"/>
    <mergeCell ref="AE52:AE53"/>
    <mergeCell ref="AF52:AF53"/>
    <mergeCell ref="AG52:AG53"/>
    <mergeCell ref="AH52:AH53"/>
    <mergeCell ref="Y52:Y53"/>
    <mergeCell ref="Z52:Z53"/>
    <mergeCell ref="AA52:AA53"/>
    <mergeCell ref="AB52:AB53"/>
    <mergeCell ref="AC52:AC53"/>
    <mergeCell ref="T52:T53"/>
    <mergeCell ref="U52:U53"/>
    <mergeCell ref="V52:V53"/>
    <mergeCell ref="W52:W53"/>
    <mergeCell ref="X52:X53"/>
    <mergeCell ref="O52:O53"/>
    <mergeCell ref="P52:P53"/>
    <mergeCell ref="Q52:Q53"/>
    <mergeCell ref="R52:R53"/>
    <mergeCell ref="S52:S53"/>
    <mergeCell ref="BF48:BF50"/>
    <mergeCell ref="BG48:BG50"/>
    <mergeCell ref="BH48:BH50"/>
    <mergeCell ref="A52:A53"/>
    <mergeCell ref="C52:C53"/>
    <mergeCell ref="D52:D53"/>
    <mergeCell ref="E52:E53"/>
    <mergeCell ref="F52:F53"/>
    <mergeCell ref="G52:G53"/>
    <mergeCell ref="H52:H53"/>
    <mergeCell ref="I52:I53"/>
    <mergeCell ref="J52:J53"/>
    <mergeCell ref="K52:K53"/>
    <mergeCell ref="L52:L53"/>
    <mergeCell ref="M52:M53"/>
    <mergeCell ref="N52:N53"/>
    <mergeCell ref="BA48:BA50"/>
    <mergeCell ref="BB48:BB50"/>
    <mergeCell ref="BC48:BC50"/>
    <mergeCell ref="BD48:BD50"/>
    <mergeCell ref="BE48:BE50"/>
    <mergeCell ref="AV48:AV50"/>
    <mergeCell ref="AW48:AW50"/>
    <mergeCell ref="AX48:AX50"/>
    <mergeCell ref="AY48:AY50"/>
    <mergeCell ref="AZ48:AZ50"/>
    <mergeCell ref="AQ48:AQ50"/>
    <mergeCell ref="AR48:AR50"/>
    <mergeCell ref="AS48:AS50"/>
    <mergeCell ref="AT48:AT50"/>
    <mergeCell ref="AU48:AU50"/>
    <mergeCell ref="AL48:AL50"/>
    <mergeCell ref="AM48:AM50"/>
    <mergeCell ref="AN48:AN50"/>
    <mergeCell ref="AO48:AO50"/>
    <mergeCell ref="AP48:AP50"/>
    <mergeCell ref="AG48:AG50"/>
    <mergeCell ref="AH48:AH50"/>
    <mergeCell ref="AI48:AI50"/>
    <mergeCell ref="AJ48:AJ50"/>
    <mergeCell ref="AK48:AK50"/>
    <mergeCell ref="AB48:AB50"/>
    <mergeCell ref="AC48:AC50"/>
    <mergeCell ref="AD48:AD50"/>
    <mergeCell ref="AE48:AE50"/>
    <mergeCell ref="AF48:AF50"/>
    <mergeCell ref="W48:W50"/>
    <mergeCell ref="X48:X50"/>
    <mergeCell ref="Y48:Y50"/>
    <mergeCell ref="Z48:Z50"/>
    <mergeCell ref="AA48:AA50"/>
    <mergeCell ref="R48:R50"/>
    <mergeCell ref="S48:S50"/>
    <mergeCell ref="T48:T50"/>
    <mergeCell ref="U48:U50"/>
    <mergeCell ref="V48:V50"/>
    <mergeCell ref="BG44:BG47"/>
    <mergeCell ref="BH44:BH47"/>
    <mergeCell ref="A48:A50"/>
    <mergeCell ref="E48:E50"/>
    <mergeCell ref="F48:F50"/>
    <mergeCell ref="G48:G50"/>
    <mergeCell ref="H48:H50"/>
    <mergeCell ref="I48:I50"/>
    <mergeCell ref="J48:J50"/>
    <mergeCell ref="K48:K50"/>
    <mergeCell ref="L48:L50"/>
    <mergeCell ref="M48:M50"/>
    <mergeCell ref="N48:N50"/>
    <mergeCell ref="O48:O50"/>
    <mergeCell ref="P48:P50"/>
    <mergeCell ref="Q48:Q50"/>
    <mergeCell ref="BB44:BB47"/>
    <mergeCell ref="BC44:BC47"/>
    <mergeCell ref="BD44:BD47"/>
    <mergeCell ref="BE44:BE47"/>
    <mergeCell ref="BF44:BF47"/>
    <mergeCell ref="AW44:AW47"/>
    <mergeCell ref="AX44:AX47"/>
    <mergeCell ref="AY44:AY47"/>
    <mergeCell ref="AZ44:AZ47"/>
    <mergeCell ref="BA44:BA47"/>
    <mergeCell ref="AR44:AR47"/>
    <mergeCell ref="AS44:AS47"/>
    <mergeCell ref="AT44:AT47"/>
    <mergeCell ref="AU44:AU47"/>
    <mergeCell ref="AV44:AV47"/>
    <mergeCell ref="AM44:AM47"/>
    <mergeCell ref="AN44:AN47"/>
    <mergeCell ref="AO44:AO47"/>
    <mergeCell ref="AP44:AP47"/>
    <mergeCell ref="AQ44:AQ47"/>
    <mergeCell ref="AH44:AH47"/>
    <mergeCell ref="AI44:AI47"/>
    <mergeCell ref="AJ44:AJ47"/>
    <mergeCell ref="AK44:AK47"/>
    <mergeCell ref="AL44:AL47"/>
    <mergeCell ref="AC44:AC47"/>
    <mergeCell ref="AD44:AD47"/>
    <mergeCell ref="AE44:AE47"/>
    <mergeCell ref="AF44:AF47"/>
    <mergeCell ref="AG44:AG47"/>
    <mergeCell ref="X44:X47"/>
    <mergeCell ref="Y44:Y47"/>
    <mergeCell ref="Z44:Z47"/>
    <mergeCell ref="AA44:AA47"/>
    <mergeCell ref="AB44:AB47"/>
    <mergeCell ref="S44:S47"/>
    <mergeCell ref="T44:T47"/>
    <mergeCell ref="U44:U47"/>
    <mergeCell ref="V44:V47"/>
    <mergeCell ref="W44:W47"/>
    <mergeCell ref="N44:N47"/>
    <mergeCell ref="O44:O47"/>
    <mergeCell ref="P44:P47"/>
    <mergeCell ref="Q44:Q47"/>
    <mergeCell ref="R44:R47"/>
    <mergeCell ref="I44:I47"/>
    <mergeCell ref="J44:J47"/>
    <mergeCell ref="K44:K47"/>
    <mergeCell ref="L44:L47"/>
    <mergeCell ref="M44:M47"/>
    <mergeCell ref="A44:A47"/>
    <mergeCell ref="E44:E47"/>
    <mergeCell ref="F44:F47"/>
    <mergeCell ref="G44:G47"/>
    <mergeCell ref="H44:H47"/>
    <mergeCell ref="BD39:BD41"/>
    <mergeCell ref="BE39:BE41"/>
    <mergeCell ref="BF39:BF41"/>
    <mergeCell ref="BG39:BG41"/>
    <mergeCell ref="BH39:BH41"/>
    <mergeCell ref="AY39:AY41"/>
    <mergeCell ref="AZ39:AZ41"/>
    <mergeCell ref="BA39:BA41"/>
    <mergeCell ref="BB39:BB41"/>
    <mergeCell ref="BC39:BC41"/>
    <mergeCell ref="AT39:AT41"/>
    <mergeCell ref="AU39:AU41"/>
    <mergeCell ref="AV39:AV41"/>
    <mergeCell ref="AW39:AW41"/>
    <mergeCell ref="AX39:AX41"/>
    <mergeCell ref="AO39:AO41"/>
    <mergeCell ref="AP39:AP41"/>
    <mergeCell ref="AQ39:AQ41"/>
    <mergeCell ref="AR39:AR41"/>
    <mergeCell ref="AS39:AS41"/>
    <mergeCell ref="AJ39:AJ41"/>
    <mergeCell ref="AK39:AK41"/>
    <mergeCell ref="AL39:AL41"/>
    <mergeCell ref="AM39:AM41"/>
    <mergeCell ref="AN39:AN41"/>
    <mergeCell ref="AE39:AE41"/>
    <mergeCell ref="AF39:AF41"/>
    <mergeCell ref="AG39:AG41"/>
    <mergeCell ref="AH39:AH41"/>
    <mergeCell ref="AI39:AI41"/>
    <mergeCell ref="Z39:Z41"/>
    <mergeCell ref="AA39:AA41"/>
    <mergeCell ref="AB39:AB41"/>
    <mergeCell ref="AC39:AC41"/>
    <mergeCell ref="AD39:AD41"/>
    <mergeCell ref="U39:U41"/>
    <mergeCell ref="V39:V41"/>
    <mergeCell ref="W39:W41"/>
    <mergeCell ref="X39:X41"/>
    <mergeCell ref="Y39:Y41"/>
    <mergeCell ref="P39:P41"/>
    <mergeCell ref="Q39:Q41"/>
    <mergeCell ref="R39:R41"/>
    <mergeCell ref="S39:S41"/>
    <mergeCell ref="T39:T41"/>
    <mergeCell ref="BE36:BE38"/>
    <mergeCell ref="BF36:BF38"/>
    <mergeCell ref="BG36:BG38"/>
    <mergeCell ref="BH36:BH38"/>
    <mergeCell ref="AG36:AG38"/>
    <mergeCell ref="AH36:AH38"/>
    <mergeCell ref="AI36:AI38"/>
    <mergeCell ref="AJ36:AJ38"/>
    <mergeCell ref="AA36:AA38"/>
    <mergeCell ref="AB36:AB38"/>
    <mergeCell ref="AC36:AC38"/>
    <mergeCell ref="AD36:AD38"/>
    <mergeCell ref="AE36:AE38"/>
    <mergeCell ref="V36:V38"/>
    <mergeCell ref="W36:W38"/>
    <mergeCell ref="X36:X38"/>
    <mergeCell ref="Y36:Y38"/>
    <mergeCell ref="Z36:Z38"/>
    <mergeCell ref="Q36:Q38"/>
    <mergeCell ref="A39:A41"/>
    <mergeCell ref="E39:E41"/>
    <mergeCell ref="F39:F41"/>
    <mergeCell ref="G39:G41"/>
    <mergeCell ref="H39:H41"/>
    <mergeCell ref="I39:I41"/>
    <mergeCell ref="J39:J41"/>
    <mergeCell ref="K39:K41"/>
    <mergeCell ref="L39:L41"/>
    <mergeCell ref="M39:M41"/>
    <mergeCell ref="N39:N41"/>
    <mergeCell ref="O39:O41"/>
    <mergeCell ref="AZ36:AZ38"/>
    <mergeCell ref="BA36:BA38"/>
    <mergeCell ref="BB36:BB38"/>
    <mergeCell ref="BC36:BC38"/>
    <mergeCell ref="BD36:BD38"/>
    <mergeCell ref="AU36:AU38"/>
    <mergeCell ref="AV36:AV38"/>
    <mergeCell ref="AW36:AW38"/>
    <mergeCell ref="AX36:AX38"/>
    <mergeCell ref="AY36:AY38"/>
    <mergeCell ref="AP36:AP38"/>
    <mergeCell ref="AQ36:AQ38"/>
    <mergeCell ref="AR36:AR38"/>
    <mergeCell ref="AS36:AS38"/>
    <mergeCell ref="AT36:AT38"/>
    <mergeCell ref="AK36:AK38"/>
    <mergeCell ref="AL36:AL38"/>
    <mergeCell ref="AM36:AM38"/>
    <mergeCell ref="AN36:AN38"/>
    <mergeCell ref="AO36:AO38"/>
    <mergeCell ref="AF36:AF38"/>
    <mergeCell ref="R36:R38"/>
    <mergeCell ref="S36:S38"/>
    <mergeCell ref="T36:T38"/>
    <mergeCell ref="U36:U38"/>
    <mergeCell ref="L36:L38"/>
    <mergeCell ref="M36:M38"/>
    <mergeCell ref="N36:N38"/>
    <mergeCell ref="O36:O38"/>
    <mergeCell ref="P36:P38"/>
    <mergeCell ref="G36:G38"/>
    <mergeCell ref="H36:H38"/>
    <mergeCell ref="I36:I38"/>
    <mergeCell ref="J36:J38"/>
    <mergeCell ref="K36:K38"/>
    <mergeCell ref="A36:A38"/>
    <mergeCell ref="C36:C38"/>
    <mergeCell ref="D36:D38"/>
    <mergeCell ref="E36:E38"/>
    <mergeCell ref="F36:F38"/>
    <mergeCell ref="BD33:BD35"/>
    <mergeCell ref="BE33:BE35"/>
    <mergeCell ref="BF33:BF35"/>
    <mergeCell ref="BG33:BG35"/>
    <mergeCell ref="BH33:BH35"/>
    <mergeCell ref="AY33:AY35"/>
    <mergeCell ref="AZ33:AZ35"/>
    <mergeCell ref="BA33:BA35"/>
    <mergeCell ref="BB33:BB35"/>
    <mergeCell ref="BC33:BC35"/>
    <mergeCell ref="AT33:AT35"/>
    <mergeCell ref="AU33:AU35"/>
    <mergeCell ref="AV33:AV35"/>
    <mergeCell ref="AW33:AW35"/>
    <mergeCell ref="AX33:AX35"/>
    <mergeCell ref="AO33:AO35"/>
    <mergeCell ref="AP33:AP35"/>
    <mergeCell ref="AQ33:AQ35"/>
    <mergeCell ref="AR33:AR35"/>
    <mergeCell ref="AS33:AS35"/>
    <mergeCell ref="AJ33:AJ35"/>
    <mergeCell ref="AK33:AK35"/>
    <mergeCell ref="AL33:AL35"/>
    <mergeCell ref="AM33:AM35"/>
    <mergeCell ref="AN33:AN35"/>
    <mergeCell ref="AE33:AE35"/>
    <mergeCell ref="AF33:AF35"/>
    <mergeCell ref="AG33:AG35"/>
    <mergeCell ref="AH33:AH35"/>
    <mergeCell ref="AI33:AI35"/>
    <mergeCell ref="Z33:Z35"/>
    <mergeCell ref="AA33:AA35"/>
    <mergeCell ref="AB33:AB35"/>
    <mergeCell ref="AC33:AC35"/>
    <mergeCell ref="AD33:AD35"/>
    <mergeCell ref="U33:U35"/>
    <mergeCell ref="V33:V35"/>
    <mergeCell ref="W33:W35"/>
    <mergeCell ref="X33:X35"/>
    <mergeCell ref="Y33:Y35"/>
    <mergeCell ref="P33:P35"/>
    <mergeCell ref="Q33:Q35"/>
    <mergeCell ref="R33:R35"/>
    <mergeCell ref="S33:S35"/>
    <mergeCell ref="T33:T35"/>
    <mergeCell ref="BE30:BE32"/>
    <mergeCell ref="BF30:BF32"/>
    <mergeCell ref="BG30:BG32"/>
    <mergeCell ref="BH30:BH32"/>
    <mergeCell ref="AG30:AG32"/>
    <mergeCell ref="AH30:AH32"/>
    <mergeCell ref="AI30:AI32"/>
    <mergeCell ref="AJ30:AJ32"/>
    <mergeCell ref="AA30:AA32"/>
    <mergeCell ref="AB30:AB32"/>
    <mergeCell ref="AC30:AC32"/>
    <mergeCell ref="AD30:AD32"/>
    <mergeCell ref="AE30:AE32"/>
    <mergeCell ref="V30:V32"/>
    <mergeCell ref="W30:W32"/>
    <mergeCell ref="X30:X32"/>
    <mergeCell ref="Y30:Y32"/>
    <mergeCell ref="Z30:Z32"/>
    <mergeCell ref="Q30:Q32"/>
    <mergeCell ref="A33:A35"/>
    <mergeCell ref="E33:E35"/>
    <mergeCell ref="F33:F35"/>
    <mergeCell ref="G33:G35"/>
    <mergeCell ref="H33:H35"/>
    <mergeCell ref="I33:I35"/>
    <mergeCell ref="J33:J35"/>
    <mergeCell ref="K33:K35"/>
    <mergeCell ref="L33:L35"/>
    <mergeCell ref="M33:M35"/>
    <mergeCell ref="N33:N35"/>
    <mergeCell ref="O33:O35"/>
    <mergeCell ref="AZ30:AZ32"/>
    <mergeCell ref="BA30:BA32"/>
    <mergeCell ref="BB30:BB32"/>
    <mergeCell ref="BC30:BC32"/>
    <mergeCell ref="BD30:BD32"/>
    <mergeCell ref="AU30:AU32"/>
    <mergeCell ref="AV30:AV32"/>
    <mergeCell ref="AW30:AW32"/>
    <mergeCell ref="AX30:AX32"/>
    <mergeCell ref="AY30:AY32"/>
    <mergeCell ref="AP30:AP32"/>
    <mergeCell ref="AQ30:AQ32"/>
    <mergeCell ref="AR30:AR32"/>
    <mergeCell ref="AS30:AS32"/>
    <mergeCell ref="AT30:AT32"/>
    <mergeCell ref="AK30:AK32"/>
    <mergeCell ref="AL30:AL32"/>
    <mergeCell ref="AM30:AM32"/>
    <mergeCell ref="AN30:AN32"/>
    <mergeCell ref="AO30:AO32"/>
    <mergeCell ref="AF30:AF32"/>
    <mergeCell ref="R30:R32"/>
    <mergeCell ref="S30:S32"/>
    <mergeCell ref="T30:T32"/>
    <mergeCell ref="U30:U32"/>
    <mergeCell ref="L30:L32"/>
    <mergeCell ref="M30:M32"/>
    <mergeCell ref="N30:N32"/>
    <mergeCell ref="O30:O32"/>
    <mergeCell ref="P30:P32"/>
    <mergeCell ref="G30:G32"/>
    <mergeCell ref="H30:H32"/>
    <mergeCell ref="I30:I32"/>
    <mergeCell ref="J30:J32"/>
    <mergeCell ref="K30:K32"/>
    <mergeCell ref="A1:C1"/>
    <mergeCell ref="A2:C2"/>
    <mergeCell ref="A30:A32"/>
    <mergeCell ref="E30:E32"/>
    <mergeCell ref="F30:F32"/>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DC9C1-ABE9-4C74-8C0A-F769CBEC5074}">
  <sheetPr codeName="Sheet5"/>
  <dimension ref="A1:R13"/>
  <sheetViews>
    <sheetView zoomScale="85" zoomScaleNormal="85" workbookViewId="0">
      <selection sqref="A1:L1"/>
    </sheetView>
  </sheetViews>
  <sheetFormatPr defaultColWidth="8.6640625" defaultRowHeight="13.2" x14ac:dyDescent="0.25"/>
  <cols>
    <col min="1" max="1" width="19.88671875" style="4" customWidth="1"/>
    <col min="2" max="2" width="37.33203125" style="4" customWidth="1"/>
    <col min="3" max="3" width="40.44140625" style="4" customWidth="1"/>
    <col min="4" max="5" width="25" style="4" customWidth="1"/>
    <col min="6" max="6" width="17.33203125" style="4" customWidth="1"/>
    <col min="7" max="7" width="14.6640625" style="4" customWidth="1"/>
    <col min="8" max="8" width="12.6640625" style="4" customWidth="1"/>
    <col min="9" max="9" width="12" style="4" bestFit="1" customWidth="1"/>
    <col min="10" max="11" width="11.33203125" style="4" customWidth="1"/>
    <col min="12" max="13" width="32.5546875" style="4" customWidth="1"/>
    <col min="14" max="14" width="10.109375" style="4" customWidth="1"/>
    <col min="15" max="15" width="12.6640625" style="4" customWidth="1"/>
    <col min="16" max="16" width="25.33203125" style="4" customWidth="1"/>
    <col min="17" max="17" width="22.33203125" style="4" bestFit="1" customWidth="1"/>
    <col min="18" max="18" width="18.33203125" style="4" customWidth="1"/>
    <col min="19" max="19" width="25.6640625" style="4" customWidth="1"/>
    <col min="20" max="20" width="22.6640625" style="4" customWidth="1"/>
    <col min="21" max="21" width="16.33203125" style="4" customWidth="1"/>
    <col min="22" max="22" width="6.6640625" style="4" bestFit="1" customWidth="1"/>
    <col min="23" max="27" width="17.33203125" style="4" customWidth="1"/>
    <col min="28" max="16384" width="8.6640625" style="4"/>
  </cols>
  <sheetData>
    <row r="1" spans="1:18" ht="25.95" customHeight="1" x14ac:dyDescent="0.25">
      <c r="A1" s="570" t="str">
        <f>"Proposed Layout - "&amp;Prototype!A2</f>
        <v>Proposed Layout - Warehouse</v>
      </c>
      <c r="B1" s="618"/>
      <c r="C1" s="618"/>
      <c r="D1" s="618"/>
      <c r="E1" s="618"/>
      <c r="F1" s="618"/>
      <c r="G1" s="618"/>
      <c r="H1" s="618"/>
      <c r="I1" s="618"/>
      <c r="J1" s="618"/>
      <c r="K1" s="618"/>
      <c r="L1" s="618"/>
      <c r="M1" s="152"/>
    </row>
    <row r="2" spans="1:18" ht="46.5" customHeight="1" x14ac:dyDescent="0.25">
      <c r="A2" s="453" t="s">
        <v>161</v>
      </c>
      <c r="B2" s="448" t="s">
        <v>162</v>
      </c>
      <c r="C2" s="534" t="s">
        <v>163</v>
      </c>
      <c r="D2" s="31" t="s">
        <v>164</v>
      </c>
      <c r="E2" s="295" t="s">
        <v>165</v>
      </c>
      <c r="F2" s="30" t="s">
        <v>166</v>
      </c>
      <c r="G2" s="31" t="s">
        <v>167</v>
      </c>
      <c r="H2" s="534" t="s">
        <v>168</v>
      </c>
      <c r="I2" s="30" t="s">
        <v>169</v>
      </c>
      <c r="J2" s="30" t="s">
        <v>170</v>
      </c>
      <c r="K2" s="262" t="s">
        <v>171</v>
      </c>
      <c r="L2" s="30" t="s">
        <v>172</v>
      </c>
      <c r="M2" s="31" t="s">
        <v>48</v>
      </c>
      <c r="O2" s="614"/>
      <c r="P2" s="615"/>
      <c r="Q2" s="39"/>
      <c r="R2" s="39"/>
    </row>
    <row r="3" spans="1:18" ht="17.7" customHeight="1" x14ac:dyDescent="0.25">
      <c r="A3" s="454" t="s">
        <v>49</v>
      </c>
      <c r="B3" s="449" t="s">
        <v>173</v>
      </c>
      <c r="C3" s="520" t="s">
        <v>174</v>
      </c>
      <c r="D3" s="213" t="s">
        <v>175</v>
      </c>
      <c r="E3" s="296" t="s">
        <v>173</v>
      </c>
      <c r="F3" s="78" t="s">
        <v>176</v>
      </c>
      <c r="G3" s="273">
        <f>H3/$H$6</f>
        <v>4.8991229325835724E-2</v>
      </c>
      <c r="H3" s="79">
        <v>2549.75</v>
      </c>
      <c r="I3" s="79">
        <f>H3*14</f>
        <v>35696.5</v>
      </c>
      <c r="J3" s="78">
        <v>1</v>
      </c>
      <c r="K3" s="19">
        <f>L3*H3/1000</f>
        <v>12.748749999999999</v>
      </c>
      <c r="L3" s="20">
        <v>5</v>
      </c>
      <c r="M3" s="396"/>
      <c r="O3" s="616"/>
      <c r="P3" s="617"/>
      <c r="Q3" s="39"/>
      <c r="R3" s="39"/>
    </row>
    <row r="4" spans="1:18" ht="17.7" customHeight="1" x14ac:dyDescent="0.25">
      <c r="A4" s="454" t="s">
        <v>49</v>
      </c>
      <c r="B4" s="449" t="s">
        <v>177</v>
      </c>
      <c r="C4" s="520" t="s">
        <v>178</v>
      </c>
      <c r="D4" s="213" t="s">
        <v>179</v>
      </c>
      <c r="E4" s="296" t="s">
        <v>177</v>
      </c>
      <c r="F4" s="78" t="s">
        <v>176</v>
      </c>
      <c r="G4" s="273">
        <f t="shared" ref="G4:G5" si="0">H4/$H$6</f>
        <v>0.28818409750172108</v>
      </c>
      <c r="H4" s="79">
        <f>12448.8+2549.75</f>
        <v>14998.55</v>
      </c>
      <c r="I4" s="80">
        <f>(H4-H3)*28+H3*(Prototype!B15-14)</f>
        <v>384262.89999999997</v>
      </c>
      <c r="J4" s="19">
        <v>1</v>
      </c>
      <c r="K4" s="19">
        <f>L4*H4/1000</f>
        <v>14.99855</v>
      </c>
      <c r="L4" s="20">
        <v>1</v>
      </c>
      <c r="M4" s="20"/>
      <c r="O4" s="616"/>
      <c r="P4" s="617"/>
      <c r="Q4" s="39"/>
      <c r="R4" s="39"/>
    </row>
    <row r="5" spans="1:18" ht="17.7" customHeight="1" x14ac:dyDescent="0.25">
      <c r="A5" s="454" t="s">
        <v>49</v>
      </c>
      <c r="B5" s="449" t="s">
        <v>180</v>
      </c>
      <c r="C5" s="520" t="s">
        <v>178</v>
      </c>
      <c r="D5" s="213" t="s">
        <v>181</v>
      </c>
      <c r="E5" s="296" t="s">
        <v>180</v>
      </c>
      <c r="F5" s="78" t="s">
        <v>176</v>
      </c>
      <c r="G5" s="273">
        <f t="shared" si="0"/>
        <v>0.6628246731724432</v>
      </c>
      <c r="H5" s="79">
        <v>34496.730000000003</v>
      </c>
      <c r="I5" s="19">
        <f>H5*Prototype!B15</f>
        <v>965908.44000000006</v>
      </c>
      <c r="J5" s="19">
        <v>1</v>
      </c>
      <c r="K5" s="19">
        <f>L5*H5/1000</f>
        <v>34.496730000000007</v>
      </c>
      <c r="L5" s="20">
        <v>1</v>
      </c>
      <c r="M5" s="20"/>
      <c r="O5" s="616"/>
      <c r="P5" s="617"/>
      <c r="Q5" s="39"/>
      <c r="R5" s="39"/>
    </row>
    <row r="6" spans="1:18" ht="26.4" x14ac:dyDescent="0.25">
      <c r="A6" s="454" t="s">
        <v>182</v>
      </c>
      <c r="B6" s="450" t="s">
        <v>183</v>
      </c>
      <c r="C6" s="451" t="s">
        <v>184</v>
      </c>
      <c r="D6" s="452" t="s">
        <v>185</v>
      </c>
      <c r="E6" s="83"/>
      <c r="F6" s="287" t="s">
        <v>186</v>
      </c>
      <c r="G6" s="274">
        <f>SUM(G3:G5)</f>
        <v>1</v>
      </c>
      <c r="H6" s="21">
        <f>SUM(H3:H5)</f>
        <v>52045.03</v>
      </c>
      <c r="I6" s="19">
        <f>SUM(I3:I5)</f>
        <v>1385867.84</v>
      </c>
      <c r="J6" s="19"/>
      <c r="K6" s="19">
        <f>SUM(K3:K5)</f>
        <v>62.244030000000009</v>
      </c>
      <c r="L6" s="20"/>
      <c r="M6" s="20"/>
      <c r="O6" s="616"/>
      <c r="P6" s="617"/>
      <c r="Q6" s="39"/>
      <c r="R6" s="39"/>
    </row>
    <row r="7" spans="1:18" ht="15" customHeight="1" x14ac:dyDescent="0.25">
      <c r="H7" s="22"/>
      <c r="I7" s="22"/>
      <c r="J7" s="22"/>
      <c r="K7" s="22"/>
      <c r="L7" s="23"/>
      <c r="M7" s="23"/>
      <c r="O7" s="616"/>
      <c r="P7" s="617"/>
      <c r="Q7" s="39"/>
      <c r="R7" s="39"/>
    </row>
    <row r="8" spans="1:18" ht="15" customHeight="1" x14ac:dyDescent="0.25">
      <c r="C8" s="5"/>
      <c r="D8" s="5"/>
      <c r="E8" s="5"/>
      <c r="F8" s="5"/>
      <c r="G8" s="5"/>
      <c r="H8" s="24"/>
      <c r="J8" s="22"/>
      <c r="K8" s="22"/>
      <c r="L8" s="22"/>
      <c r="M8" s="22"/>
      <c r="O8" s="616"/>
      <c r="P8" s="617"/>
    </row>
    <row r="9" spans="1:18" ht="14.7" customHeight="1" x14ac:dyDescent="0.25">
      <c r="C9" s="7"/>
      <c r="D9" s="7"/>
      <c r="E9" s="7"/>
      <c r="F9" s="7"/>
      <c r="H9" s="22"/>
      <c r="I9" s="22"/>
      <c r="J9" s="22"/>
      <c r="K9" s="22"/>
      <c r="L9" s="22"/>
      <c r="M9" s="22"/>
      <c r="O9" s="616"/>
      <c r="P9" s="617"/>
    </row>
    <row r="10" spans="1:18" ht="15" customHeight="1" x14ac:dyDescent="0.25">
      <c r="C10" s="25"/>
      <c r="D10" s="25"/>
      <c r="E10" s="25"/>
      <c r="F10" s="25"/>
      <c r="H10" s="22"/>
      <c r="I10" s="22"/>
      <c r="J10" s="22"/>
      <c r="K10" s="22"/>
      <c r="L10" s="22"/>
      <c r="M10" s="22"/>
      <c r="O10" s="616"/>
      <c r="P10" s="617"/>
    </row>
    <row r="11" spans="1:18" ht="15" customHeight="1" x14ac:dyDescent="0.25">
      <c r="C11" s="22"/>
      <c r="D11" s="22"/>
      <c r="E11" s="22"/>
      <c r="F11" s="22"/>
      <c r="H11" s="22"/>
      <c r="I11" s="22"/>
      <c r="J11" s="22"/>
      <c r="K11" s="22"/>
      <c r="L11" s="22"/>
      <c r="M11" s="22"/>
      <c r="O11" s="616"/>
      <c r="P11" s="617"/>
    </row>
    <row r="12" spans="1:18" ht="15" customHeight="1" x14ac:dyDescent="0.25">
      <c r="C12" s="22"/>
      <c r="D12" s="22"/>
      <c r="E12" s="22"/>
      <c r="F12" s="22"/>
      <c r="H12" s="22"/>
      <c r="I12" s="22"/>
      <c r="J12" s="22"/>
      <c r="K12" s="22"/>
      <c r="L12" s="22"/>
      <c r="M12" s="22"/>
      <c r="O12" s="616"/>
      <c r="P12" s="617"/>
    </row>
    <row r="13" spans="1:18" ht="15" customHeight="1" x14ac:dyDescent="0.25">
      <c r="H13" s="22"/>
      <c r="I13" s="22"/>
      <c r="J13" s="22"/>
      <c r="K13" s="22"/>
      <c r="L13" s="22"/>
      <c r="M13" s="22"/>
      <c r="O13" s="616"/>
      <c r="P13" s="617"/>
    </row>
  </sheetData>
  <mergeCells count="2">
    <mergeCell ref="O2:P13"/>
    <mergeCell ref="A1:L1"/>
  </mergeCells>
  <phoneticPr fontId="5" type="noConversion"/>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A812770E-E8E4-47DA-B58F-19AC1CB7D938}">
          <x14:formula1>
            <xm:f>Data!$A$2:$A$200</xm:f>
          </x14:formula1>
          <xm:sqref>C3:C5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093AA-CE58-48DD-B4C9-82527CB4498E}">
  <sheetPr codeName="Sheet2"/>
  <dimension ref="A1:BO163"/>
  <sheetViews>
    <sheetView zoomScale="80" zoomScaleNormal="80" workbookViewId="0">
      <selection sqref="A1:X1"/>
    </sheetView>
  </sheetViews>
  <sheetFormatPr defaultColWidth="9.33203125" defaultRowHeight="13.8" x14ac:dyDescent="0.25"/>
  <cols>
    <col min="1" max="1" width="17.33203125" style="54" customWidth="1"/>
    <col min="2" max="2" width="13.5546875" style="57" customWidth="1"/>
    <col min="3" max="3" width="18.5546875" style="54" customWidth="1"/>
    <col min="4" max="4" width="42.5546875" style="54" customWidth="1"/>
    <col min="5" max="5" width="13.33203125" style="54" customWidth="1"/>
    <col min="6" max="6" width="15.6640625" style="54" customWidth="1"/>
    <col min="7" max="7" width="24.44140625" style="58" customWidth="1"/>
    <col min="8" max="8" width="54" style="54" customWidth="1"/>
    <col min="9" max="9" width="6.88671875" style="54" customWidth="1"/>
    <col min="10" max="12" width="7" style="54" customWidth="1"/>
    <col min="13" max="14" width="7.33203125" style="54" customWidth="1"/>
    <col min="15" max="15" width="7" style="54" customWidth="1"/>
    <col min="16" max="16" width="7.109375" style="54" customWidth="1"/>
    <col min="17" max="17" width="7.5546875" style="54" customWidth="1"/>
    <col min="18" max="21" width="7" style="54" customWidth="1"/>
    <col min="22" max="22" width="7.6640625" style="54" customWidth="1"/>
    <col min="23" max="24" width="7" style="54" customWidth="1"/>
    <col min="25" max="26" width="9.33203125" style="54"/>
    <col min="27" max="27" width="7.6640625" style="54" customWidth="1"/>
    <col min="28" max="28" width="17.44140625" style="54" customWidth="1"/>
    <col min="29" max="29" width="34.6640625" style="54" customWidth="1"/>
    <col min="30" max="30" width="48.6640625" style="54" customWidth="1"/>
    <col min="31" max="31" width="68.5546875" style="54" customWidth="1"/>
    <col min="32" max="32" width="20.5546875" style="54" customWidth="1"/>
    <col min="33" max="33" width="43" style="54" customWidth="1"/>
    <col min="34" max="42" width="7.6640625" style="54" customWidth="1"/>
    <col min="43" max="46" width="10.44140625" style="54" customWidth="1"/>
    <col min="47" max="47" width="9.88671875" style="54" customWidth="1"/>
    <col min="48" max="48" width="10.44140625" style="54" customWidth="1"/>
    <col min="49" max="49" width="21.6640625" style="54" customWidth="1"/>
    <col min="50" max="50" width="10.44140625" style="54" customWidth="1"/>
    <col min="51" max="53" width="7.44140625" style="54" customWidth="1"/>
    <col min="54" max="54" width="7.6640625" style="54" customWidth="1"/>
    <col min="55" max="55" width="7.44140625" style="54" customWidth="1"/>
    <col min="56" max="56" width="13.6640625" style="54" customWidth="1"/>
    <col min="57" max="60" width="7.44140625" style="54" customWidth="1"/>
    <col min="61" max="62" width="9.6640625" style="54" bestFit="1" customWidth="1"/>
    <col min="63" max="16384" width="9.33203125" style="54"/>
  </cols>
  <sheetData>
    <row r="1" spans="1:67" ht="25.2" customHeight="1" x14ac:dyDescent="0.25">
      <c r="A1" s="567" t="str">
        <f>"Envelope - "&amp;Prototype!A2</f>
        <v>Envelope - Warehouse</v>
      </c>
      <c r="B1" s="567"/>
      <c r="C1" s="567"/>
      <c r="D1" s="567"/>
      <c r="E1" s="567"/>
      <c r="F1" s="567"/>
      <c r="G1" s="567"/>
      <c r="H1" s="567"/>
      <c r="I1" s="567"/>
      <c r="J1" s="567"/>
      <c r="K1" s="567"/>
      <c r="L1" s="567"/>
      <c r="M1" s="567"/>
      <c r="N1" s="567"/>
      <c r="O1" s="567"/>
      <c r="P1" s="567"/>
      <c r="Q1" s="567"/>
      <c r="R1" s="567"/>
      <c r="S1" s="567"/>
      <c r="T1" s="567"/>
      <c r="U1" s="567"/>
      <c r="V1" s="567"/>
      <c r="W1" s="567"/>
      <c r="X1" s="567"/>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row>
    <row r="2" spans="1:67" ht="27" customHeight="1" x14ac:dyDescent="0.25">
      <c r="A2" s="68" t="s">
        <v>187</v>
      </c>
      <c r="B2" s="68" t="s">
        <v>6</v>
      </c>
      <c r="C2" s="68" t="s">
        <v>188</v>
      </c>
      <c r="D2" s="68" t="s">
        <v>189</v>
      </c>
      <c r="E2" s="503" t="s">
        <v>190</v>
      </c>
      <c r="F2" s="68" t="s">
        <v>191</v>
      </c>
      <c r="G2" s="503" t="s">
        <v>192</v>
      </c>
      <c r="H2" s="68" t="s">
        <v>193</v>
      </c>
      <c r="I2" s="68" t="s">
        <v>194</v>
      </c>
      <c r="J2" s="68" t="s">
        <v>195</v>
      </c>
      <c r="K2" s="68" t="s">
        <v>196</v>
      </c>
      <c r="L2" s="68" t="s">
        <v>197</v>
      </c>
      <c r="M2" s="68" t="s">
        <v>198</v>
      </c>
      <c r="N2" s="68" t="s">
        <v>199</v>
      </c>
      <c r="O2" s="68" t="s">
        <v>200</v>
      </c>
      <c r="P2" s="68" t="s">
        <v>201</v>
      </c>
      <c r="Q2" s="68" t="s">
        <v>202</v>
      </c>
      <c r="R2" s="68" t="s">
        <v>203</v>
      </c>
      <c r="S2" s="68" t="s">
        <v>204</v>
      </c>
      <c r="T2" s="68" t="s">
        <v>205</v>
      </c>
      <c r="U2" s="68" t="s">
        <v>206</v>
      </c>
      <c r="V2" s="68" t="s">
        <v>207</v>
      </c>
      <c r="W2" s="68" t="s">
        <v>208</v>
      </c>
      <c r="X2" s="68" t="s">
        <v>209</v>
      </c>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row>
    <row r="3" spans="1:67" ht="60.75" customHeight="1" x14ac:dyDescent="0.25">
      <c r="A3" s="551" t="s">
        <v>210</v>
      </c>
      <c r="B3" s="551" t="s">
        <v>49</v>
      </c>
      <c r="C3" s="552" t="s">
        <v>211</v>
      </c>
      <c r="D3" s="563" t="s">
        <v>644</v>
      </c>
      <c r="E3" s="551" t="s">
        <v>212</v>
      </c>
      <c r="F3" s="516" t="s">
        <v>213</v>
      </c>
      <c r="G3" s="516" t="s">
        <v>214</v>
      </c>
      <c r="H3" s="511" t="s">
        <v>645</v>
      </c>
      <c r="I3" s="548">
        <f>I63*(1-$I$64)+I62*$I$64</f>
        <v>0.291412</v>
      </c>
      <c r="J3" s="548">
        <f t="shared" ref="J3:X3" si="0">J63*(1-$I$64)+J62*$I$64</f>
        <v>0.28875999999999996</v>
      </c>
      <c r="K3" s="548">
        <f t="shared" si="0"/>
        <v>0.291412</v>
      </c>
      <c r="L3" s="548">
        <f t="shared" si="0"/>
        <v>0.28875999999999996</v>
      </c>
      <c r="M3" s="548">
        <f t="shared" si="0"/>
        <v>0.28875999999999996</v>
      </c>
      <c r="N3" s="548">
        <f t="shared" si="0"/>
        <v>0.291412</v>
      </c>
      <c r="O3" s="548">
        <f t="shared" si="0"/>
        <v>0.291412</v>
      </c>
      <c r="P3" s="548">
        <f t="shared" si="0"/>
        <v>0.28875999999999996</v>
      </c>
      <c r="Q3" s="548">
        <f t="shared" si="0"/>
        <v>0.28875999999999996</v>
      </c>
      <c r="R3" s="548">
        <f t="shared" si="0"/>
        <v>0.28875999999999996</v>
      </c>
      <c r="S3" s="548">
        <f t="shared" si="0"/>
        <v>0.28875999999999996</v>
      </c>
      <c r="T3" s="548">
        <f t="shared" si="0"/>
        <v>0.28875999999999996</v>
      </c>
      <c r="U3" s="548">
        <f t="shared" si="0"/>
        <v>0.28875999999999996</v>
      </c>
      <c r="V3" s="548">
        <f t="shared" si="0"/>
        <v>0.28875999999999996</v>
      </c>
      <c r="W3" s="548">
        <f t="shared" si="0"/>
        <v>0.28855599999999998</v>
      </c>
      <c r="X3" s="548">
        <f t="shared" si="0"/>
        <v>0.28875999999999996</v>
      </c>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row>
    <row r="4" spans="1:67" ht="64.5" customHeight="1" x14ac:dyDescent="0.25">
      <c r="A4" s="551"/>
      <c r="B4" s="551"/>
      <c r="C4" s="552"/>
      <c r="D4" s="552"/>
      <c r="E4" s="551"/>
      <c r="F4" s="489" t="s">
        <v>215</v>
      </c>
      <c r="G4" s="489">
        <v>1986</v>
      </c>
      <c r="H4" s="514" t="s">
        <v>216</v>
      </c>
      <c r="I4" s="550">
        <f>MIN($E$84,I3)</f>
        <v>0.291412</v>
      </c>
      <c r="J4" s="550">
        <f t="shared" ref="J4:X4" si="1">MIN($E$84,J3)</f>
        <v>0.28875999999999996</v>
      </c>
      <c r="K4" s="550">
        <f t="shared" si="1"/>
        <v>0.291412</v>
      </c>
      <c r="L4" s="550">
        <f t="shared" si="1"/>
        <v>0.28875999999999996</v>
      </c>
      <c r="M4" s="550">
        <f t="shared" si="1"/>
        <v>0.28875999999999996</v>
      </c>
      <c r="N4" s="550">
        <f t="shared" si="1"/>
        <v>0.291412</v>
      </c>
      <c r="O4" s="550">
        <f t="shared" si="1"/>
        <v>0.291412</v>
      </c>
      <c r="P4" s="550">
        <f t="shared" si="1"/>
        <v>0.28875999999999996</v>
      </c>
      <c r="Q4" s="550">
        <f t="shared" si="1"/>
        <v>0.28875999999999996</v>
      </c>
      <c r="R4" s="550">
        <f t="shared" si="1"/>
        <v>0.28875999999999996</v>
      </c>
      <c r="S4" s="550">
        <f t="shared" si="1"/>
        <v>0.28875999999999996</v>
      </c>
      <c r="T4" s="550">
        <f t="shared" si="1"/>
        <v>0.28875999999999996</v>
      </c>
      <c r="U4" s="550">
        <f t="shared" si="1"/>
        <v>0.28875999999999996</v>
      </c>
      <c r="V4" s="550">
        <f t="shared" si="1"/>
        <v>0.28875999999999996</v>
      </c>
      <c r="W4" s="550">
        <f t="shared" si="1"/>
        <v>0.28855599999999998</v>
      </c>
      <c r="X4" s="550">
        <f t="shared" si="1"/>
        <v>0.28875999999999996</v>
      </c>
      <c r="Y4" s="169"/>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row>
    <row r="5" spans="1:67" x14ac:dyDescent="0.25">
      <c r="A5" s="551"/>
      <c r="B5" s="551"/>
      <c r="C5" s="552"/>
      <c r="D5" s="552"/>
      <c r="E5" s="551"/>
      <c r="F5" s="490" t="s">
        <v>217</v>
      </c>
      <c r="G5" s="490">
        <v>2001</v>
      </c>
      <c r="H5" s="490" t="s">
        <v>218</v>
      </c>
      <c r="I5" s="491">
        <v>0.182</v>
      </c>
      <c r="J5" s="491">
        <v>0.182</v>
      </c>
      <c r="K5" s="491">
        <v>0.189</v>
      </c>
      <c r="L5" s="491">
        <v>0.189</v>
      </c>
      <c r="M5" s="491">
        <v>0.189</v>
      </c>
      <c r="N5" s="491">
        <v>0.189</v>
      </c>
      <c r="O5" s="491">
        <v>0.189</v>
      </c>
      <c r="P5" s="491">
        <v>0.189</v>
      </c>
      <c r="Q5" s="491">
        <v>0.189</v>
      </c>
      <c r="R5" s="491">
        <v>0.182</v>
      </c>
      <c r="S5" s="491">
        <v>0.182</v>
      </c>
      <c r="T5" s="491">
        <v>0.182</v>
      </c>
      <c r="U5" s="491">
        <v>0.182</v>
      </c>
      <c r="V5" s="491">
        <v>0.182</v>
      </c>
      <c r="W5" s="491">
        <v>0.182</v>
      </c>
      <c r="X5" s="491">
        <v>0.182</v>
      </c>
      <c r="Y5" s="9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row>
    <row r="6" spans="1:67" x14ac:dyDescent="0.25">
      <c r="A6" s="551"/>
      <c r="B6" s="551"/>
      <c r="C6" s="552"/>
      <c r="D6" s="552"/>
      <c r="E6" s="551"/>
      <c r="F6" s="492" t="s">
        <v>219</v>
      </c>
      <c r="G6" s="492">
        <v>2013</v>
      </c>
      <c r="H6" s="492" t="s">
        <v>220</v>
      </c>
      <c r="I6" s="493">
        <v>0.113</v>
      </c>
      <c r="J6" s="493">
        <v>6.0999999999999999E-2</v>
      </c>
      <c r="K6" s="493">
        <v>0.113</v>
      </c>
      <c r="L6" s="493">
        <v>6.0999999999999999E-2</v>
      </c>
      <c r="M6" s="493">
        <v>6.0999999999999999E-2</v>
      </c>
      <c r="N6" s="493">
        <v>0.113</v>
      </c>
      <c r="O6" s="493">
        <v>0.113</v>
      </c>
      <c r="P6" s="493">
        <v>6.0999999999999999E-2</v>
      </c>
      <c r="Q6" s="493">
        <v>6.0999999999999999E-2</v>
      </c>
      <c r="R6" s="493">
        <v>6.0999999999999999E-2</v>
      </c>
      <c r="S6" s="493">
        <v>6.0999999999999999E-2</v>
      </c>
      <c r="T6" s="493">
        <v>6.0999999999999999E-2</v>
      </c>
      <c r="U6" s="493">
        <v>6.0999999999999999E-2</v>
      </c>
      <c r="V6" s="493">
        <v>6.0999999999999999E-2</v>
      </c>
      <c r="W6" s="493">
        <v>5.7000000000000002E-2</v>
      </c>
      <c r="X6" s="493">
        <v>6.0999999999999999E-2</v>
      </c>
      <c r="Y6" s="9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row>
    <row r="7" spans="1:67" x14ac:dyDescent="0.25">
      <c r="A7" s="551"/>
      <c r="B7" s="551"/>
      <c r="C7" s="552"/>
      <c r="D7" s="552"/>
      <c r="E7" s="551"/>
      <c r="F7" s="494" t="s">
        <v>221</v>
      </c>
      <c r="G7" s="494"/>
      <c r="H7" s="494" t="s">
        <v>222</v>
      </c>
      <c r="I7" s="504" cm="1">
        <f t="array" ref="I7:X7">_xlfn.BYCOL(TRANSPOSE(Weights!$C$4:$F$19)*I3:X6,_xlfn.LAMBDA(_xlpm.c,SUM(_xlpm.c)))</f>
        <v>0.21533399113599999</v>
      </c>
      <c r="J7" s="504">
        <v>0.18736574732399996</v>
      </c>
      <c r="K7" s="504">
        <v>0.25967325694560001</v>
      </c>
      <c r="L7" s="504">
        <v>0.26207512878</v>
      </c>
      <c r="M7" s="504">
        <v>0.22257082719199997</v>
      </c>
      <c r="N7" s="504">
        <v>0.27015556387279999</v>
      </c>
      <c r="O7" s="504">
        <v>0.2582397201944</v>
      </c>
      <c r="P7" s="504">
        <v>0.26638942101599994</v>
      </c>
      <c r="Q7" s="504">
        <v>0.26786532345599995</v>
      </c>
      <c r="R7" s="504">
        <v>0.182254660496</v>
      </c>
      <c r="S7" s="504">
        <v>0.21503410179599997</v>
      </c>
      <c r="T7" s="504">
        <v>0.22085246003999998</v>
      </c>
      <c r="U7" s="504">
        <v>0.223898277496</v>
      </c>
      <c r="V7" s="504">
        <v>0.21265127062399997</v>
      </c>
      <c r="W7" s="504">
        <v>0.16506634113439997</v>
      </c>
      <c r="X7" s="504">
        <v>0.19564477749999995</v>
      </c>
      <c r="Y7" s="9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row>
    <row r="8" spans="1:67" x14ac:dyDescent="0.25">
      <c r="A8" s="551"/>
      <c r="B8" s="551"/>
      <c r="C8" s="552"/>
      <c r="D8" s="552"/>
      <c r="E8" s="551"/>
      <c r="F8" s="496" t="s">
        <v>223</v>
      </c>
      <c r="G8" s="497">
        <v>2025</v>
      </c>
      <c r="H8" s="497" t="s">
        <v>220</v>
      </c>
      <c r="I8" s="497">
        <v>9.8000000000000004E-2</v>
      </c>
      <c r="J8" s="497">
        <v>5.2999999999999999E-2</v>
      </c>
      <c r="K8" s="497">
        <v>9.8000000000000004E-2</v>
      </c>
      <c r="L8" s="497">
        <v>5.2999999999999999E-2</v>
      </c>
      <c r="M8" s="497">
        <v>5.2999999999999999E-2</v>
      </c>
      <c r="N8" s="497">
        <v>9.8000000000000004E-2</v>
      </c>
      <c r="O8" s="497">
        <v>9.8000000000000004E-2</v>
      </c>
      <c r="P8" s="497">
        <v>5.2999999999999999E-2</v>
      </c>
      <c r="Q8" s="497">
        <v>5.2999999999999999E-2</v>
      </c>
      <c r="R8" s="497">
        <v>5.2999999999999999E-2</v>
      </c>
      <c r="S8" s="497">
        <v>5.2999999999999999E-2</v>
      </c>
      <c r="T8" s="497">
        <v>5.2999999999999999E-2</v>
      </c>
      <c r="U8" s="497">
        <v>5.2999999999999999E-2</v>
      </c>
      <c r="V8" s="497">
        <v>5.2999999999999999E-2</v>
      </c>
      <c r="W8" s="497">
        <v>5.2999999999999999E-2</v>
      </c>
      <c r="X8" s="497">
        <v>5.2999999999999999E-2</v>
      </c>
      <c r="Y8" s="9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row>
    <row r="9" spans="1:67" ht="13.95" customHeight="1" x14ac:dyDescent="0.25">
      <c r="A9" s="551" t="s">
        <v>224</v>
      </c>
      <c r="B9" s="551" t="s">
        <v>49</v>
      </c>
      <c r="C9" s="552" t="s">
        <v>225</v>
      </c>
      <c r="D9" s="568" t="s">
        <v>226</v>
      </c>
      <c r="E9" s="551" t="s">
        <v>212</v>
      </c>
      <c r="F9" s="516" t="s">
        <v>213</v>
      </c>
      <c r="G9" s="516" t="s">
        <v>214</v>
      </c>
      <c r="H9" s="552" t="s">
        <v>227</v>
      </c>
      <c r="I9" s="272">
        <f>I10</f>
        <v>5.7000000000000002E-2</v>
      </c>
      <c r="J9" s="272">
        <f t="shared" ref="J9:X9" si="2">J10</f>
        <v>5.7000000000000002E-2</v>
      </c>
      <c r="K9" s="272">
        <f t="shared" si="2"/>
        <v>5.7000000000000002E-2</v>
      </c>
      <c r="L9" s="272">
        <f t="shared" si="2"/>
        <v>5.7000000000000002E-2</v>
      </c>
      <c r="M9" s="272">
        <f t="shared" si="2"/>
        <v>5.7000000000000002E-2</v>
      </c>
      <c r="N9" s="272">
        <f t="shared" si="2"/>
        <v>7.8E-2</v>
      </c>
      <c r="O9" s="272">
        <f t="shared" si="2"/>
        <v>7.8E-2</v>
      </c>
      <c r="P9" s="272">
        <f t="shared" si="2"/>
        <v>7.8E-2</v>
      </c>
      <c r="Q9" s="272">
        <f t="shared" si="2"/>
        <v>7.8E-2</v>
      </c>
      <c r="R9" s="272">
        <f t="shared" si="2"/>
        <v>7.8E-2</v>
      </c>
      <c r="S9" s="272">
        <f t="shared" si="2"/>
        <v>5.7000000000000002E-2</v>
      </c>
      <c r="T9" s="272">
        <f t="shared" si="2"/>
        <v>5.7000000000000002E-2</v>
      </c>
      <c r="U9" s="272">
        <f t="shared" si="2"/>
        <v>5.7000000000000002E-2</v>
      </c>
      <c r="V9" s="272">
        <f t="shared" si="2"/>
        <v>5.7000000000000002E-2</v>
      </c>
      <c r="W9" s="272">
        <f t="shared" si="2"/>
        <v>5.7000000000000002E-2</v>
      </c>
      <c r="X9" s="272">
        <f t="shared" si="2"/>
        <v>5.7000000000000002E-2</v>
      </c>
      <c r="Y9" s="9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row>
    <row r="10" spans="1:67" ht="13.95" customHeight="1" x14ac:dyDescent="0.25">
      <c r="A10" s="551"/>
      <c r="B10" s="551"/>
      <c r="C10" s="552"/>
      <c r="D10" s="569"/>
      <c r="E10" s="551"/>
      <c r="F10" s="489" t="s">
        <v>215</v>
      </c>
      <c r="G10" s="489">
        <v>1992</v>
      </c>
      <c r="H10" s="552"/>
      <c r="I10" s="498">
        <v>5.7000000000000002E-2</v>
      </c>
      <c r="J10" s="498">
        <v>5.7000000000000002E-2</v>
      </c>
      <c r="K10" s="498">
        <v>5.7000000000000002E-2</v>
      </c>
      <c r="L10" s="498">
        <v>5.7000000000000002E-2</v>
      </c>
      <c r="M10" s="498">
        <v>5.7000000000000002E-2</v>
      </c>
      <c r="N10" s="498">
        <v>7.8E-2</v>
      </c>
      <c r="O10" s="498">
        <v>7.8E-2</v>
      </c>
      <c r="P10" s="498">
        <v>7.8E-2</v>
      </c>
      <c r="Q10" s="498">
        <v>7.8E-2</v>
      </c>
      <c r="R10" s="498">
        <v>7.8E-2</v>
      </c>
      <c r="S10" s="498">
        <v>5.7000000000000002E-2</v>
      </c>
      <c r="T10" s="498">
        <v>5.7000000000000002E-2</v>
      </c>
      <c r="U10" s="498">
        <v>5.7000000000000002E-2</v>
      </c>
      <c r="V10" s="498">
        <v>5.7000000000000002E-2</v>
      </c>
      <c r="W10" s="498">
        <v>5.7000000000000002E-2</v>
      </c>
      <c r="X10" s="498">
        <v>5.7000000000000002E-2</v>
      </c>
      <c r="Y10" s="9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row>
    <row r="11" spans="1:67" ht="13.95" customHeight="1" x14ac:dyDescent="0.25">
      <c r="A11" s="551"/>
      <c r="B11" s="551"/>
      <c r="C11" s="552"/>
      <c r="D11" s="569"/>
      <c r="E11" s="551"/>
      <c r="F11" s="490" t="s">
        <v>217</v>
      </c>
      <c r="G11" s="490">
        <v>2001</v>
      </c>
      <c r="H11" s="490" t="s">
        <v>228</v>
      </c>
      <c r="I11" s="491">
        <v>5.7000000000000002E-2</v>
      </c>
      <c r="J11" s="491">
        <v>5.7000000000000002E-2</v>
      </c>
      <c r="K11" s="491">
        <v>5.7000000000000002E-2</v>
      </c>
      <c r="L11" s="491">
        <v>5.7000000000000002E-2</v>
      </c>
      <c r="M11" s="491">
        <v>5.7000000000000002E-2</v>
      </c>
      <c r="N11" s="491">
        <v>7.8E-2</v>
      </c>
      <c r="O11" s="491">
        <v>7.8E-2</v>
      </c>
      <c r="P11" s="491">
        <v>7.8E-2</v>
      </c>
      <c r="Q11" s="491">
        <v>7.8E-2</v>
      </c>
      <c r="R11" s="491">
        <v>5.7000000000000002E-2</v>
      </c>
      <c r="S11" s="491">
        <v>5.7000000000000002E-2</v>
      </c>
      <c r="T11" s="491">
        <v>5.7000000000000002E-2</v>
      </c>
      <c r="U11" s="491">
        <v>5.7000000000000002E-2</v>
      </c>
      <c r="V11" s="491">
        <v>5.7000000000000002E-2</v>
      </c>
      <c r="W11" s="491">
        <v>5.7000000000000002E-2</v>
      </c>
      <c r="X11" s="491">
        <v>5.7000000000000002E-2</v>
      </c>
      <c r="Y11" s="9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row>
    <row r="12" spans="1:67" ht="13.95" customHeight="1" x14ac:dyDescent="0.25">
      <c r="A12" s="551"/>
      <c r="B12" s="551"/>
      <c r="C12" s="552"/>
      <c r="D12" s="569"/>
      <c r="E12" s="551"/>
      <c r="F12" s="492" t="s">
        <v>219</v>
      </c>
      <c r="G12" s="492">
        <v>2013</v>
      </c>
      <c r="H12" s="492" t="s">
        <v>220</v>
      </c>
      <c r="I12" s="493">
        <v>6.5000000000000002E-2</v>
      </c>
      <c r="J12" s="493">
        <v>6.5000000000000002E-2</v>
      </c>
      <c r="K12" s="493">
        <v>6.5000000000000002E-2</v>
      </c>
      <c r="L12" s="493">
        <v>6.5000000000000002E-2</v>
      </c>
      <c r="M12" s="493">
        <v>6.5000000000000002E-2</v>
      </c>
      <c r="N12" s="493">
        <v>6.5000000000000002E-2</v>
      </c>
      <c r="O12" s="493">
        <v>6.5000000000000002E-2</v>
      </c>
      <c r="P12" s="493">
        <v>6.5000000000000002E-2</v>
      </c>
      <c r="Q12" s="493">
        <v>6.5000000000000002E-2</v>
      </c>
      <c r="R12" s="493">
        <v>6.5000000000000002E-2</v>
      </c>
      <c r="S12" s="493">
        <v>6.5000000000000002E-2</v>
      </c>
      <c r="T12" s="493">
        <v>6.5000000000000002E-2</v>
      </c>
      <c r="U12" s="493">
        <v>6.5000000000000002E-2</v>
      </c>
      <c r="V12" s="493">
        <v>6.5000000000000002E-2</v>
      </c>
      <c r="W12" s="493">
        <v>6.5000000000000002E-2</v>
      </c>
      <c r="X12" s="493">
        <v>6.5000000000000002E-2</v>
      </c>
      <c r="Y12" s="9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row>
    <row r="13" spans="1:67" ht="13.95" customHeight="1" x14ac:dyDescent="0.25">
      <c r="A13" s="551"/>
      <c r="B13" s="551"/>
      <c r="C13" s="552"/>
      <c r="D13" s="569"/>
      <c r="E13" s="551"/>
      <c r="F13" s="494" t="s">
        <v>221</v>
      </c>
      <c r="G13" s="494"/>
      <c r="H13" s="494" t="s">
        <v>222</v>
      </c>
      <c r="I13" s="504" cm="1">
        <f t="array" ref="I13:X13">_xlfn.BYCOL(TRANSPOSE(Weights!$C$4:$F$19)*I9:X12,_xlfn.LAMBDA(_xlpm.c,SUM(_xlpm.c)))</f>
        <v>5.8997173600000001E-2</v>
      </c>
      <c r="J13" s="504">
        <v>5.9905407199999997E-2</v>
      </c>
      <c r="K13" s="504">
        <v>5.7335323100000002E-2</v>
      </c>
      <c r="L13" s="504">
        <v>5.714494870000001E-2</v>
      </c>
      <c r="M13" s="504">
        <v>5.7472025600000004E-2</v>
      </c>
      <c r="N13" s="504">
        <v>7.7478971699999996E-2</v>
      </c>
      <c r="O13" s="504">
        <v>7.7548279900000003E-2</v>
      </c>
      <c r="P13" s="504">
        <v>7.745046659999999E-2</v>
      </c>
      <c r="Q13" s="504">
        <v>7.75633664E-2</v>
      </c>
      <c r="R13" s="504">
        <v>6.4284818399999999E-2</v>
      </c>
      <c r="S13" s="504">
        <v>5.8707352800000001E-2</v>
      </c>
      <c r="T13" s="504">
        <v>5.848718E-2</v>
      </c>
      <c r="U13" s="504">
        <v>5.8226375200000006E-2</v>
      </c>
      <c r="V13" s="504">
        <v>5.7989818400000004E-2</v>
      </c>
      <c r="W13" s="504">
        <v>5.9543331999999997E-2</v>
      </c>
      <c r="X13" s="504">
        <v>5.8297146500000008E-2</v>
      </c>
      <c r="Y13" s="9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row>
    <row r="14" spans="1:67" ht="13.95" customHeight="1" x14ac:dyDescent="0.25">
      <c r="A14" s="551"/>
      <c r="B14" s="551"/>
      <c r="C14" s="552"/>
      <c r="D14" s="569"/>
      <c r="E14" s="551"/>
      <c r="F14" s="496" t="s">
        <v>223</v>
      </c>
      <c r="G14" s="497">
        <v>2025</v>
      </c>
      <c r="H14" s="497" t="s">
        <v>220</v>
      </c>
      <c r="I14" s="497">
        <v>3.7999999999999999E-2</v>
      </c>
      <c r="J14" s="497">
        <v>3.7999999999999999E-2</v>
      </c>
      <c r="K14" s="497">
        <v>3.7999999999999999E-2</v>
      </c>
      <c r="L14" s="497">
        <v>3.7999999999999999E-2</v>
      </c>
      <c r="M14" s="497">
        <v>3.7999999999999999E-2</v>
      </c>
      <c r="N14" s="497">
        <v>3.7999999999999999E-2</v>
      </c>
      <c r="O14" s="497">
        <v>3.7999999999999999E-2</v>
      </c>
      <c r="P14" s="497">
        <v>3.7999999999999999E-2</v>
      </c>
      <c r="Q14" s="497">
        <v>3.7999999999999999E-2</v>
      </c>
      <c r="R14" s="497">
        <v>3.7999999999999999E-2</v>
      </c>
      <c r="S14" s="497">
        <v>3.7999999999999999E-2</v>
      </c>
      <c r="T14" s="497">
        <v>3.7999999999999999E-2</v>
      </c>
      <c r="U14" s="497">
        <v>3.7999999999999999E-2</v>
      </c>
      <c r="V14" s="497">
        <v>3.7999999999999999E-2</v>
      </c>
      <c r="W14" s="497">
        <v>3.7999999999999999E-2</v>
      </c>
      <c r="X14" s="497">
        <v>3.7999999999999999E-2</v>
      </c>
      <c r="Y14" s="9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row>
    <row r="15" spans="1:67" ht="18" customHeight="1" x14ac:dyDescent="0.25">
      <c r="A15" s="551" t="s">
        <v>229</v>
      </c>
      <c r="B15" s="551" t="s">
        <v>49</v>
      </c>
      <c r="C15" s="552" t="s">
        <v>230</v>
      </c>
      <c r="D15" s="552" t="s">
        <v>231</v>
      </c>
      <c r="E15" s="551" t="s">
        <v>212</v>
      </c>
      <c r="F15" s="516" t="s">
        <v>213</v>
      </c>
      <c r="G15" s="516" t="s">
        <v>214</v>
      </c>
      <c r="H15" s="552" t="s">
        <v>232</v>
      </c>
      <c r="I15" s="516">
        <f>0.5*1.12+0.5*I18</f>
        <v>0.74</v>
      </c>
      <c r="J15" s="516">
        <f t="shared" ref="J15:X15" si="3">0.5*1.12+0.5*J18</f>
        <v>0.74</v>
      </c>
      <c r="K15" s="516">
        <f t="shared" si="3"/>
        <v>0.74</v>
      </c>
      <c r="L15" s="516">
        <f t="shared" si="3"/>
        <v>0.74</v>
      </c>
      <c r="M15" s="516">
        <f t="shared" si="3"/>
        <v>0.74</v>
      </c>
      <c r="N15" s="516">
        <f t="shared" si="3"/>
        <v>0.74</v>
      </c>
      <c r="O15" s="516">
        <f t="shared" si="3"/>
        <v>0.74</v>
      </c>
      <c r="P15" s="516">
        <f t="shared" si="3"/>
        <v>0.74</v>
      </c>
      <c r="Q15" s="516">
        <f t="shared" si="3"/>
        <v>0.74</v>
      </c>
      <c r="R15" s="516">
        <f t="shared" si="3"/>
        <v>0.74</v>
      </c>
      <c r="S15" s="516">
        <f t="shared" si="3"/>
        <v>0.74</v>
      </c>
      <c r="T15" s="516">
        <f t="shared" si="3"/>
        <v>0.74</v>
      </c>
      <c r="U15" s="516">
        <f t="shared" si="3"/>
        <v>0.74</v>
      </c>
      <c r="V15" s="516">
        <f t="shared" si="3"/>
        <v>0.74</v>
      </c>
      <c r="W15" s="516">
        <f t="shared" si="3"/>
        <v>0.74</v>
      </c>
      <c r="X15" s="516">
        <f t="shared" si="3"/>
        <v>0.74</v>
      </c>
      <c r="Y15" s="9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row>
    <row r="16" spans="1:67" ht="20.399999999999999" customHeight="1" x14ac:dyDescent="0.25">
      <c r="A16" s="551"/>
      <c r="B16" s="551"/>
      <c r="C16" s="552"/>
      <c r="D16" s="552"/>
      <c r="E16" s="551"/>
      <c r="F16" s="489" t="s">
        <v>215</v>
      </c>
      <c r="G16" s="489" t="s">
        <v>214</v>
      </c>
      <c r="H16" s="552"/>
      <c r="I16" s="499">
        <f>I15</f>
        <v>0.74</v>
      </c>
      <c r="J16" s="499">
        <f t="shared" ref="J16:X16" si="4">J15</f>
        <v>0.74</v>
      </c>
      <c r="K16" s="499">
        <f t="shared" si="4"/>
        <v>0.74</v>
      </c>
      <c r="L16" s="499">
        <f t="shared" si="4"/>
        <v>0.74</v>
      </c>
      <c r="M16" s="499">
        <f t="shared" si="4"/>
        <v>0.74</v>
      </c>
      <c r="N16" s="499">
        <f t="shared" si="4"/>
        <v>0.74</v>
      </c>
      <c r="O16" s="499">
        <f t="shared" si="4"/>
        <v>0.74</v>
      </c>
      <c r="P16" s="499">
        <f t="shared" si="4"/>
        <v>0.74</v>
      </c>
      <c r="Q16" s="499">
        <f t="shared" si="4"/>
        <v>0.74</v>
      </c>
      <c r="R16" s="499">
        <f t="shared" si="4"/>
        <v>0.74</v>
      </c>
      <c r="S16" s="499">
        <f t="shared" si="4"/>
        <v>0.74</v>
      </c>
      <c r="T16" s="499">
        <f t="shared" si="4"/>
        <v>0.74</v>
      </c>
      <c r="U16" s="499">
        <f t="shared" si="4"/>
        <v>0.74</v>
      </c>
      <c r="V16" s="499">
        <f t="shared" si="4"/>
        <v>0.74</v>
      </c>
      <c r="W16" s="499">
        <f t="shared" si="4"/>
        <v>0.74</v>
      </c>
      <c r="X16" s="499">
        <f t="shared" si="4"/>
        <v>0.74</v>
      </c>
      <c r="Y16" s="9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row>
    <row r="17" spans="1:67" ht="13.95" customHeight="1" x14ac:dyDescent="0.25">
      <c r="A17" s="551"/>
      <c r="B17" s="551"/>
      <c r="C17" s="552"/>
      <c r="D17" s="551" t="s">
        <v>233</v>
      </c>
      <c r="E17" s="551"/>
      <c r="F17" s="490" t="s">
        <v>217</v>
      </c>
      <c r="G17" s="490">
        <v>2001</v>
      </c>
      <c r="H17" s="490" t="s">
        <v>228</v>
      </c>
      <c r="I17" s="490">
        <v>0.49</v>
      </c>
      <c r="J17" s="490">
        <v>0.49</v>
      </c>
      <c r="K17" s="490">
        <v>0.81</v>
      </c>
      <c r="L17" s="490">
        <v>0.81</v>
      </c>
      <c r="M17" s="490">
        <v>0.81</v>
      </c>
      <c r="N17" s="490">
        <v>0.81</v>
      </c>
      <c r="O17" s="490">
        <v>0.81</v>
      </c>
      <c r="P17" s="490">
        <v>0.81</v>
      </c>
      <c r="Q17" s="490">
        <v>0.81</v>
      </c>
      <c r="R17" s="490">
        <v>0.49</v>
      </c>
      <c r="S17" s="490">
        <v>0.49</v>
      </c>
      <c r="T17" s="490">
        <v>0.49</v>
      </c>
      <c r="U17" s="490">
        <v>0.49</v>
      </c>
      <c r="V17" s="490">
        <v>0.49</v>
      </c>
      <c r="W17" s="490">
        <v>0.49</v>
      </c>
      <c r="X17" s="490">
        <v>0.49</v>
      </c>
      <c r="Y17" s="9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row>
    <row r="18" spans="1:67" ht="13.95" customHeight="1" x14ac:dyDescent="0.25">
      <c r="A18" s="551"/>
      <c r="B18" s="551"/>
      <c r="C18" s="552"/>
      <c r="D18" s="551"/>
      <c r="E18" s="551"/>
      <c r="F18" s="492" t="s">
        <v>219</v>
      </c>
      <c r="G18" s="492">
        <v>2013</v>
      </c>
      <c r="H18" s="492" t="s">
        <v>234</v>
      </c>
      <c r="I18" s="492">
        <v>0.36</v>
      </c>
      <c r="J18" s="492">
        <v>0.36</v>
      </c>
      <c r="K18" s="492">
        <v>0.36</v>
      </c>
      <c r="L18" s="492">
        <v>0.36</v>
      </c>
      <c r="M18" s="492">
        <v>0.36</v>
      </c>
      <c r="N18" s="492">
        <v>0.36</v>
      </c>
      <c r="O18" s="492">
        <v>0.36</v>
      </c>
      <c r="P18" s="492">
        <v>0.36</v>
      </c>
      <c r="Q18" s="492">
        <v>0.36</v>
      </c>
      <c r="R18" s="492">
        <v>0.36</v>
      </c>
      <c r="S18" s="492">
        <v>0.36</v>
      </c>
      <c r="T18" s="492">
        <v>0.36</v>
      </c>
      <c r="U18" s="492">
        <v>0.36</v>
      </c>
      <c r="V18" s="492">
        <v>0.36</v>
      </c>
      <c r="W18" s="492">
        <v>0.36</v>
      </c>
      <c r="X18" s="492">
        <v>0.36</v>
      </c>
      <c r="Y18" s="9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row>
    <row r="19" spans="1:67" ht="13.95" customHeight="1" x14ac:dyDescent="0.25">
      <c r="A19" s="551"/>
      <c r="B19" s="551"/>
      <c r="C19" s="552"/>
      <c r="D19" s="551"/>
      <c r="E19" s="551"/>
      <c r="F19" s="494" t="s">
        <v>221</v>
      </c>
      <c r="G19" s="494"/>
      <c r="H19" s="494" t="s">
        <v>222</v>
      </c>
      <c r="I19" s="505" cm="1">
        <f t="array" ref="I19:X19">_xlfn.BYCOL(TRANSPOSE(Weights!$C$4:$F$19)*I15:X18,_xlfn.LAMBDA(_xlpm.c,SUM(_xlpm.c)))</f>
        <v>0.573071679</v>
      </c>
      <c r="J19" s="505">
        <v>0.55825648299999997</v>
      </c>
      <c r="K19" s="505">
        <v>0.74065410800000009</v>
      </c>
      <c r="L19" s="505">
        <v>0.7489431740000001</v>
      </c>
      <c r="M19" s="505">
        <v>0.75459304100000013</v>
      </c>
      <c r="N19" s="505">
        <v>0.73441168599999995</v>
      </c>
      <c r="O19" s="505">
        <v>0.74523220099999998</v>
      </c>
      <c r="P19" s="505">
        <v>0.732878103</v>
      </c>
      <c r="Q19" s="505">
        <v>0.73653056800000005</v>
      </c>
      <c r="R19" s="505">
        <v>0.52548245199999999</v>
      </c>
      <c r="S19" s="505">
        <v>0.60008291699999994</v>
      </c>
      <c r="T19" s="505">
        <v>0.60948745000000004</v>
      </c>
      <c r="U19" s="505">
        <v>0.61162067799999997</v>
      </c>
      <c r="V19" s="505">
        <v>0.58074917599999998</v>
      </c>
      <c r="W19" s="505">
        <v>0.50217770500000003</v>
      </c>
      <c r="X19" s="505">
        <v>0.54681588599999997</v>
      </c>
      <c r="Y19" s="9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row>
    <row r="20" spans="1:67" ht="13.95" customHeight="1" x14ac:dyDescent="0.25">
      <c r="A20" s="551"/>
      <c r="B20" s="551"/>
      <c r="C20" s="552"/>
      <c r="D20" s="551"/>
      <c r="E20" s="551"/>
      <c r="F20" s="496" t="s">
        <v>223</v>
      </c>
      <c r="G20" s="497">
        <v>2025</v>
      </c>
      <c r="H20" s="497" t="s">
        <v>234</v>
      </c>
      <c r="I20" s="497">
        <v>0.36</v>
      </c>
      <c r="J20" s="497">
        <v>0.36</v>
      </c>
      <c r="K20" s="497">
        <v>0.36</v>
      </c>
      <c r="L20" s="497">
        <v>0.36</v>
      </c>
      <c r="M20" s="497">
        <v>0.36</v>
      </c>
      <c r="N20" s="497">
        <v>0.36</v>
      </c>
      <c r="O20" s="497">
        <v>0.36</v>
      </c>
      <c r="P20" s="497">
        <v>0.36</v>
      </c>
      <c r="Q20" s="497">
        <v>0.34</v>
      </c>
      <c r="R20" s="497">
        <v>0.36</v>
      </c>
      <c r="S20" s="497">
        <v>0.34</v>
      </c>
      <c r="T20" s="497">
        <v>0.34</v>
      </c>
      <c r="U20" s="497">
        <v>0.34</v>
      </c>
      <c r="V20" s="497">
        <v>0.34</v>
      </c>
      <c r="W20" s="497">
        <v>0.34</v>
      </c>
      <c r="X20" s="497">
        <v>0.36</v>
      </c>
      <c r="Y20" s="9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row>
    <row r="21" spans="1:67" ht="21.6" customHeight="1" x14ac:dyDescent="0.25">
      <c r="A21" s="551"/>
      <c r="B21" s="551"/>
      <c r="C21" s="552"/>
      <c r="D21" s="552" t="s">
        <v>231</v>
      </c>
      <c r="E21" s="551" t="s">
        <v>235</v>
      </c>
      <c r="F21" s="516" t="s">
        <v>213</v>
      </c>
      <c r="G21" s="516" t="s">
        <v>214</v>
      </c>
      <c r="H21" s="552" t="s">
        <v>236</v>
      </c>
      <c r="I21" s="500">
        <f>0.79*0.5+I24*0.5</f>
        <v>0.52</v>
      </c>
      <c r="J21" s="500">
        <f t="shared" ref="J21:X21" si="5">0.79*0.5+J24*0.5</f>
        <v>0.52</v>
      </c>
      <c r="K21" s="500">
        <f t="shared" si="5"/>
        <v>0.52</v>
      </c>
      <c r="L21" s="500">
        <f t="shared" si="5"/>
        <v>0.52</v>
      </c>
      <c r="M21" s="500">
        <f t="shared" si="5"/>
        <v>0.52</v>
      </c>
      <c r="N21" s="500">
        <f t="shared" si="5"/>
        <v>0.52</v>
      </c>
      <c r="O21" s="500">
        <f t="shared" si="5"/>
        <v>0.52</v>
      </c>
      <c r="P21" s="500">
        <f t="shared" si="5"/>
        <v>0.52</v>
      </c>
      <c r="Q21" s="500">
        <f t="shared" si="5"/>
        <v>0.52</v>
      </c>
      <c r="R21" s="500">
        <f t="shared" si="5"/>
        <v>0.52</v>
      </c>
      <c r="S21" s="500">
        <f t="shared" si="5"/>
        <v>0.52</v>
      </c>
      <c r="T21" s="500">
        <f t="shared" si="5"/>
        <v>0.52</v>
      </c>
      <c r="U21" s="500">
        <f t="shared" si="5"/>
        <v>0.52</v>
      </c>
      <c r="V21" s="500">
        <f t="shared" si="5"/>
        <v>0.52</v>
      </c>
      <c r="W21" s="500">
        <f t="shared" si="5"/>
        <v>0.52</v>
      </c>
      <c r="X21" s="500">
        <f t="shared" si="5"/>
        <v>0.52</v>
      </c>
      <c r="Y21" s="9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row>
    <row r="22" spans="1:67" ht="18.600000000000001" customHeight="1" x14ac:dyDescent="0.25">
      <c r="A22" s="551"/>
      <c r="B22" s="551"/>
      <c r="C22" s="552"/>
      <c r="D22" s="552"/>
      <c r="E22" s="551"/>
      <c r="F22" s="489" t="s">
        <v>215</v>
      </c>
      <c r="G22" s="489" t="s">
        <v>214</v>
      </c>
      <c r="H22" s="552"/>
      <c r="I22" s="499">
        <f>I21</f>
        <v>0.52</v>
      </c>
      <c r="J22" s="499">
        <f t="shared" ref="J22:X22" si="6">J21</f>
        <v>0.52</v>
      </c>
      <c r="K22" s="499">
        <f t="shared" si="6"/>
        <v>0.52</v>
      </c>
      <c r="L22" s="499">
        <f t="shared" si="6"/>
        <v>0.52</v>
      </c>
      <c r="M22" s="499">
        <f t="shared" si="6"/>
        <v>0.52</v>
      </c>
      <c r="N22" s="499">
        <f t="shared" si="6"/>
        <v>0.52</v>
      </c>
      <c r="O22" s="499">
        <f t="shared" si="6"/>
        <v>0.52</v>
      </c>
      <c r="P22" s="499">
        <f t="shared" si="6"/>
        <v>0.52</v>
      </c>
      <c r="Q22" s="499">
        <f t="shared" si="6"/>
        <v>0.52</v>
      </c>
      <c r="R22" s="499">
        <f t="shared" si="6"/>
        <v>0.52</v>
      </c>
      <c r="S22" s="499">
        <f t="shared" si="6"/>
        <v>0.52</v>
      </c>
      <c r="T22" s="499">
        <f t="shared" si="6"/>
        <v>0.52</v>
      </c>
      <c r="U22" s="499">
        <f t="shared" si="6"/>
        <v>0.52</v>
      </c>
      <c r="V22" s="499">
        <f t="shared" si="6"/>
        <v>0.52</v>
      </c>
      <c r="W22" s="499">
        <f t="shared" si="6"/>
        <v>0.52</v>
      </c>
      <c r="X22" s="499">
        <f t="shared" si="6"/>
        <v>0.52</v>
      </c>
      <c r="Y22" s="9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row>
    <row r="23" spans="1:67" ht="13.95" customHeight="1" x14ac:dyDescent="0.25">
      <c r="A23" s="551"/>
      <c r="B23" s="551"/>
      <c r="C23" s="552"/>
      <c r="D23" s="551" t="s">
        <v>233</v>
      </c>
      <c r="E23" s="551"/>
      <c r="F23" s="490" t="s">
        <v>217</v>
      </c>
      <c r="G23" s="490">
        <v>2001</v>
      </c>
      <c r="H23" s="490" t="s">
        <v>237</v>
      </c>
      <c r="I23" s="490">
        <v>0.49</v>
      </c>
      <c r="J23" s="490">
        <v>0.47</v>
      </c>
      <c r="K23" s="490">
        <v>0.61</v>
      </c>
      <c r="L23" s="490">
        <v>0.61</v>
      </c>
      <c r="M23" s="490">
        <v>0.61</v>
      </c>
      <c r="N23" s="490">
        <v>0.61</v>
      </c>
      <c r="O23" s="490">
        <v>0.61</v>
      </c>
      <c r="P23" s="490">
        <v>0.61</v>
      </c>
      <c r="Q23" s="490">
        <v>0.61</v>
      </c>
      <c r="R23" s="490">
        <v>0.47</v>
      </c>
      <c r="S23" s="490">
        <v>0.47</v>
      </c>
      <c r="T23" s="490">
        <v>0.47</v>
      </c>
      <c r="U23" s="490">
        <v>0.47</v>
      </c>
      <c r="V23" s="490">
        <v>0.46</v>
      </c>
      <c r="W23" s="490">
        <v>0.46</v>
      </c>
      <c r="X23" s="490">
        <v>0.49</v>
      </c>
      <c r="Y23" s="9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row>
    <row r="24" spans="1:67" ht="13.95" customHeight="1" x14ac:dyDescent="0.25">
      <c r="A24" s="551"/>
      <c r="B24" s="551"/>
      <c r="C24" s="552"/>
      <c r="D24" s="551"/>
      <c r="E24" s="551"/>
      <c r="F24" s="492" t="s">
        <v>219</v>
      </c>
      <c r="G24" s="492">
        <v>2013</v>
      </c>
      <c r="H24" s="492" t="s">
        <v>234</v>
      </c>
      <c r="I24" s="492">
        <v>0.25</v>
      </c>
      <c r="J24" s="492">
        <v>0.25</v>
      </c>
      <c r="K24" s="492">
        <v>0.25</v>
      </c>
      <c r="L24" s="492">
        <v>0.25</v>
      </c>
      <c r="M24" s="492">
        <v>0.25</v>
      </c>
      <c r="N24" s="492">
        <v>0.25</v>
      </c>
      <c r="O24" s="492">
        <v>0.25</v>
      </c>
      <c r="P24" s="492">
        <v>0.25</v>
      </c>
      <c r="Q24" s="492">
        <v>0.25</v>
      </c>
      <c r="R24" s="492">
        <v>0.25</v>
      </c>
      <c r="S24" s="492">
        <v>0.25</v>
      </c>
      <c r="T24" s="492">
        <v>0.25</v>
      </c>
      <c r="U24" s="492">
        <v>0.25</v>
      </c>
      <c r="V24" s="492">
        <v>0.25</v>
      </c>
      <c r="W24" s="492">
        <v>0.25</v>
      </c>
      <c r="X24" s="492">
        <v>0.25</v>
      </c>
      <c r="Y24" s="9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row>
    <row r="25" spans="1:67" ht="13.95" customHeight="1" x14ac:dyDescent="0.25">
      <c r="A25" s="551"/>
      <c r="B25" s="551"/>
      <c r="C25" s="552"/>
      <c r="D25" s="551"/>
      <c r="E25" s="551"/>
      <c r="F25" s="494" t="s">
        <v>221</v>
      </c>
      <c r="G25" s="494"/>
      <c r="H25" s="494" t="s">
        <v>222</v>
      </c>
      <c r="I25" s="505" cm="1">
        <f t="array" ref="I25:X25">_xlfn.BYCOL(TRANSPOSE(Weights!$C$4:$F$19)*I21:X24,_xlfn.LAMBDA(_xlpm.c,SUM(_xlpm.c)))</f>
        <v>0.44394788200000002</v>
      </c>
      <c r="J25" s="505">
        <v>0.413195172</v>
      </c>
      <c r="K25" s="505">
        <v>0.53000270099999991</v>
      </c>
      <c r="L25" s="505">
        <v>0.53545877100000006</v>
      </c>
      <c r="M25" s="505">
        <v>0.55165889499999998</v>
      </c>
      <c r="N25" s="505">
        <v>0.52157508299999999</v>
      </c>
      <c r="O25" s="505">
        <v>0.53432196999999992</v>
      </c>
      <c r="P25" s="505">
        <v>0.52008268299999993</v>
      </c>
      <c r="Q25" s="505">
        <v>0.52288050399999997</v>
      </c>
      <c r="R25" s="505">
        <v>0.43296156800000002</v>
      </c>
      <c r="S25" s="505">
        <v>0.45061327800000001</v>
      </c>
      <c r="T25" s="505">
        <v>0.45783337499999999</v>
      </c>
      <c r="U25" s="505">
        <v>0.46458453700000002</v>
      </c>
      <c r="V25" s="505">
        <v>0.4596573610000001</v>
      </c>
      <c r="W25" s="505">
        <v>0.40607917899999996</v>
      </c>
      <c r="X25" s="505">
        <v>0.46043314999999996</v>
      </c>
      <c r="Y25" s="9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row>
    <row r="26" spans="1:67" ht="13.95" customHeight="1" x14ac:dyDescent="0.25">
      <c r="A26" s="551"/>
      <c r="B26" s="551"/>
      <c r="C26" s="552"/>
      <c r="D26" s="551"/>
      <c r="E26" s="551"/>
      <c r="F26" s="496" t="s">
        <v>223</v>
      </c>
      <c r="G26" s="497">
        <v>2025</v>
      </c>
      <c r="H26" s="497" t="s">
        <v>234</v>
      </c>
      <c r="I26" s="497">
        <v>0.25</v>
      </c>
      <c r="J26" s="497">
        <v>0.25</v>
      </c>
      <c r="K26" s="497">
        <v>0.25</v>
      </c>
      <c r="L26" s="497">
        <v>0.25</v>
      </c>
      <c r="M26" s="497">
        <v>0.25</v>
      </c>
      <c r="N26" s="497">
        <v>0.25</v>
      </c>
      <c r="O26" s="497">
        <v>0.25</v>
      </c>
      <c r="P26" s="497">
        <v>0.25</v>
      </c>
      <c r="Q26" s="497">
        <v>0.22</v>
      </c>
      <c r="R26" s="497">
        <v>0.25</v>
      </c>
      <c r="S26" s="497">
        <v>0.22</v>
      </c>
      <c r="T26" s="497">
        <v>0.22</v>
      </c>
      <c r="U26" s="497">
        <v>0.22</v>
      </c>
      <c r="V26" s="497">
        <v>0.22</v>
      </c>
      <c r="W26" s="497">
        <v>0.22</v>
      </c>
      <c r="X26" s="497">
        <v>0.25</v>
      </c>
      <c r="Y26" s="9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row>
    <row r="27" spans="1:67" ht="13.95" customHeight="1" x14ac:dyDescent="0.25">
      <c r="A27" s="551" t="s">
        <v>238</v>
      </c>
      <c r="B27" s="551" t="s">
        <v>49</v>
      </c>
      <c r="C27" s="551" t="s">
        <v>238</v>
      </c>
      <c r="D27" s="552" t="s">
        <v>239</v>
      </c>
      <c r="E27" s="551" t="s">
        <v>212</v>
      </c>
      <c r="F27" s="516" t="s">
        <v>213</v>
      </c>
      <c r="G27" s="516">
        <v>1992</v>
      </c>
      <c r="H27" s="580" t="s">
        <v>240</v>
      </c>
      <c r="I27" s="500">
        <v>0.85</v>
      </c>
      <c r="J27" s="500">
        <v>1.31</v>
      </c>
      <c r="K27" s="500">
        <v>1.31</v>
      </c>
      <c r="L27" s="500">
        <v>1.31</v>
      </c>
      <c r="M27" s="500">
        <v>1.31</v>
      </c>
      <c r="N27" s="500">
        <v>1.31</v>
      </c>
      <c r="O27" s="500">
        <v>1.31</v>
      </c>
      <c r="P27" s="500">
        <v>1.31</v>
      </c>
      <c r="Q27" s="500">
        <v>1.31</v>
      </c>
      <c r="R27" s="500">
        <v>1.31</v>
      </c>
      <c r="S27" s="500">
        <v>0.85</v>
      </c>
      <c r="T27" s="500">
        <v>0.85</v>
      </c>
      <c r="U27" s="500">
        <v>0.85</v>
      </c>
      <c r="V27" s="500">
        <v>0.85</v>
      </c>
      <c r="W27" s="500">
        <v>0.85</v>
      </c>
      <c r="X27" s="500">
        <v>0.85</v>
      </c>
      <c r="Y27" s="9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row>
    <row r="28" spans="1:67" ht="13.95" customHeight="1" x14ac:dyDescent="0.25">
      <c r="A28" s="551"/>
      <c r="B28" s="551"/>
      <c r="C28" s="551"/>
      <c r="D28" s="552"/>
      <c r="E28" s="551"/>
      <c r="F28" s="489" t="s">
        <v>215</v>
      </c>
      <c r="G28" s="489">
        <v>1992</v>
      </c>
      <c r="H28" s="551"/>
      <c r="I28" s="499">
        <f t="shared" ref="I28:X28" si="7">I27</f>
        <v>0.85</v>
      </c>
      <c r="J28" s="499">
        <f t="shared" si="7"/>
        <v>1.31</v>
      </c>
      <c r="K28" s="499">
        <f t="shared" si="7"/>
        <v>1.31</v>
      </c>
      <c r="L28" s="499">
        <f t="shared" si="7"/>
        <v>1.31</v>
      </c>
      <c r="M28" s="499">
        <f t="shared" si="7"/>
        <v>1.31</v>
      </c>
      <c r="N28" s="499">
        <f t="shared" si="7"/>
        <v>1.31</v>
      </c>
      <c r="O28" s="499">
        <f t="shared" si="7"/>
        <v>1.31</v>
      </c>
      <c r="P28" s="499">
        <f t="shared" si="7"/>
        <v>1.31</v>
      </c>
      <c r="Q28" s="499">
        <f t="shared" si="7"/>
        <v>1.31</v>
      </c>
      <c r="R28" s="499">
        <f t="shared" si="7"/>
        <v>1.31</v>
      </c>
      <c r="S28" s="499">
        <f t="shared" si="7"/>
        <v>0.85</v>
      </c>
      <c r="T28" s="499">
        <f t="shared" si="7"/>
        <v>0.85</v>
      </c>
      <c r="U28" s="499">
        <f t="shared" si="7"/>
        <v>0.85</v>
      </c>
      <c r="V28" s="499">
        <f t="shared" si="7"/>
        <v>0.85</v>
      </c>
      <c r="W28" s="499">
        <f t="shared" si="7"/>
        <v>0.85</v>
      </c>
      <c r="X28" s="499">
        <f t="shared" si="7"/>
        <v>0.85</v>
      </c>
      <c r="Y28" s="9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row>
    <row r="29" spans="1:67" ht="13.95" customHeight="1" x14ac:dyDescent="0.25">
      <c r="A29" s="551"/>
      <c r="B29" s="551"/>
      <c r="C29" s="551"/>
      <c r="D29" s="552" t="s">
        <v>241</v>
      </c>
      <c r="E29" s="551"/>
      <c r="F29" s="490" t="s">
        <v>217</v>
      </c>
      <c r="G29" s="490">
        <v>2001</v>
      </c>
      <c r="H29" s="490" t="s">
        <v>228</v>
      </c>
      <c r="I29" s="490">
        <v>0.87</v>
      </c>
      <c r="J29" s="490">
        <v>1.1000000000000001</v>
      </c>
      <c r="K29" s="490">
        <v>1.3</v>
      </c>
      <c r="L29" s="490">
        <v>1.3</v>
      </c>
      <c r="M29" s="490">
        <v>1.3</v>
      </c>
      <c r="N29" s="490">
        <v>1.3</v>
      </c>
      <c r="O29" s="490">
        <v>1.3</v>
      </c>
      <c r="P29" s="490">
        <v>1.3</v>
      </c>
      <c r="Q29" s="490">
        <v>1.3</v>
      </c>
      <c r="R29" s="490">
        <v>1.1000000000000001</v>
      </c>
      <c r="S29" s="490">
        <v>1.1000000000000001</v>
      </c>
      <c r="T29" s="490">
        <v>1.1000000000000001</v>
      </c>
      <c r="U29" s="490">
        <v>1.1000000000000001</v>
      </c>
      <c r="V29" s="490">
        <v>1.1000000000000001</v>
      </c>
      <c r="W29" s="490">
        <v>1.1000000000000001</v>
      </c>
      <c r="X29" s="490">
        <v>0.87</v>
      </c>
      <c r="Y29" s="9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row>
    <row r="30" spans="1:67" ht="13.95" customHeight="1" x14ac:dyDescent="0.25">
      <c r="A30" s="551"/>
      <c r="B30" s="551"/>
      <c r="C30" s="551"/>
      <c r="D30" s="552"/>
      <c r="E30" s="551"/>
      <c r="F30" s="492" t="s">
        <v>219</v>
      </c>
      <c r="G30" s="492">
        <v>2013</v>
      </c>
      <c r="H30" s="492" t="s">
        <v>220</v>
      </c>
      <c r="I30" s="492">
        <v>0.88</v>
      </c>
      <c r="J30" s="492">
        <v>0.88</v>
      </c>
      <c r="K30" s="492">
        <v>0.88</v>
      </c>
      <c r="L30" s="492">
        <v>0.88</v>
      </c>
      <c r="M30" s="492">
        <v>0.88</v>
      </c>
      <c r="N30" s="492">
        <v>0.88</v>
      </c>
      <c r="O30" s="492">
        <v>0.88</v>
      </c>
      <c r="P30" s="492">
        <v>0.88</v>
      </c>
      <c r="Q30" s="492">
        <v>0.88</v>
      </c>
      <c r="R30" s="492">
        <v>0.88</v>
      </c>
      <c r="S30" s="492">
        <v>0.88</v>
      </c>
      <c r="T30" s="492">
        <v>0.88</v>
      </c>
      <c r="U30" s="492">
        <v>0.88</v>
      </c>
      <c r="V30" s="492">
        <v>0.88</v>
      </c>
      <c r="W30" s="492">
        <v>0.88</v>
      </c>
      <c r="X30" s="492">
        <v>0.88</v>
      </c>
      <c r="Y30" s="9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row>
    <row r="31" spans="1:67" ht="13.95" customHeight="1" x14ac:dyDescent="0.25">
      <c r="A31" s="551"/>
      <c r="B31" s="551"/>
      <c r="C31" s="551"/>
      <c r="D31" s="552"/>
      <c r="E31" s="551"/>
      <c r="F31" s="494" t="s">
        <v>221</v>
      </c>
      <c r="G31" s="494"/>
      <c r="H31" s="494" t="s">
        <v>222</v>
      </c>
      <c r="I31" s="505" cm="1">
        <f t="array" ref="I31:X31">_xlfn.BYCOL(TRANSPOSE(Weights!$C$4:$F$19)*I27:X30,_xlfn.LAMBDA(_xlpm.c,SUM(_xlpm.c)))</f>
        <v>0.86325440699999989</v>
      </c>
      <c r="J31" s="505">
        <v>1.117095556</v>
      </c>
      <c r="K31" s="505">
        <v>1.289607046</v>
      </c>
      <c r="L31" s="505">
        <v>1.2999473440000002</v>
      </c>
      <c r="M31" s="505">
        <v>1.279340873</v>
      </c>
      <c r="N31" s="505">
        <v>1.291388744</v>
      </c>
      <c r="O31" s="505">
        <v>1.2924247280000001</v>
      </c>
      <c r="P31" s="505">
        <v>1.2905457849999999</v>
      </c>
      <c r="Q31" s="505">
        <v>1.2942298320000001</v>
      </c>
      <c r="R31" s="505">
        <v>1.104598304</v>
      </c>
      <c r="S31" s="505">
        <v>0.91522039799999999</v>
      </c>
      <c r="T31" s="505">
        <v>0.9154484249999999</v>
      </c>
      <c r="U31" s="505">
        <v>0.92472540699999994</v>
      </c>
      <c r="V31" s="505">
        <v>0.96594626900000002</v>
      </c>
      <c r="W31" s="505">
        <v>0.97655152000000001</v>
      </c>
      <c r="X31" s="505">
        <v>0.86538996300000004</v>
      </c>
      <c r="Y31" s="9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row>
    <row r="32" spans="1:67" ht="13.95" customHeight="1" x14ac:dyDescent="0.25">
      <c r="A32" s="551"/>
      <c r="B32" s="551"/>
      <c r="C32" s="551"/>
      <c r="D32" s="552"/>
      <c r="E32" s="551"/>
      <c r="F32" s="496" t="s">
        <v>223</v>
      </c>
      <c r="G32" s="497">
        <v>2025</v>
      </c>
      <c r="H32" s="497" t="s">
        <v>220</v>
      </c>
      <c r="I32" s="496">
        <v>0.88</v>
      </c>
      <c r="J32" s="496">
        <v>0.88</v>
      </c>
      <c r="K32" s="496">
        <v>0.88</v>
      </c>
      <c r="L32" s="496">
        <v>0.88</v>
      </c>
      <c r="M32" s="496">
        <v>0.88</v>
      </c>
      <c r="N32" s="496">
        <v>0.88</v>
      </c>
      <c r="O32" s="496">
        <v>0.88</v>
      </c>
      <c r="P32" s="496">
        <v>0.88</v>
      </c>
      <c r="Q32" s="496">
        <v>0.88</v>
      </c>
      <c r="R32" s="496">
        <v>0.88</v>
      </c>
      <c r="S32" s="496">
        <v>0.88</v>
      </c>
      <c r="T32" s="496">
        <v>0.88</v>
      </c>
      <c r="U32" s="496">
        <v>0.88</v>
      </c>
      <c r="V32" s="496">
        <v>0.88</v>
      </c>
      <c r="W32" s="496">
        <v>0.88</v>
      </c>
      <c r="X32" s="496">
        <v>0.88</v>
      </c>
      <c r="Y32" s="9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row>
    <row r="33" spans="1:67" ht="13.95" customHeight="1" x14ac:dyDescent="0.25">
      <c r="A33" s="551"/>
      <c r="B33" s="551"/>
      <c r="C33" s="551"/>
      <c r="D33" s="552" t="s">
        <v>239</v>
      </c>
      <c r="E33" s="551" t="s">
        <v>235</v>
      </c>
      <c r="F33" s="516" t="s">
        <v>213</v>
      </c>
      <c r="G33" s="516">
        <v>1992</v>
      </c>
      <c r="H33" s="551" t="s">
        <v>242</v>
      </c>
      <c r="I33" s="500">
        <v>0.81</v>
      </c>
      <c r="J33" s="500">
        <v>0.86</v>
      </c>
      <c r="K33" s="500">
        <v>0.86</v>
      </c>
      <c r="L33" s="500">
        <v>0.86</v>
      </c>
      <c r="M33" s="500">
        <v>0.86</v>
      </c>
      <c r="N33" s="500">
        <v>0.86</v>
      </c>
      <c r="O33" s="500">
        <v>0.86</v>
      </c>
      <c r="P33" s="500">
        <v>0.86</v>
      </c>
      <c r="Q33" s="500">
        <v>0.86</v>
      </c>
      <c r="R33" s="500">
        <v>0.86</v>
      </c>
      <c r="S33" s="500">
        <v>0.81</v>
      </c>
      <c r="T33" s="500">
        <v>0.81</v>
      </c>
      <c r="U33" s="500">
        <v>0.81</v>
      </c>
      <c r="V33" s="500">
        <v>0.81</v>
      </c>
      <c r="W33" s="500">
        <v>0.81</v>
      </c>
      <c r="X33" s="500">
        <v>0.81</v>
      </c>
      <c r="Y33" s="9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row>
    <row r="34" spans="1:67" ht="13.95" customHeight="1" x14ac:dyDescent="0.25">
      <c r="A34" s="551"/>
      <c r="B34" s="551"/>
      <c r="C34" s="551"/>
      <c r="D34" s="552"/>
      <c r="E34" s="551"/>
      <c r="F34" s="489" t="s">
        <v>215</v>
      </c>
      <c r="G34" s="489">
        <v>1992</v>
      </c>
      <c r="H34" s="551"/>
      <c r="I34" s="489">
        <f t="shared" ref="I34:X34" si="8">I33</f>
        <v>0.81</v>
      </c>
      <c r="J34" s="489">
        <f t="shared" si="8"/>
        <v>0.86</v>
      </c>
      <c r="K34" s="489">
        <f t="shared" si="8"/>
        <v>0.86</v>
      </c>
      <c r="L34" s="489">
        <f t="shared" si="8"/>
        <v>0.86</v>
      </c>
      <c r="M34" s="489">
        <f t="shared" si="8"/>
        <v>0.86</v>
      </c>
      <c r="N34" s="489">
        <f t="shared" si="8"/>
        <v>0.86</v>
      </c>
      <c r="O34" s="489">
        <f t="shared" si="8"/>
        <v>0.86</v>
      </c>
      <c r="P34" s="489">
        <f t="shared" si="8"/>
        <v>0.86</v>
      </c>
      <c r="Q34" s="489">
        <f t="shared" si="8"/>
        <v>0.86</v>
      </c>
      <c r="R34" s="489">
        <f t="shared" si="8"/>
        <v>0.86</v>
      </c>
      <c r="S34" s="489">
        <f t="shared" si="8"/>
        <v>0.81</v>
      </c>
      <c r="T34" s="489">
        <f t="shared" si="8"/>
        <v>0.81</v>
      </c>
      <c r="U34" s="489">
        <f t="shared" si="8"/>
        <v>0.81</v>
      </c>
      <c r="V34" s="489">
        <f t="shared" si="8"/>
        <v>0.81</v>
      </c>
      <c r="W34" s="489">
        <f t="shared" si="8"/>
        <v>0.81</v>
      </c>
      <c r="X34" s="489">
        <f t="shared" si="8"/>
        <v>0.81</v>
      </c>
      <c r="Y34" s="9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row>
    <row r="35" spans="1:67" ht="13.95" customHeight="1" x14ac:dyDescent="0.25">
      <c r="A35" s="551"/>
      <c r="B35" s="551"/>
      <c r="C35" s="551"/>
      <c r="D35" s="552" t="s">
        <v>241</v>
      </c>
      <c r="E35" s="551"/>
      <c r="F35" s="490" t="s">
        <v>217</v>
      </c>
      <c r="G35" s="490">
        <v>2001</v>
      </c>
      <c r="H35" s="490" t="s">
        <v>243</v>
      </c>
      <c r="I35" s="490">
        <v>0.57999999999999996</v>
      </c>
      <c r="J35" s="490">
        <v>0.62</v>
      </c>
      <c r="K35" s="490">
        <v>0.65</v>
      </c>
      <c r="L35" s="490">
        <v>0.65</v>
      </c>
      <c r="M35" s="490">
        <v>0.65</v>
      </c>
      <c r="N35" s="490">
        <v>0.62</v>
      </c>
      <c r="O35" s="490">
        <v>0.62</v>
      </c>
      <c r="P35" s="490">
        <v>0.62</v>
      </c>
      <c r="Q35" s="490">
        <v>0.62</v>
      </c>
      <c r="R35" s="490">
        <v>0.62</v>
      </c>
      <c r="S35" s="490">
        <v>0.62</v>
      </c>
      <c r="T35" s="490">
        <v>0.62</v>
      </c>
      <c r="U35" s="490">
        <v>0.62</v>
      </c>
      <c r="V35" s="490">
        <v>0.57999999999999996</v>
      </c>
      <c r="W35" s="490">
        <v>0.57999999999999996</v>
      </c>
      <c r="X35" s="490">
        <v>0.57999999999999996</v>
      </c>
      <c r="Y35" s="9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row>
    <row r="36" spans="1:67" ht="27" customHeight="1" x14ac:dyDescent="0.25">
      <c r="A36" s="551"/>
      <c r="B36" s="551"/>
      <c r="C36" s="551"/>
      <c r="D36" s="552"/>
      <c r="E36" s="551"/>
      <c r="F36" s="492" t="s">
        <v>219</v>
      </c>
      <c r="G36" s="492">
        <v>2013</v>
      </c>
      <c r="H36" s="501" t="s">
        <v>244</v>
      </c>
      <c r="I36" s="492">
        <f t="shared" ref="I36:X36" si="9">I35</f>
        <v>0.57999999999999996</v>
      </c>
      <c r="J36" s="492">
        <f t="shared" si="9"/>
        <v>0.62</v>
      </c>
      <c r="K36" s="492">
        <f t="shared" si="9"/>
        <v>0.65</v>
      </c>
      <c r="L36" s="492">
        <f t="shared" si="9"/>
        <v>0.65</v>
      </c>
      <c r="M36" s="492">
        <f t="shared" si="9"/>
        <v>0.65</v>
      </c>
      <c r="N36" s="492">
        <f t="shared" si="9"/>
        <v>0.62</v>
      </c>
      <c r="O36" s="492">
        <f t="shared" si="9"/>
        <v>0.62</v>
      </c>
      <c r="P36" s="492">
        <f t="shared" si="9"/>
        <v>0.62</v>
      </c>
      <c r="Q36" s="492">
        <f t="shared" si="9"/>
        <v>0.62</v>
      </c>
      <c r="R36" s="492">
        <f t="shared" si="9"/>
        <v>0.62</v>
      </c>
      <c r="S36" s="492">
        <f t="shared" si="9"/>
        <v>0.62</v>
      </c>
      <c r="T36" s="492">
        <f t="shared" si="9"/>
        <v>0.62</v>
      </c>
      <c r="U36" s="492">
        <f t="shared" si="9"/>
        <v>0.62</v>
      </c>
      <c r="V36" s="492">
        <f t="shared" si="9"/>
        <v>0.57999999999999996</v>
      </c>
      <c r="W36" s="492">
        <f t="shared" si="9"/>
        <v>0.57999999999999996</v>
      </c>
      <c r="X36" s="492">
        <f t="shared" si="9"/>
        <v>0.57999999999999996</v>
      </c>
      <c r="Y36" s="9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row>
    <row r="37" spans="1:67" ht="13.95" customHeight="1" x14ac:dyDescent="0.25">
      <c r="A37" s="551"/>
      <c r="B37" s="551"/>
      <c r="C37" s="551"/>
      <c r="D37" s="552"/>
      <c r="E37" s="551"/>
      <c r="F37" s="494" t="s">
        <v>221</v>
      </c>
      <c r="G37" s="494"/>
      <c r="H37" s="495" t="s">
        <v>222</v>
      </c>
      <c r="I37" s="505" cm="1">
        <f t="array" ref="I37:X37">_xlfn.BYCOL(TRANSPOSE(Weights!$C$4:$F$19)*I33:X36,_xlfn.LAMBDA(_xlpm.c,SUM(_xlpm.c)))</f>
        <v>0.68628369</v>
      </c>
      <c r="J37" s="505">
        <v>0.73085057600000003</v>
      </c>
      <c r="K37" s="505">
        <v>0.80145063299999997</v>
      </c>
      <c r="L37" s="505">
        <v>0.80870911500000009</v>
      </c>
      <c r="M37" s="505">
        <v>0.73656655700000007</v>
      </c>
      <c r="N37" s="505">
        <v>0.817324194</v>
      </c>
      <c r="O37" s="505">
        <v>0.78845028799999994</v>
      </c>
      <c r="P37" s="505">
        <v>0.8191985839999999</v>
      </c>
      <c r="Q37" s="505">
        <v>0.82007494400000003</v>
      </c>
      <c r="R37" s="505">
        <v>0.68245510399999998</v>
      </c>
      <c r="S37" s="505">
        <v>0.72474882399999996</v>
      </c>
      <c r="T37" s="505">
        <v>0.72917713499999992</v>
      </c>
      <c r="U37" s="505">
        <v>0.7275774490000001</v>
      </c>
      <c r="V37" s="505">
        <v>0.67828702699999999</v>
      </c>
      <c r="W37" s="505">
        <v>0.62922630199999996</v>
      </c>
      <c r="X37" s="505">
        <v>0.65166288300000008</v>
      </c>
      <c r="Y37" s="9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row>
    <row r="38" spans="1:67" ht="28.5" customHeight="1" x14ac:dyDescent="0.25">
      <c r="A38" s="551"/>
      <c r="B38" s="551"/>
      <c r="C38" s="551"/>
      <c r="D38" s="552"/>
      <c r="E38" s="551"/>
      <c r="F38" s="496" t="s">
        <v>223</v>
      </c>
      <c r="G38" s="497">
        <v>2025</v>
      </c>
      <c r="H38" s="502" t="s">
        <v>244</v>
      </c>
      <c r="I38" s="496">
        <f t="shared" ref="I38:X38" si="10">I35</f>
        <v>0.57999999999999996</v>
      </c>
      <c r="J38" s="496">
        <f t="shared" si="10"/>
        <v>0.62</v>
      </c>
      <c r="K38" s="496">
        <f t="shared" si="10"/>
        <v>0.65</v>
      </c>
      <c r="L38" s="496">
        <f t="shared" si="10"/>
        <v>0.65</v>
      </c>
      <c r="M38" s="496">
        <f t="shared" si="10"/>
        <v>0.65</v>
      </c>
      <c r="N38" s="496">
        <f t="shared" si="10"/>
        <v>0.62</v>
      </c>
      <c r="O38" s="496">
        <f t="shared" si="10"/>
        <v>0.62</v>
      </c>
      <c r="P38" s="496">
        <f t="shared" si="10"/>
        <v>0.62</v>
      </c>
      <c r="Q38" s="496">
        <f t="shared" si="10"/>
        <v>0.62</v>
      </c>
      <c r="R38" s="496">
        <f t="shared" si="10"/>
        <v>0.62</v>
      </c>
      <c r="S38" s="496">
        <f t="shared" si="10"/>
        <v>0.62</v>
      </c>
      <c r="T38" s="496">
        <f t="shared" si="10"/>
        <v>0.62</v>
      </c>
      <c r="U38" s="496">
        <f t="shared" si="10"/>
        <v>0.62</v>
      </c>
      <c r="V38" s="496">
        <f t="shared" si="10"/>
        <v>0.57999999999999996</v>
      </c>
      <c r="W38" s="496">
        <f t="shared" si="10"/>
        <v>0.57999999999999996</v>
      </c>
      <c r="X38" s="496">
        <f t="shared" si="10"/>
        <v>0.57999999999999996</v>
      </c>
      <c r="Y38" s="9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row>
    <row r="39" spans="1:67" ht="15.75" customHeight="1" x14ac:dyDescent="0.25">
      <c r="A39" s="4"/>
      <c r="B39" s="8"/>
      <c r="C39" s="4"/>
      <c r="D39" s="4"/>
      <c r="E39" s="93"/>
      <c r="F39" s="93"/>
      <c r="G39" s="94"/>
      <c r="H39" s="93"/>
      <c r="I39" s="93"/>
      <c r="J39" s="93"/>
      <c r="K39" s="93"/>
      <c r="L39" s="93"/>
      <c r="M39" s="93"/>
      <c r="N39" s="93"/>
      <c r="O39" s="93"/>
      <c r="P39" s="93"/>
      <c r="Q39" s="93"/>
      <c r="R39" s="93"/>
      <c r="S39" s="93"/>
      <c r="T39" s="93"/>
      <c r="U39" s="93"/>
      <c r="V39" s="93"/>
      <c r="W39" s="93"/>
      <c r="X39" s="93"/>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row>
    <row r="40" spans="1:67" ht="25.95" customHeight="1" x14ac:dyDescent="0.25">
      <c r="A40" s="4"/>
      <c r="B40" s="96"/>
      <c r="C40" s="570" t="s">
        <v>245</v>
      </c>
      <c r="D40" s="570"/>
      <c r="E40" s="570"/>
      <c r="F40" s="570"/>
      <c r="G40" s="570"/>
      <c r="H40" s="570"/>
      <c r="I40" s="570"/>
      <c r="J40" s="570"/>
      <c r="K40" s="152"/>
      <c r="L40" s="152"/>
      <c r="M40" s="95"/>
      <c r="N40" s="95"/>
      <c r="O40" s="95"/>
      <c r="P40" s="95"/>
      <c r="Q40" s="95"/>
      <c r="R40" s="95"/>
      <c r="S40" s="95"/>
      <c r="T40" s="95"/>
      <c r="U40" s="95"/>
      <c r="V40" s="95"/>
      <c r="W40" s="95"/>
      <c r="X40" s="95"/>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row>
    <row r="41" spans="1:67" ht="43.2" customHeight="1" x14ac:dyDescent="0.25">
      <c r="A41" s="4"/>
      <c r="B41" s="8"/>
      <c r="C41" s="506"/>
      <c r="D41" s="506" t="s">
        <v>161</v>
      </c>
      <c r="E41" s="506" t="s">
        <v>246</v>
      </c>
      <c r="F41" s="153" t="s">
        <v>191</v>
      </c>
      <c r="G41" s="179" t="s">
        <v>247</v>
      </c>
      <c r="H41" s="179" t="s">
        <v>248</v>
      </c>
      <c r="I41" s="574" t="s">
        <v>249</v>
      </c>
      <c r="J41" s="575"/>
      <c r="K41" s="575"/>
      <c r="L41" s="575"/>
      <c r="M41" s="575"/>
      <c r="N41" s="575"/>
      <c r="O41" s="575"/>
      <c r="P41" s="575"/>
      <c r="Q41" s="575"/>
      <c r="R41" s="575"/>
      <c r="S41" s="575"/>
      <c r="T41" s="575"/>
      <c r="U41" s="575"/>
      <c r="V41" s="575"/>
      <c r="W41" s="575"/>
      <c r="X41" s="576"/>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row>
    <row r="42" spans="1:67" ht="24.6" customHeight="1" x14ac:dyDescent="0.25">
      <c r="A42" s="4"/>
      <c r="B42" s="8"/>
      <c r="C42" s="577" t="s">
        <v>245</v>
      </c>
      <c r="D42" s="577" t="s">
        <v>49</v>
      </c>
      <c r="E42" s="577"/>
      <c r="F42" s="488" t="s">
        <v>213</v>
      </c>
      <c r="G42" s="488">
        <v>1.1000000000000001</v>
      </c>
      <c r="H42" s="154" t="s">
        <v>250</v>
      </c>
      <c r="I42" s="571">
        <v>0.57689999999999997</v>
      </c>
      <c r="J42" s="572"/>
      <c r="K42" s="572"/>
      <c r="L42" s="572"/>
      <c r="M42" s="572"/>
      <c r="N42" s="572"/>
      <c r="O42" s="572"/>
      <c r="P42" s="572"/>
      <c r="Q42" s="572"/>
      <c r="R42" s="572"/>
      <c r="S42" s="572"/>
      <c r="T42" s="572"/>
      <c r="U42" s="572"/>
      <c r="V42" s="572"/>
      <c r="W42" s="572"/>
      <c r="X42" s="573"/>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row>
    <row r="43" spans="1:67" ht="100.95" customHeight="1" x14ac:dyDescent="0.25">
      <c r="A43" s="4"/>
      <c r="B43" s="4"/>
      <c r="C43" s="578"/>
      <c r="D43" s="578"/>
      <c r="E43" s="578"/>
      <c r="F43" s="488" t="s">
        <v>215</v>
      </c>
      <c r="G43" s="488">
        <v>1.1000000000000001</v>
      </c>
      <c r="H43" s="154" t="s">
        <v>250</v>
      </c>
      <c r="I43" s="571">
        <v>0.57689999999999997</v>
      </c>
      <c r="J43" s="572"/>
      <c r="K43" s="572"/>
      <c r="L43" s="572"/>
      <c r="M43" s="572"/>
      <c r="N43" s="572"/>
      <c r="O43" s="572"/>
      <c r="P43" s="572"/>
      <c r="Q43" s="572"/>
      <c r="R43" s="572"/>
      <c r="S43" s="572"/>
      <c r="T43" s="572"/>
      <c r="U43" s="572"/>
      <c r="V43" s="572"/>
      <c r="W43" s="572"/>
      <c r="X43" s="573"/>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row>
    <row r="44" spans="1:67" ht="24.6" customHeight="1" x14ac:dyDescent="0.25">
      <c r="A44" s="4"/>
      <c r="B44" s="8"/>
      <c r="C44" s="578"/>
      <c r="D44" s="578"/>
      <c r="E44" s="578"/>
      <c r="F44" s="488" t="s">
        <v>217</v>
      </c>
      <c r="G44" s="488">
        <v>1.1000000000000001</v>
      </c>
      <c r="H44" s="154" t="s">
        <v>250</v>
      </c>
      <c r="I44" s="571">
        <v>0.57689999999999997</v>
      </c>
      <c r="J44" s="572"/>
      <c r="K44" s="572"/>
      <c r="L44" s="572"/>
      <c r="M44" s="572"/>
      <c r="N44" s="572"/>
      <c r="O44" s="572"/>
      <c r="P44" s="572"/>
      <c r="Q44" s="572"/>
      <c r="R44" s="572"/>
      <c r="S44" s="572"/>
      <c r="T44" s="572"/>
      <c r="U44" s="572"/>
      <c r="V44" s="572"/>
      <c r="W44" s="572"/>
      <c r="X44" s="573"/>
      <c r="Y44" s="56"/>
      <c r="Z44" s="2"/>
      <c r="AA44" s="2"/>
      <c r="AB44" s="2"/>
      <c r="AC44" s="2"/>
      <c r="AD44" s="2"/>
      <c r="AE44" s="2"/>
      <c r="AF44" s="2"/>
      <c r="AG44" s="2"/>
      <c r="AH44" s="2"/>
      <c r="AI44" s="2"/>
      <c r="AJ44" s="2"/>
      <c r="AK44" s="2"/>
      <c r="AL44" s="2"/>
      <c r="AM44" s="2"/>
      <c r="AN44" s="2"/>
      <c r="AO44" s="2"/>
      <c r="AP44" s="2"/>
      <c r="AQ44" s="2"/>
      <c r="AR44" s="565"/>
      <c r="AS44" s="565"/>
      <c r="AT44" s="565"/>
      <c r="AU44" s="565"/>
      <c r="AV44" s="565"/>
      <c r="AW44" s="565"/>
      <c r="AX44" s="565"/>
      <c r="AY44" s="565"/>
      <c r="AZ44" s="2"/>
      <c r="BA44" s="2"/>
      <c r="BB44" s="2"/>
      <c r="BC44" s="2"/>
      <c r="BD44" s="2"/>
      <c r="BE44" s="2"/>
      <c r="BF44" s="2"/>
      <c r="BG44" s="2"/>
      <c r="BH44" s="2"/>
      <c r="BI44" s="2"/>
      <c r="BJ44" s="2"/>
      <c r="BK44" s="2"/>
      <c r="BL44" s="2"/>
      <c r="BM44" s="2"/>
      <c r="BN44" s="2"/>
      <c r="BO44" s="2"/>
    </row>
    <row r="45" spans="1:67" ht="33.6" customHeight="1" x14ac:dyDescent="0.25">
      <c r="A45" s="4"/>
      <c r="B45" s="8"/>
      <c r="C45" s="578"/>
      <c r="D45" s="578"/>
      <c r="E45" s="578"/>
      <c r="F45" s="488" t="s">
        <v>219</v>
      </c>
      <c r="G45" s="269">
        <v>1</v>
      </c>
      <c r="H45" s="178" t="s">
        <v>251</v>
      </c>
      <c r="I45" s="571">
        <v>0.52790000000000004</v>
      </c>
      <c r="J45" s="572"/>
      <c r="K45" s="572"/>
      <c r="L45" s="572"/>
      <c r="M45" s="572"/>
      <c r="N45" s="572"/>
      <c r="O45" s="572"/>
      <c r="P45" s="572"/>
      <c r="Q45" s="572"/>
      <c r="R45" s="572"/>
      <c r="S45" s="572"/>
      <c r="T45" s="572"/>
      <c r="U45" s="572"/>
      <c r="V45" s="572"/>
      <c r="W45" s="572"/>
      <c r="X45" s="573"/>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row>
    <row r="46" spans="1:67" ht="33.6" customHeight="1" x14ac:dyDescent="0.25">
      <c r="A46" s="4"/>
      <c r="B46" s="8"/>
      <c r="C46" s="578"/>
      <c r="D46" s="578"/>
      <c r="E46" s="578"/>
      <c r="F46" s="454" t="s">
        <v>221</v>
      </c>
      <c r="G46" s="507"/>
      <c r="H46" s="508" t="s">
        <v>642</v>
      </c>
      <c r="I46" s="581">
        <f>I44</f>
        <v>0.57689999999999997</v>
      </c>
      <c r="J46" s="582"/>
      <c r="K46" s="582"/>
      <c r="L46" s="582"/>
      <c r="M46" s="582"/>
      <c r="N46" s="582"/>
      <c r="O46" s="582"/>
      <c r="P46" s="582"/>
      <c r="Q46" s="582"/>
      <c r="R46" s="582"/>
      <c r="S46" s="582"/>
      <c r="T46" s="582"/>
      <c r="U46" s="582"/>
      <c r="V46" s="582"/>
      <c r="W46" s="582"/>
      <c r="X46" s="583"/>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row>
    <row r="47" spans="1:67" ht="34.200000000000003" customHeight="1" x14ac:dyDescent="0.25">
      <c r="A47" s="4"/>
      <c r="B47" s="8"/>
      <c r="C47" s="579"/>
      <c r="D47" s="579"/>
      <c r="E47" s="579"/>
      <c r="F47" s="488" t="s">
        <v>223</v>
      </c>
      <c r="G47" s="488">
        <v>0.6</v>
      </c>
      <c r="H47" s="178" t="s">
        <v>252</v>
      </c>
      <c r="I47" s="571">
        <v>0.31469999999999998</v>
      </c>
      <c r="J47" s="572"/>
      <c r="K47" s="572"/>
      <c r="L47" s="572"/>
      <c r="M47" s="572"/>
      <c r="N47" s="572"/>
      <c r="O47" s="572"/>
      <c r="P47" s="572"/>
      <c r="Q47" s="572"/>
      <c r="R47" s="572"/>
      <c r="S47" s="572"/>
      <c r="T47" s="572"/>
      <c r="U47" s="572"/>
      <c r="V47" s="572"/>
      <c r="W47" s="572"/>
      <c r="X47" s="573"/>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row>
    <row r="48" spans="1:67" x14ac:dyDescent="0.25">
      <c r="A48" s="2"/>
      <c r="B48" s="96"/>
      <c r="C48" s="2"/>
      <c r="D48" s="2"/>
      <c r="E48" s="289" t="s">
        <v>253</v>
      </c>
      <c r="F48" s="512"/>
      <c r="G48" s="156"/>
      <c r="H48" s="84"/>
      <c r="I48" s="84"/>
      <c r="J48" s="84"/>
      <c r="K48" s="84"/>
      <c r="L48" s="84"/>
      <c r="M48" s="84"/>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row>
    <row r="49" spans="1:67" ht="14.4" x14ac:dyDescent="0.3">
      <c r="A49" s="2"/>
      <c r="B49" s="96"/>
      <c r="C49" s="2"/>
      <c r="D49" s="2"/>
      <c r="E49" s="177" t="s">
        <v>254</v>
      </c>
      <c r="F49" s="84"/>
      <c r="G49" s="84"/>
      <c r="H49" s="84"/>
      <c r="I49" s="84"/>
      <c r="J49" s="84"/>
      <c r="K49" s="84"/>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row>
    <row r="50" spans="1:67" x14ac:dyDescent="0.25">
      <c r="A50" s="2"/>
      <c r="B50" s="96"/>
      <c r="C50" s="2"/>
      <c r="D50" s="2"/>
      <c r="E50" s="2"/>
      <c r="F50" s="2"/>
      <c r="G50" s="97"/>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row>
    <row r="51" spans="1:67" x14ac:dyDescent="0.25">
      <c r="A51" s="2"/>
      <c r="B51" s="96"/>
      <c r="C51" s="2"/>
      <c r="D51" s="2"/>
      <c r="E51" s="2"/>
      <c r="F51" s="2"/>
      <c r="G51" s="97"/>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row>
    <row r="52" spans="1:67" x14ac:dyDescent="0.25">
      <c r="A52" s="2"/>
      <c r="B52" s="96"/>
      <c r="C52" s="2"/>
      <c r="D52" s="2"/>
      <c r="E52" s="566" t="s">
        <v>255</v>
      </c>
      <c r="F52" s="566"/>
      <c r="G52" s="566"/>
      <c r="H52" s="566"/>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row>
    <row r="53" spans="1:67" x14ac:dyDescent="0.25">
      <c r="A53" s="2"/>
      <c r="B53" s="96"/>
      <c r="C53" s="2"/>
      <c r="D53" s="2"/>
      <c r="E53" s="68" t="s">
        <v>256</v>
      </c>
      <c r="F53" s="68" t="s">
        <v>257</v>
      </c>
      <c r="G53" s="68" t="s">
        <v>248</v>
      </c>
      <c r="H53" s="68" t="s">
        <v>193</v>
      </c>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row>
    <row r="54" spans="1:67" ht="41.4" x14ac:dyDescent="0.25">
      <c r="A54" s="2"/>
      <c r="B54" s="96"/>
      <c r="C54" s="2"/>
      <c r="D54" s="2"/>
      <c r="E54" s="455" t="s">
        <v>173</v>
      </c>
      <c r="F54" s="455" t="s">
        <v>258</v>
      </c>
      <c r="G54" s="455" t="s">
        <v>259</v>
      </c>
      <c r="H54" s="456" t="s">
        <v>260</v>
      </c>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row>
    <row r="55" spans="1:67" ht="110.4" x14ac:dyDescent="0.25">
      <c r="A55" s="2"/>
      <c r="B55" s="96"/>
      <c r="C55" s="2"/>
      <c r="D55" s="2"/>
      <c r="E55" s="346" t="s">
        <v>180</v>
      </c>
      <c r="F55" s="455" t="s">
        <v>261</v>
      </c>
      <c r="G55" s="346" t="s">
        <v>262</v>
      </c>
      <c r="H55" s="456" t="s">
        <v>263</v>
      </c>
      <c r="I55" s="60" t="s">
        <v>264</v>
      </c>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row>
    <row r="56" spans="1:67" x14ac:dyDescent="0.25">
      <c r="A56" s="2"/>
      <c r="B56" s="96"/>
      <c r="C56" s="2"/>
      <c r="D56" s="2"/>
      <c r="E56" s="4"/>
      <c r="F56" s="370">
        <f>32*7/616</f>
        <v>0.36363636363636365</v>
      </c>
      <c r="G56" s="4"/>
      <c r="H56" s="4"/>
      <c r="I56" s="4"/>
      <c r="J56" s="4"/>
      <c r="K56" s="565"/>
      <c r="L56" s="565"/>
      <c r="M56" s="565"/>
      <c r="N56" s="565"/>
      <c r="O56" s="565"/>
      <c r="P56" s="565"/>
      <c r="Q56" s="565"/>
      <c r="R56" s="565"/>
      <c r="S56" s="565"/>
      <c r="T56" s="565"/>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c r="BO56" s="2"/>
    </row>
    <row r="57" spans="1:67" x14ac:dyDescent="0.25">
      <c r="A57" s="2"/>
      <c r="B57" s="96"/>
      <c r="C57" s="2"/>
      <c r="D57" s="2"/>
      <c r="E57" s="2"/>
      <c r="F57" s="2"/>
      <c r="G57" s="97"/>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c r="BN57" s="2"/>
      <c r="BO57" s="2"/>
    </row>
    <row r="58" spans="1:67" x14ac:dyDescent="0.25">
      <c r="A58" s="2"/>
      <c r="B58" s="96"/>
      <c r="C58" s="2"/>
      <c r="D58" s="2"/>
      <c r="E58" s="2"/>
      <c r="F58" s="2"/>
      <c r="G58" s="97"/>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c r="BM58" s="2"/>
      <c r="BN58" s="2"/>
      <c r="BO58" s="2"/>
    </row>
    <row r="59" spans="1:67" x14ac:dyDescent="0.25">
      <c r="A59" s="2"/>
      <c r="B59" s="96"/>
      <c r="C59" s="2"/>
      <c r="D59" s="2"/>
      <c r="E59" s="2"/>
      <c r="F59" s="2"/>
      <c r="G59" s="97"/>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c r="BM59" s="2"/>
      <c r="BN59" s="2"/>
      <c r="BO59" s="2"/>
    </row>
    <row r="60" spans="1:67" x14ac:dyDescent="0.25">
      <c r="A60" s="91" t="s">
        <v>265</v>
      </c>
      <c r="B60" s="543"/>
      <c r="C60" s="91"/>
      <c r="D60" s="91"/>
      <c r="E60" s="91"/>
      <c r="F60" s="544"/>
      <c r="G60" s="545"/>
      <c r="H60" s="91"/>
      <c r="I60" s="91"/>
      <c r="J60" s="91"/>
      <c r="K60" s="91"/>
      <c r="L60" s="91"/>
      <c r="M60" s="91"/>
      <c r="N60" s="91"/>
      <c r="O60" s="91"/>
      <c r="P60" s="91"/>
      <c r="Q60" s="91"/>
      <c r="R60" s="91"/>
      <c r="S60" s="91"/>
      <c r="T60" s="91"/>
      <c r="U60" s="91"/>
      <c r="V60" s="91"/>
      <c r="W60" s="91"/>
      <c r="X60" s="91"/>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row>
    <row r="61" spans="1:67" ht="14.25" customHeight="1" x14ac:dyDescent="0.25">
      <c r="A61" s="562" t="s">
        <v>210</v>
      </c>
      <c r="B61" s="562" t="s">
        <v>49</v>
      </c>
      <c r="C61" s="563" t="s">
        <v>211</v>
      </c>
      <c r="D61" s="563" t="s">
        <v>643</v>
      </c>
      <c r="E61" s="562" t="s">
        <v>266</v>
      </c>
      <c r="F61" s="553" t="s">
        <v>213</v>
      </c>
      <c r="G61" s="556" t="s">
        <v>214</v>
      </c>
      <c r="H61" s="547" t="s">
        <v>267</v>
      </c>
      <c r="I61" s="548">
        <v>1.18</v>
      </c>
      <c r="J61" s="548">
        <v>1.18</v>
      </c>
      <c r="K61" s="548">
        <v>1.18</v>
      </c>
      <c r="L61" s="548">
        <v>1.18</v>
      </c>
      <c r="M61" s="548">
        <v>1.18</v>
      </c>
      <c r="N61" s="548">
        <v>1.18</v>
      </c>
      <c r="O61" s="548">
        <v>1.18</v>
      </c>
      <c r="P61" s="548">
        <v>1.18</v>
      </c>
      <c r="Q61" s="548">
        <v>1.18</v>
      </c>
      <c r="R61" s="548">
        <v>1.18</v>
      </c>
      <c r="S61" s="548">
        <v>1.18</v>
      </c>
      <c r="T61" s="548">
        <v>1.18</v>
      </c>
      <c r="U61" s="548">
        <v>1.18</v>
      </c>
      <c r="V61" s="548">
        <v>1.18</v>
      </c>
      <c r="W61" s="548">
        <v>1.18</v>
      </c>
      <c r="X61" s="548">
        <v>1.18</v>
      </c>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row>
    <row r="62" spans="1:67" x14ac:dyDescent="0.25">
      <c r="A62" s="562"/>
      <c r="B62" s="562"/>
      <c r="C62" s="563"/>
      <c r="D62" s="563"/>
      <c r="E62" s="562"/>
      <c r="F62" s="554"/>
      <c r="G62" s="557"/>
      <c r="H62" s="515" t="s">
        <v>268</v>
      </c>
      <c r="I62" s="549">
        <v>0.113</v>
      </c>
      <c r="J62" s="549">
        <v>6.0999999999999999E-2</v>
      </c>
      <c r="K62" s="549">
        <v>0.113</v>
      </c>
      <c r="L62" s="549">
        <v>6.0999999999999999E-2</v>
      </c>
      <c r="M62" s="549">
        <v>6.0999999999999999E-2</v>
      </c>
      <c r="N62" s="549">
        <v>0.113</v>
      </c>
      <c r="O62" s="549">
        <v>0.113</v>
      </c>
      <c r="P62" s="549">
        <v>6.0999999999999999E-2</v>
      </c>
      <c r="Q62" s="549">
        <v>6.0999999999999999E-2</v>
      </c>
      <c r="R62" s="549">
        <v>6.0999999999999999E-2</v>
      </c>
      <c r="S62" s="549">
        <v>6.0999999999999999E-2</v>
      </c>
      <c r="T62" s="549">
        <v>6.0999999999999999E-2</v>
      </c>
      <c r="U62" s="549">
        <v>6.0999999999999999E-2</v>
      </c>
      <c r="V62" s="549">
        <v>6.0999999999999999E-2</v>
      </c>
      <c r="W62" s="549">
        <v>5.7000000000000002E-2</v>
      </c>
      <c r="X62" s="549">
        <v>6.0999999999999999E-2</v>
      </c>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row>
    <row r="63" spans="1:67" ht="35.25" customHeight="1" x14ac:dyDescent="0.25">
      <c r="A63" s="562"/>
      <c r="B63" s="562"/>
      <c r="C63" s="563"/>
      <c r="D63" s="563"/>
      <c r="E63" s="562"/>
      <c r="F63" s="554"/>
      <c r="G63" s="557"/>
      <c r="H63" s="515" t="s">
        <v>269</v>
      </c>
      <c r="I63" s="486">
        <v>0.30099999999999999</v>
      </c>
      <c r="J63" s="486">
        <v>0.30099999999999999</v>
      </c>
      <c r="K63" s="486">
        <v>0.30099999999999999</v>
      </c>
      <c r="L63" s="486">
        <v>0.30099999999999999</v>
      </c>
      <c r="M63" s="486">
        <v>0.30099999999999999</v>
      </c>
      <c r="N63" s="486">
        <v>0.30099999999999999</v>
      </c>
      <c r="O63" s="486">
        <v>0.30099999999999999</v>
      </c>
      <c r="P63" s="486">
        <v>0.30099999999999999</v>
      </c>
      <c r="Q63" s="486">
        <v>0.30099999999999999</v>
      </c>
      <c r="R63" s="486">
        <v>0.30099999999999999</v>
      </c>
      <c r="S63" s="486">
        <v>0.30099999999999999</v>
      </c>
      <c r="T63" s="486">
        <v>0.30099999999999999</v>
      </c>
      <c r="U63" s="486">
        <v>0.30099999999999999</v>
      </c>
      <c r="V63" s="486">
        <v>0.30099999999999999</v>
      </c>
      <c r="W63" s="486">
        <v>0.30099999999999999</v>
      </c>
      <c r="X63" s="486">
        <v>0.30099999999999999</v>
      </c>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row>
    <row r="64" spans="1:67" ht="39.6" x14ac:dyDescent="0.25">
      <c r="A64" s="562"/>
      <c r="B64" s="562"/>
      <c r="C64" s="563"/>
      <c r="D64" s="563"/>
      <c r="E64" s="564"/>
      <c r="F64" s="555"/>
      <c r="G64" s="558"/>
      <c r="H64" s="511" t="s">
        <v>270</v>
      </c>
      <c r="I64" s="559">
        <v>5.0999999999999997E-2</v>
      </c>
      <c r="J64" s="560"/>
      <c r="K64" s="560"/>
      <c r="L64" s="560"/>
      <c r="M64" s="560"/>
      <c r="N64" s="560"/>
      <c r="O64" s="560"/>
      <c r="P64" s="560"/>
      <c r="Q64" s="560"/>
      <c r="R64" s="560"/>
      <c r="S64" s="560"/>
      <c r="T64" s="560"/>
      <c r="U64" s="560"/>
      <c r="V64" s="560"/>
      <c r="W64" s="560"/>
      <c r="X64" s="561"/>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row>
    <row r="65" spans="1:67" x14ac:dyDescent="0.25">
      <c r="A65" s="2"/>
      <c r="B65" s="96"/>
      <c r="C65" s="2"/>
      <c r="D65" s="2"/>
      <c r="E65" s="2"/>
      <c r="F65" s="2"/>
      <c r="G65" s="97"/>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c r="BN65" s="2"/>
      <c r="BO65" s="2"/>
    </row>
    <row r="66" spans="1:67" s="55" customFormat="1" ht="17.399999999999999" hidden="1" x14ac:dyDescent="0.3">
      <c r="A66" s="26" t="s">
        <v>84</v>
      </c>
      <c r="B66" s="98"/>
      <c r="C66" s="98"/>
      <c r="D66" s="98"/>
      <c r="E66" s="99"/>
      <c r="F66" s="100"/>
      <c r="G66" s="101"/>
      <c r="H66" s="98"/>
      <c r="I66" s="98"/>
      <c r="J66" s="98"/>
      <c r="K66" s="98"/>
      <c r="L66" s="98"/>
      <c r="M66" s="98"/>
      <c r="N66" s="98"/>
      <c r="O66" s="98"/>
      <c r="P66" s="98"/>
      <c r="Q66" s="98"/>
      <c r="R66" s="98"/>
      <c r="S66" s="98"/>
      <c r="T66" s="98"/>
      <c r="U66" s="98"/>
      <c r="V66" s="98"/>
      <c r="W66" s="98"/>
      <c r="X66" s="98"/>
      <c r="Y66" s="98"/>
      <c r="Z66" s="98"/>
      <c r="AA66" s="98"/>
      <c r="AB66" s="98"/>
      <c r="AC66" s="98"/>
      <c r="AD66" s="98"/>
      <c r="AE66" s="98"/>
      <c r="AF66" s="98"/>
      <c r="AG66" s="98"/>
      <c r="AH66" s="98"/>
      <c r="AI66" s="98"/>
      <c r="AJ66" s="98"/>
      <c r="AK66" s="98"/>
      <c r="AL66" s="98"/>
      <c r="AM66" s="98"/>
      <c r="AN66" s="98"/>
      <c r="AO66" s="98"/>
      <c r="AP66" s="98"/>
      <c r="AQ66" s="98"/>
      <c r="AR66" s="98"/>
      <c r="AS66" s="98"/>
      <c r="AT66" s="98"/>
      <c r="AU66" s="98"/>
      <c r="AV66" s="98"/>
      <c r="AW66" s="98"/>
      <c r="AX66" s="98"/>
      <c r="AY66" s="98"/>
      <c r="AZ66" s="98"/>
      <c r="BA66" s="98"/>
      <c r="BB66" s="98"/>
      <c r="BC66" s="98"/>
      <c r="BD66" s="98"/>
      <c r="BE66" s="98"/>
      <c r="BF66" s="98"/>
      <c r="BG66" s="98"/>
      <c r="BH66" s="98"/>
      <c r="BI66" s="98"/>
      <c r="BJ66" s="98"/>
      <c r="BK66" s="98"/>
      <c r="BL66" s="98"/>
      <c r="BM66" s="98"/>
      <c r="BN66" s="98"/>
      <c r="BO66" s="98"/>
    </row>
    <row r="67" spans="1:67" s="220" customFormat="1" ht="17.399999999999999" hidden="1" customHeight="1" x14ac:dyDescent="0.3">
      <c r="A67" s="5"/>
      <c r="B67" s="216"/>
      <c r="C67" s="216"/>
      <c r="D67" s="216"/>
      <c r="E67" s="217"/>
      <c r="F67" s="218"/>
      <c r="G67" s="219"/>
      <c r="H67" s="216"/>
      <c r="I67" s="216"/>
      <c r="J67" s="216"/>
      <c r="K67" s="216"/>
      <c r="L67" s="216"/>
      <c r="M67" s="216"/>
      <c r="N67" s="216"/>
      <c r="O67" s="216"/>
      <c r="P67" s="216"/>
      <c r="Q67" s="216"/>
      <c r="R67" s="216"/>
      <c r="S67" s="216"/>
      <c r="T67" s="216"/>
      <c r="U67" s="216"/>
      <c r="V67" s="216"/>
      <c r="W67" s="216"/>
      <c r="X67" s="216"/>
      <c r="Y67" s="216"/>
      <c r="Z67" s="216"/>
      <c r="AA67" s="216"/>
      <c r="AB67" s="216"/>
      <c r="AC67" s="216"/>
      <c r="AD67" s="216"/>
      <c r="AE67" s="216"/>
      <c r="AF67" s="216"/>
      <c r="AG67" s="216"/>
      <c r="AH67" s="216"/>
      <c r="AI67" s="216"/>
      <c r="AJ67" s="216"/>
      <c r="AK67" s="216"/>
      <c r="AL67" s="216"/>
      <c r="AM67" s="216"/>
      <c r="AN67" s="216"/>
      <c r="AO67" s="216"/>
      <c r="AP67" s="216"/>
      <c r="AQ67" s="216"/>
      <c r="AR67" s="216"/>
      <c r="AS67" s="216"/>
      <c r="AT67" s="216"/>
      <c r="AU67" s="216"/>
      <c r="AV67" s="216"/>
      <c r="AW67" s="216"/>
      <c r="AX67" s="216"/>
      <c r="AY67" s="216"/>
      <c r="AZ67" s="216"/>
      <c r="BA67" s="216"/>
      <c r="BB67" s="216"/>
      <c r="BC67" s="216"/>
      <c r="BD67" s="216"/>
      <c r="BE67" s="216"/>
      <c r="BF67" s="216"/>
      <c r="BG67" s="216"/>
      <c r="BH67" s="216"/>
      <c r="BI67" s="216"/>
      <c r="BJ67" s="216"/>
      <c r="BK67" s="216"/>
      <c r="BL67" s="216"/>
      <c r="BM67" s="216"/>
      <c r="BN67" s="216"/>
      <c r="BO67" s="216"/>
    </row>
    <row r="68" spans="1:67" ht="15.6" hidden="1" x14ac:dyDescent="0.25">
      <c r="A68" s="570" t="s">
        <v>271</v>
      </c>
      <c r="B68" s="570"/>
      <c r="C68" s="570"/>
      <c r="D68" s="570"/>
      <c r="E68" s="570"/>
      <c r="F68" s="570"/>
      <c r="G68" s="570"/>
      <c r="H68" s="570"/>
      <c r="I68" s="570"/>
      <c r="J68" s="570"/>
      <c r="K68" s="570"/>
      <c r="L68" s="570"/>
      <c r="M68" s="570"/>
      <c r="N68" s="570"/>
      <c r="O68" s="570"/>
      <c r="P68" s="570"/>
      <c r="Q68" s="570"/>
      <c r="R68" s="570"/>
      <c r="S68" s="570"/>
      <c r="T68" s="570"/>
      <c r="U68" s="570"/>
      <c r="V68" s="570"/>
      <c r="W68" s="570"/>
      <c r="X68" s="570"/>
      <c r="Y68" s="570"/>
      <c r="Z68" s="570"/>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row>
    <row r="69" spans="1:67" hidden="1" x14ac:dyDescent="0.25">
      <c r="A69" s="2"/>
      <c r="B69" s="96"/>
      <c r="C69" s="2"/>
      <c r="D69" s="2"/>
      <c r="E69" s="2"/>
      <c r="F69" s="2"/>
      <c r="G69" s="97"/>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row>
    <row r="70" spans="1:67" hidden="1" x14ac:dyDescent="0.25">
      <c r="A70" s="2" t="s">
        <v>272</v>
      </c>
      <c r="B70" s="2" t="s">
        <v>273</v>
      </c>
      <c r="C70" s="2"/>
      <c r="D70" s="2"/>
      <c r="E70" s="2"/>
      <c r="F70" s="2"/>
      <c r="G70" s="97"/>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row>
    <row r="71" spans="1:67" hidden="1" x14ac:dyDescent="0.25">
      <c r="A71" s="2" t="s">
        <v>274</v>
      </c>
      <c r="B71" s="2" t="s">
        <v>275</v>
      </c>
      <c r="C71" s="2"/>
      <c r="D71" s="2"/>
      <c r="E71" s="2"/>
      <c r="F71" s="2"/>
      <c r="G71" s="97"/>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row>
    <row r="72" spans="1:67" hidden="1" x14ac:dyDescent="0.25">
      <c r="A72" s="2"/>
      <c r="B72" s="2"/>
      <c r="C72" s="2"/>
      <c r="D72" s="2"/>
      <c r="E72" s="2"/>
      <c r="F72" s="2"/>
      <c r="G72" s="97"/>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row>
    <row r="73" spans="1:67" ht="15.6" hidden="1" x14ac:dyDescent="0.25">
      <c r="A73" s="570" t="s">
        <v>276</v>
      </c>
      <c r="B73" s="570"/>
      <c r="C73" s="570"/>
      <c r="D73" s="570"/>
      <c r="E73" s="570"/>
      <c r="F73" s="570"/>
      <c r="G73" s="570"/>
      <c r="H73" s="570"/>
      <c r="I73" s="570"/>
      <c r="J73" s="570"/>
      <c r="K73" s="570"/>
      <c r="L73" s="570"/>
      <c r="M73" s="570"/>
      <c r="N73" s="570"/>
      <c r="O73" s="570"/>
      <c r="P73" s="570"/>
      <c r="Q73" s="570"/>
      <c r="R73" s="570"/>
      <c r="S73" s="570"/>
      <c r="T73" s="570"/>
      <c r="U73" s="570"/>
      <c r="V73" s="570"/>
      <c r="W73" s="570"/>
      <c r="X73" s="570"/>
      <c r="Y73" s="570"/>
      <c r="Z73" s="570"/>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row>
    <row r="74" spans="1:67" hidden="1" x14ac:dyDescent="0.25">
      <c r="A74" s="2"/>
      <c r="B74" s="2"/>
      <c r="C74" s="2"/>
      <c r="D74" s="2"/>
      <c r="E74" s="2"/>
      <c r="F74" s="2"/>
      <c r="G74" s="97"/>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row>
    <row r="75" spans="1:67" s="220" customFormat="1" ht="41.4" hidden="1" customHeight="1" x14ac:dyDescent="0.3">
      <c r="A75" s="175" t="s">
        <v>210</v>
      </c>
      <c r="B75" s="175" t="s">
        <v>49</v>
      </c>
      <c r="C75" s="175" t="s">
        <v>277</v>
      </c>
      <c r="D75" s="176" t="s">
        <v>278</v>
      </c>
      <c r="E75" s="175" t="s">
        <v>279</v>
      </c>
      <c r="F75" s="175" t="s">
        <v>215</v>
      </c>
      <c r="G75" s="175">
        <v>1986</v>
      </c>
      <c r="H75" s="176" t="s">
        <v>280</v>
      </c>
      <c r="I75" s="175">
        <f>1/6.63</f>
        <v>0.15082956259426847</v>
      </c>
      <c r="J75" s="175">
        <f>1/6.35</f>
        <v>0.15748031496062992</v>
      </c>
      <c r="K75" s="175">
        <f>1/6.35</f>
        <v>0.15748031496062992</v>
      </c>
      <c r="L75" s="175">
        <f>1/6.96</f>
        <v>0.14367816091954022</v>
      </c>
      <c r="M75" s="175">
        <f>1/6.96</f>
        <v>0.14367816091954022</v>
      </c>
      <c r="N75" s="175">
        <f>1/4.62</f>
        <v>0.21645021645021645</v>
      </c>
      <c r="O75" s="175">
        <f>1/4.62</f>
        <v>0.21645021645021645</v>
      </c>
      <c r="P75" s="175">
        <f>1/4.62</f>
        <v>0.21645021645021645</v>
      </c>
      <c r="Q75" s="175">
        <f>1/4.62</f>
        <v>0.21645021645021645</v>
      </c>
      <c r="R75" s="175">
        <f>1/4.62</f>
        <v>0.21645021645021645</v>
      </c>
      <c r="S75" s="175">
        <f>1/5.37</f>
        <v>0.18621973929236499</v>
      </c>
      <c r="T75" s="175">
        <f>1/5.37</f>
        <v>0.18621973929236499</v>
      </c>
      <c r="U75" s="175">
        <f>1/5.37</f>
        <v>0.18621973929236499</v>
      </c>
      <c r="V75" s="175">
        <f>1/6.3</f>
        <v>0.15873015873015872</v>
      </c>
      <c r="W75" s="175">
        <f>1/6.3</f>
        <v>0.15873015873015872</v>
      </c>
      <c r="X75" s="175">
        <f>1/6.63</f>
        <v>0.15082956259426847</v>
      </c>
      <c r="Y75" s="169" t="s">
        <v>281</v>
      </c>
      <c r="Z75" s="216"/>
      <c r="AA75" s="216"/>
      <c r="AB75" s="216"/>
      <c r="AC75" s="216"/>
      <c r="AD75" s="216"/>
      <c r="AE75" s="216"/>
      <c r="AF75" s="216"/>
      <c r="AG75" s="216"/>
      <c r="AH75" s="216"/>
      <c r="AI75" s="216"/>
      <c r="AJ75" s="216"/>
      <c r="AK75" s="216"/>
      <c r="AL75" s="216"/>
      <c r="AM75" s="216"/>
      <c r="AN75" s="216"/>
      <c r="AO75" s="216"/>
      <c r="AP75" s="216"/>
      <c r="AQ75" s="216"/>
      <c r="AR75" s="216"/>
      <c r="AS75" s="216"/>
      <c r="AT75" s="216"/>
      <c r="AU75" s="216"/>
      <c r="AV75" s="216"/>
      <c r="AW75" s="216"/>
      <c r="AX75" s="216"/>
      <c r="AY75" s="216"/>
      <c r="AZ75" s="216"/>
      <c r="BA75" s="216"/>
      <c r="BB75" s="216"/>
      <c r="BC75" s="216"/>
      <c r="BD75" s="216"/>
      <c r="BE75" s="216"/>
      <c r="BF75" s="216"/>
      <c r="BG75" s="216"/>
      <c r="BH75" s="216"/>
      <c r="BI75" s="216"/>
      <c r="BJ75" s="216"/>
      <c r="BK75" s="216"/>
      <c r="BL75" s="216"/>
      <c r="BM75" s="216"/>
      <c r="BN75" s="216"/>
      <c r="BO75" s="216"/>
    </row>
    <row r="76" spans="1:67" s="5" customFormat="1" ht="19.95" hidden="1" customHeight="1" x14ac:dyDescent="0.25">
      <c r="A76" s="529"/>
      <c r="B76" s="6"/>
      <c r="C76" s="529"/>
      <c r="D76" s="529"/>
      <c r="E76" s="529"/>
      <c r="F76" s="6"/>
      <c r="G76" s="529"/>
      <c r="H76" s="529"/>
      <c r="I76" s="529"/>
      <c r="J76" s="529"/>
      <c r="K76" s="529"/>
      <c r="L76" s="529"/>
      <c r="M76" s="529"/>
      <c r="N76" s="529"/>
      <c r="O76" s="529"/>
      <c r="P76" s="529"/>
      <c r="Q76" s="529"/>
      <c r="R76" s="529"/>
      <c r="S76" s="529"/>
      <c r="T76" s="529"/>
      <c r="U76" s="529"/>
      <c r="V76" s="529"/>
      <c r="W76" s="169"/>
    </row>
    <row r="77" spans="1:67" s="5" customFormat="1" ht="19.95" hidden="1" customHeight="1" x14ac:dyDescent="0.3">
      <c r="A77" s="266" t="s">
        <v>282</v>
      </c>
      <c r="B77" s="6"/>
      <c r="C77" s="529"/>
      <c r="D77" s="529"/>
      <c r="E77" s="529"/>
      <c r="F77" s="6"/>
      <c r="G77" s="529"/>
      <c r="H77" s="529"/>
      <c r="I77" s="529"/>
      <c r="J77" s="529"/>
      <c r="K77" s="529"/>
      <c r="L77" s="529"/>
      <c r="M77" s="529"/>
      <c r="N77" s="529"/>
      <c r="O77" s="529"/>
      <c r="P77" s="529"/>
      <c r="Q77" s="529"/>
      <c r="R77" s="529"/>
      <c r="S77" s="529"/>
      <c r="T77" s="529"/>
      <c r="U77" s="529"/>
      <c r="V77" s="529"/>
      <c r="W77" s="169"/>
    </row>
    <row r="78" spans="1:67" s="5" customFormat="1" ht="19.95" hidden="1" customHeight="1" x14ac:dyDescent="0.3">
      <c r="A78" s="266"/>
      <c r="B78" s="6"/>
      <c r="C78" s="529"/>
      <c r="D78" s="529"/>
      <c r="E78" s="529"/>
      <c r="F78" s="6"/>
      <c r="G78" s="529"/>
      <c r="H78" s="529"/>
      <c r="I78" s="529"/>
      <c r="J78" s="529"/>
      <c r="K78" s="529"/>
      <c r="L78" s="529"/>
      <c r="M78" s="529"/>
      <c r="N78" s="529"/>
      <c r="O78" s="529"/>
      <c r="P78" s="529"/>
      <c r="Q78" s="529"/>
      <c r="R78" s="529"/>
      <c r="S78" s="529"/>
      <c r="T78" s="529"/>
      <c r="U78" s="529"/>
      <c r="V78" s="529"/>
      <c r="W78" s="169"/>
    </row>
    <row r="79" spans="1:67" s="5" customFormat="1" ht="14.4" hidden="1" x14ac:dyDescent="0.3">
      <c r="A79" s="399" t="s">
        <v>283</v>
      </c>
      <c r="B79" s="6" t="s">
        <v>284</v>
      </c>
      <c r="C79" s="529"/>
      <c r="D79" s="529"/>
      <c r="E79" s="529"/>
      <c r="F79" s="6"/>
      <c r="G79" s="529"/>
      <c r="H79" s="529"/>
      <c r="I79" s="529"/>
      <c r="J79" s="529"/>
      <c r="K79" s="529"/>
      <c r="L79" s="529"/>
      <c r="M79" s="529"/>
      <c r="N79"/>
      <c r="O79" s="529"/>
      <c r="P79" s="529"/>
      <c r="Q79" s="529"/>
      <c r="R79" s="529"/>
      <c r="S79" s="529"/>
      <c r="T79" s="529"/>
      <c r="U79" s="529"/>
      <c r="V79" s="529"/>
      <c r="W79" s="169"/>
    </row>
    <row r="80" spans="1:67" s="5" customFormat="1" ht="13.2" hidden="1" x14ac:dyDescent="0.25">
      <c r="A80" s="4" t="s">
        <v>285</v>
      </c>
      <c r="B80" s="6" t="s">
        <v>286</v>
      </c>
      <c r="C80" s="529"/>
      <c r="D80" s="529"/>
      <c r="E80" s="529"/>
      <c r="F80" s="6"/>
      <c r="G80" s="529"/>
      <c r="H80" s="529"/>
      <c r="I80" s="529"/>
      <c r="J80" s="529"/>
      <c r="K80" s="529"/>
      <c r="L80" s="529"/>
      <c r="M80" s="529"/>
      <c r="N80" s="529"/>
      <c r="O80" s="529"/>
      <c r="P80" s="529"/>
      <c r="Q80" s="529"/>
      <c r="R80" s="529"/>
      <c r="S80" s="529"/>
      <c r="T80" s="529"/>
      <c r="U80" s="529"/>
      <c r="V80" s="529"/>
      <c r="W80" s="169"/>
    </row>
    <row r="81" spans="1:67" s="5" customFormat="1" ht="13.2" hidden="1" x14ac:dyDescent="0.25">
      <c r="A81" s="4" t="s">
        <v>287</v>
      </c>
      <c r="B81" s="288">
        <v>44</v>
      </c>
      <c r="C81" s="235"/>
      <c r="D81" s="66" t="s">
        <v>288</v>
      </c>
      <c r="E81" s="238">
        <f>(B88*B83-0)/(B82*B84)</f>
        <v>0.39</v>
      </c>
    </row>
    <row r="82" spans="1:67" s="5" customFormat="1" ht="13.2" hidden="1" x14ac:dyDescent="0.25">
      <c r="A82" s="4" t="s">
        <v>289</v>
      </c>
      <c r="B82" s="288">
        <v>1</v>
      </c>
      <c r="C82" s="235"/>
      <c r="D82" s="66" t="s">
        <v>290</v>
      </c>
      <c r="E82" s="238">
        <f>(B87*B83-0)/(B84*B81)</f>
        <v>0.70454545454545459</v>
      </c>
    </row>
    <row r="83" spans="1:67" s="5" customFormat="1" ht="13.2" hidden="1" x14ac:dyDescent="0.25">
      <c r="A83" s="4" t="s">
        <v>291</v>
      </c>
      <c r="B83" s="288">
        <f>(330+150)*2*28</f>
        <v>26880</v>
      </c>
      <c r="C83" s="235"/>
      <c r="D83" s="236"/>
      <c r="E83" s="267"/>
    </row>
    <row r="84" spans="1:67" s="5" customFormat="1" ht="13.2" hidden="1" x14ac:dyDescent="0.25">
      <c r="A84" s="4" t="s">
        <v>292</v>
      </c>
      <c r="B84" s="288">
        <f>B83</f>
        <v>26880</v>
      </c>
      <c r="C84" s="235"/>
      <c r="D84" s="239" t="s">
        <v>293</v>
      </c>
      <c r="E84" s="268">
        <f>MIN(E81:E82)</f>
        <v>0.39</v>
      </c>
    </row>
    <row r="85" spans="1:67" s="5" customFormat="1" ht="13.2" hidden="1" x14ac:dyDescent="0.25">
      <c r="A85" s="4" t="s">
        <v>294</v>
      </c>
      <c r="B85" s="288">
        <v>0</v>
      </c>
      <c r="C85" s="235"/>
      <c r="D85" s="236"/>
      <c r="E85" s="237"/>
    </row>
    <row r="86" spans="1:67" s="5" customFormat="1" ht="13.2" hidden="1" x14ac:dyDescent="0.25">
      <c r="A86" s="4"/>
      <c r="B86" s="288"/>
      <c r="C86" s="235"/>
      <c r="D86" s="236"/>
      <c r="E86" s="237"/>
    </row>
    <row r="87" spans="1:67" s="5" customFormat="1" ht="13.2" hidden="1" x14ac:dyDescent="0.25">
      <c r="A87" s="4" t="s">
        <v>295</v>
      </c>
      <c r="B87" s="288">
        <v>31</v>
      </c>
      <c r="C87" s="8" t="s">
        <v>296</v>
      </c>
      <c r="D87" s="236"/>
      <c r="E87" s="237"/>
    </row>
    <row r="88" spans="1:67" s="5" customFormat="1" ht="13.2" hidden="1" x14ac:dyDescent="0.25">
      <c r="A88" s="4" t="s">
        <v>297</v>
      </c>
      <c r="B88" s="288">
        <v>0.39</v>
      </c>
      <c r="C88" s="8" t="s">
        <v>298</v>
      </c>
      <c r="D88" s="236"/>
      <c r="E88" s="237"/>
    </row>
    <row r="89" spans="1:67" s="5" customFormat="1" ht="13.2" hidden="1" x14ac:dyDescent="0.25">
      <c r="C89" s="235"/>
      <c r="D89" s="236"/>
      <c r="E89" s="237"/>
    </row>
    <row r="90" spans="1:67" s="5" customFormat="1" ht="13.2" hidden="1" x14ac:dyDescent="0.25">
      <c r="C90" s="235"/>
      <c r="D90" s="236"/>
      <c r="E90" s="237"/>
    </row>
    <row r="91" spans="1:67" s="4" customFormat="1" ht="13.2" hidden="1" x14ac:dyDescent="0.25">
      <c r="B91" s="8"/>
      <c r="G91" s="518"/>
      <c r="U91" s="518"/>
    </row>
    <row r="92" spans="1:67" hidden="1" x14ac:dyDescent="0.25">
      <c r="A92" s="221"/>
      <c r="B92" s="222"/>
      <c r="C92" s="222"/>
      <c r="D92" s="223"/>
      <c r="E92" s="222"/>
      <c r="F92" s="222"/>
      <c r="G92" s="284"/>
      <c r="H92" s="221"/>
      <c r="I92" s="222"/>
      <c r="J92" s="222"/>
      <c r="K92" s="222"/>
      <c r="L92" s="222"/>
      <c r="M92" s="222"/>
      <c r="N92" s="222"/>
      <c r="O92" s="222"/>
      <c r="P92" s="222"/>
      <c r="Q92" s="222"/>
      <c r="R92" s="222"/>
      <c r="S92" s="222"/>
      <c r="T92" s="222"/>
      <c r="U92" s="23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c r="BM92" s="2"/>
      <c r="BN92" s="2"/>
      <c r="BO92" s="2"/>
    </row>
    <row r="93" spans="1:67" hidden="1" x14ac:dyDescent="0.25">
      <c r="A93" s="225"/>
      <c r="B93" s="96"/>
      <c r="C93" s="2"/>
      <c r="D93" s="2"/>
      <c r="E93" s="2"/>
      <c r="F93" s="2"/>
      <c r="G93" s="227"/>
      <c r="H93" s="225"/>
      <c r="I93" s="2"/>
      <c r="J93" s="2"/>
      <c r="K93" s="2"/>
      <c r="L93" s="2"/>
      <c r="M93" s="2"/>
      <c r="N93" s="2"/>
      <c r="O93" s="2"/>
      <c r="P93" s="2"/>
      <c r="Q93" s="2"/>
      <c r="R93" s="2"/>
      <c r="S93" s="2"/>
      <c r="T93" s="2"/>
      <c r="U93" s="227"/>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c r="BM93" s="2"/>
      <c r="BN93" s="2"/>
      <c r="BO93" s="2"/>
    </row>
    <row r="94" spans="1:67" ht="14.4" hidden="1" x14ac:dyDescent="0.3">
      <c r="A94" s="224"/>
      <c r="B94" s="96"/>
      <c r="C94" s="2"/>
      <c r="D94" s="2"/>
      <c r="E94" s="2"/>
      <c r="F94" s="2"/>
      <c r="G94" s="227"/>
      <c r="H94" s="225"/>
      <c r="I94" s="2"/>
      <c r="J94" s="2"/>
      <c r="K94" s="2"/>
      <c r="L94" s="2"/>
      <c r="M94" s="2"/>
      <c r="N94" s="2"/>
      <c r="O94" s="2"/>
      <c r="P94" s="2"/>
      <c r="Q94" s="2"/>
      <c r="R94" s="2"/>
      <c r="S94" s="2"/>
      <c r="T94" s="2"/>
      <c r="U94" s="227"/>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c r="BJ94" s="2"/>
      <c r="BK94" s="2"/>
      <c r="BL94" s="2"/>
      <c r="BM94" s="2"/>
      <c r="BN94" s="2"/>
      <c r="BO94" s="2"/>
    </row>
    <row r="95" spans="1:67" hidden="1" x14ac:dyDescent="0.25">
      <c r="A95" s="225"/>
      <c r="B95" s="96"/>
      <c r="C95" s="2"/>
      <c r="D95" s="2"/>
      <c r="E95" s="2"/>
      <c r="F95" s="2"/>
      <c r="G95" s="227"/>
      <c r="H95" s="225"/>
      <c r="I95" s="2"/>
      <c r="J95" s="2"/>
      <c r="K95" s="2"/>
      <c r="L95" s="2"/>
      <c r="M95" s="2"/>
      <c r="N95" s="2"/>
      <c r="O95" s="2"/>
      <c r="P95" s="2"/>
      <c r="Q95" s="2"/>
      <c r="R95" s="2"/>
      <c r="S95" s="2"/>
      <c r="T95" s="2"/>
      <c r="U95" s="227"/>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c r="BK95" s="2"/>
      <c r="BL95" s="2"/>
      <c r="BM95" s="2"/>
      <c r="BN95" s="2"/>
      <c r="BO95" s="2"/>
    </row>
    <row r="96" spans="1:67" ht="27.6" hidden="1" customHeight="1" x14ac:dyDescent="0.3">
      <c r="A96" s="225"/>
      <c r="B96" s="2"/>
      <c r="C96" s="2"/>
      <c r="D96" s="2"/>
      <c r="E96" s="2"/>
      <c r="F96" s="2"/>
      <c r="G96" s="226"/>
      <c r="H96" s="224"/>
      <c r="I96" s="2"/>
      <c r="J96" s="2"/>
      <c r="K96" s="2"/>
      <c r="L96" s="2"/>
      <c r="M96" s="2"/>
      <c r="N96" s="2"/>
      <c r="O96" s="2"/>
      <c r="P96" s="2"/>
      <c r="Q96" s="2"/>
      <c r="R96" s="2"/>
      <c r="S96" s="4"/>
      <c r="T96" s="2"/>
      <c r="U96" s="226"/>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2"/>
      <c r="BK96" s="2"/>
      <c r="BL96" s="2"/>
      <c r="BM96" s="2"/>
      <c r="BN96" s="2"/>
      <c r="BO96" s="2"/>
    </row>
    <row r="97" spans="1:67" hidden="1" x14ac:dyDescent="0.25">
      <c r="A97" s="225"/>
      <c r="B97" s="2"/>
      <c r="C97" s="2"/>
      <c r="D97" s="2"/>
      <c r="E97" s="2"/>
      <c r="F97" s="2"/>
      <c r="G97" s="226" t="s">
        <v>9</v>
      </c>
      <c r="H97" s="225"/>
      <c r="I97" s="2"/>
      <c r="J97" s="2"/>
      <c r="K97" s="2"/>
      <c r="L97" s="2"/>
      <c r="M97" s="2"/>
      <c r="N97" s="2"/>
      <c r="O97" s="2"/>
      <c r="P97" s="2"/>
      <c r="Q97" s="2" t="s">
        <v>9</v>
      </c>
      <c r="R97" s="2"/>
      <c r="S97" s="2"/>
      <c r="T97" s="2"/>
      <c r="U97" s="226"/>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c r="BJ97" s="2"/>
      <c r="BK97" s="2"/>
      <c r="BL97" s="2"/>
      <c r="BM97" s="2"/>
      <c r="BN97" s="2"/>
      <c r="BO97" s="2"/>
    </row>
    <row r="98" spans="1:67" hidden="1" x14ac:dyDescent="0.25">
      <c r="A98" s="225"/>
      <c r="B98" s="2"/>
      <c r="C98" s="2"/>
      <c r="D98" s="2"/>
      <c r="E98" s="2"/>
      <c r="F98" s="2"/>
      <c r="G98" s="226" t="s">
        <v>9</v>
      </c>
      <c r="H98" s="225"/>
      <c r="I98" s="2"/>
      <c r="J98" s="2"/>
      <c r="K98" s="2"/>
      <c r="L98" s="2"/>
      <c r="M98" s="2"/>
      <c r="N98" s="2"/>
      <c r="O98" s="2"/>
      <c r="P98" s="2"/>
      <c r="Q98" s="2" t="s">
        <v>9</v>
      </c>
      <c r="R98" s="2"/>
      <c r="S98" s="2"/>
      <c r="T98" s="2"/>
      <c r="U98" s="233"/>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c r="BJ98" s="2"/>
      <c r="BK98" s="2"/>
      <c r="BL98" s="2"/>
      <c r="BM98" s="2"/>
      <c r="BN98" s="2"/>
      <c r="BO98" s="2"/>
    </row>
    <row r="99" spans="1:67" hidden="1" x14ac:dyDescent="0.25">
      <c r="A99" s="225"/>
      <c r="B99" s="96"/>
      <c r="C99" s="2"/>
      <c r="D99" s="2"/>
      <c r="E99" s="2"/>
      <c r="F99" s="2"/>
      <c r="G99" s="227"/>
      <c r="H99" s="225"/>
      <c r="I99" s="2"/>
      <c r="J99" s="2"/>
      <c r="K99" s="2"/>
      <c r="L99" s="2"/>
      <c r="M99" s="2"/>
      <c r="N99" s="2"/>
      <c r="O99" s="2"/>
      <c r="P99" s="2"/>
      <c r="Q99" s="2"/>
      <c r="R99" s="2"/>
      <c r="S99" s="2"/>
      <c r="T99" s="2"/>
      <c r="U99" s="227"/>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c r="BJ99" s="2"/>
      <c r="BK99" s="2"/>
      <c r="BL99" s="2"/>
      <c r="BM99" s="2"/>
      <c r="BN99" s="2"/>
      <c r="BO99" s="2"/>
    </row>
    <row r="100" spans="1:67" hidden="1" x14ac:dyDescent="0.25">
      <c r="A100" s="225"/>
      <c r="B100" s="96"/>
      <c r="C100" s="2"/>
      <c r="D100" s="2"/>
      <c r="E100" s="2"/>
      <c r="F100" s="2"/>
      <c r="G100" s="227"/>
      <c r="H100" s="225"/>
      <c r="I100" s="2"/>
      <c r="J100" s="2"/>
      <c r="K100" s="2"/>
      <c r="L100" s="2"/>
      <c r="M100" s="2"/>
      <c r="N100" s="2"/>
      <c r="O100" s="2"/>
      <c r="P100" s="2"/>
      <c r="Q100" s="2"/>
      <c r="R100" s="2"/>
      <c r="S100" s="2"/>
      <c r="T100" s="2"/>
      <c r="U100" s="226"/>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c r="BM100" s="2"/>
      <c r="BN100" s="2"/>
      <c r="BO100" s="2"/>
    </row>
    <row r="101" spans="1:67" hidden="1" x14ac:dyDescent="0.25">
      <c r="A101" s="225"/>
      <c r="B101" s="96"/>
      <c r="C101" s="2"/>
      <c r="D101" s="2"/>
      <c r="E101" s="2"/>
      <c r="F101" s="2"/>
      <c r="G101" s="227"/>
      <c r="H101" s="225"/>
      <c r="I101" s="2"/>
      <c r="J101" s="2"/>
      <c r="K101" s="2"/>
      <c r="L101" s="2"/>
      <c r="M101" s="2"/>
      <c r="N101" s="2"/>
      <c r="O101" s="2"/>
      <c r="P101" s="2"/>
      <c r="Q101" s="2"/>
      <c r="R101" s="2"/>
      <c r="S101" s="2"/>
      <c r="T101" s="2"/>
      <c r="U101" s="226"/>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c r="BM101" s="2"/>
      <c r="BN101" s="2"/>
      <c r="BO101" s="2"/>
    </row>
    <row r="102" spans="1:67" hidden="1" x14ac:dyDescent="0.25">
      <c r="A102" s="225"/>
      <c r="B102" s="96"/>
      <c r="C102" s="2"/>
      <c r="D102" s="2"/>
      <c r="E102" s="2"/>
      <c r="F102" s="2"/>
      <c r="G102" s="227"/>
      <c r="H102" s="225"/>
      <c r="I102" s="2"/>
      <c r="J102" s="2"/>
      <c r="K102" s="2"/>
      <c r="L102" s="2"/>
      <c r="M102" s="2"/>
      <c r="N102" s="2"/>
      <c r="O102" s="2"/>
      <c r="P102" s="2"/>
      <c r="Q102" s="2"/>
      <c r="R102" s="2"/>
      <c r="S102" s="2"/>
      <c r="T102" s="2"/>
      <c r="U102" s="226"/>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c r="BK102" s="2"/>
      <c r="BL102" s="2"/>
      <c r="BM102" s="2"/>
      <c r="BN102" s="2"/>
      <c r="BO102" s="2"/>
    </row>
    <row r="103" spans="1:67" hidden="1" x14ac:dyDescent="0.25">
      <c r="A103" s="225"/>
      <c r="B103" s="96"/>
      <c r="C103" s="2"/>
      <c r="D103" s="2"/>
      <c r="E103" s="2"/>
      <c r="F103" s="2"/>
      <c r="G103" s="227"/>
      <c r="H103" s="225"/>
      <c r="I103" s="2"/>
      <c r="J103" s="2"/>
      <c r="K103" s="2"/>
      <c r="L103" s="2"/>
      <c r="M103" s="2"/>
      <c r="N103" s="2"/>
      <c r="O103" s="2"/>
      <c r="P103" s="2"/>
      <c r="Q103" s="2"/>
      <c r="R103" s="2"/>
      <c r="S103" s="2"/>
      <c r="T103" s="2"/>
      <c r="U103" s="226"/>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c r="BK103" s="2"/>
      <c r="BL103" s="2"/>
      <c r="BM103" s="2"/>
      <c r="BN103" s="2"/>
      <c r="BO103" s="2"/>
    </row>
    <row r="104" spans="1:67" hidden="1" x14ac:dyDescent="0.25">
      <c r="A104" s="225"/>
      <c r="B104" s="96"/>
      <c r="C104" s="2"/>
      <c r="D104" s="2"/>
      <c r="E104" s="2"/>
      <c r="F104" s="2"/>
      <c r="G104" s="227"/>
      <c r="H104" s="225"/>
      <c r="I104" s="2"/>
      <c r="J104" s="2"/>
      <c r="K104" s="2"/>
      <c r="L104" s="2"/>
      <c r="M104" s="2"/>
      <c r="N104" s="2"/>
      <c r="O104" s="2"/>
      <c r="P104" s="2"/>
      <c r="Q104" s="2"/>
      <c r="R104" s="2"/>
      <c r="S104" s="2"/>
      <c r="T104" s="2"/>
      <c r="U104" s="226"/>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2"/>
      <c r="BL104" s="2"/>
      <c r="BM104" s="2"/>
      <c r="BN104" s="2"/>
      <c r="BO104" s="2"/>
    </row>
    <row r="105" spans="1:67" hidden="1" x14ac:dyDescent="0.25">
      <c r="A105" s="225"/>
      <c r="B105" s="96"/>
      <c r="C105" s="2"/>
      <c r="D105" s="2"/>
      <c r="E105" s="2"/>
      <c r="F105" s="2"/>
      <c r="G105" s="227"/>
      <c r="H105" s="225"/>
      <c r="I105" s="2"/>
      <c r="J105" s="2"/>
      <c r="K105" s="2"/>
      <c r="L105" s="2"/>
      <c r="M105" s="2"/>
      <c r="N105" s="2"/>
      <c r="O105" s="2"/>
      <c r="P105" s="2"/>
      <c r="Q105" s="2"/>
      <c r="R105" s="2"/>
      <c r="S105" s="2"/>
      <c r="T105" s="2"/>
      <c r="U105" s="226"/>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2"/>
      <c r="BN105" s="2"/>
      <c r="BO105" s="2"/>
    </row>
    <row r="106" spans="1:67" hidden="1" x14ac:dyDescent="0.25">
      <c r="A106" s="225"/>
      <c r="B106" s="96"/>
      <c r="C106" s="2"/>
      <c r="D106" s="2"/>
      <c r="E106" s="2"/>
      <c r="F106" s="2"/>
      <c r="G106" s="227"/>
      <c r="H106" s="225"/>
      <c r="I106" s="2"/>
      <c r="J106" s="2"/>
      <c r="K106" s="2"/>
      <c r="L106" s="2"/>
      <c r="M106" s="2"/>
      <c r="N106" s="2"/>
      <c r="O106" s="2"/>
      <c r="P106" s="2"/>
      <c r="Q106" s="2"/>
      <c r="R106" s="2"/>
      <c r="S106" s="2"/>
      <c r="T106" s="2"/>
      <c r="U106" s="226"/>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row>
    <row r="107" spans="1:67" hidden="1" x14ac:dyDescent="0.25">
      <c r="A107" s="225"/>
      <c r="B107" s="96"/>
      <c r="C107" s="2"/>
      <c r="D107" s="2"/>
      <c r="E107" s="2"/>
      <c r="F107" s="2"/>
      <c r="G107" s="227"/>
      <c r="H107" s="225"/>
      <c r="I107" s="2"/>
      <c r="J107" s="2"/>
      <c r="K107" s="2"/>
      <c r="L107" s="2"/>
      <c r="M107" s="2"/>
      <c r="N107" s="2"/>
      <c r="O107" s="2"/>
      <c r="P107" s="2"/>
      <c r="Q107" s="2"/>
      <c r="R107" s="2"/>
      <c r="S107" s="2"/>
      <c r="T107" s="2"/>
      <c r="U107" s="226"/>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c r="BN107" s="2"/>
      <c r="BO107" s="2"/>
    </row>
    <row r="108" spans="1:67" hidden="1" x14ac:dyDescent="0.25">
      <c r="A108" s="225"/>
      <c r="B108" s="96"/>
      <c r="C108" s="2"/>
      <c r="D108" s="2"/>
      <c r="E108" s="2"/>
      <c r="F108" s="2"/>
      <c r="G108" s="227"/>
      <c r="H108" s="225"/>
      <c r="I108" s="2"/>
      <c r="J108" s="2"/>
      <c r="K108" s="2"/>
      <c r="L108" s="2"/>
      <c r="M108" s="2"/>
      <c r="N108" s="2"/>
      <c r="O108" s="2"/>
      <c r="P108" s="2"/>
      <c r="Q108" s="2"/>
      <c r="R108" s="2"/>
      <c r="S108" s="2"/>
      <c r="T108" s="2"/>
      <c r="U108" s="226"/>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2"/>
      <c r="BN108" s="2"/>
      <c r="BO108" s="2"/>
    </row>
    <row r="109" spans="1:67" hidden="1" x14ac:dyDescent="0.25">
      <c r="A109" s="225"/>
      <c r="B109" s="96"/>
      <c r="C109" s="2"/>
      <c r="D109" s="2"/>
      <c r="E109" s="2"/>
      <c r="F109" s="2"/>
      <c r="G109" s="227"/>
      <c r="H109" s="225"/>
      <c r="I109" s="2"/>
      <c r="J109" s="2"/>
      <c r="K109" s="2"/>
      <c r="L109" s="2"/>
      <c r="M109" s="2"/>
      <c r="N109" s="2"/>
      <c r="O109" s="2"/>
      <c r="P109" s="2"/>
      <c r="Q109" s="2"/>
      <c r="R109" s="2"/>
      <c r="S109" s="2"/>
      <c r="T109" s="2"/>
      <c r="U109" s="226"/>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
      <c r="BH109" s="2"/>
      <c r="BI109" s="2"/>
      <c r="BJ109" s="2"/>
      <c r="BK109" s="2"/>
      <c r="BL109" s="2"/>
      <c r="BM109" s="2"/>
      <c r="BN109" s="2"/>
      <c r="BO109" s="2"/>
    </row>
    <row r="110" spans="1:67" hidden="1" x14ac:dyDescent="0.25">
      <c r="A110" s="225"/>
      <c r="B110" s="96"/>
      <c r="C110" s="2"/>
      <c r="D110" s="2"/>
      <c r="E110" s="2"/>
      <c r="F110" s="2"/>
      <c r="G110" s="227"/>
      <c r="H110" s="225"/>
      <c r="I110" s="2"/>
      <c r="J110" s="2"/>
      <c r="K110" s="2"/>
      <c r="L110" s="2"/>
      <c r="M110" s="2"/>
      <c r="N110" s="2"/>
      <c r="O110" s="2"/>
      <c r="P110" s="2"/>
      <c r="Q110" s="2"/>
      <c r="R110" s="2"/>
      <c r="S110" s="2"/>
      <c r="T110" s="2"/>
      <c r="U110" s="226"/>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row>
    <row r="111" spans="1:67" hidden="1" x14ac:dyDescent="0.25">
      <c r="A111" s="225"/>
      <c r="B111" s="96"/>
      <c r="C111" s="2"/>
      <c r="D111" s="2"/>
      <c r="E111" s="2"/>
      <c r="F111" s="2"/>
      <c r="G111" s="227"/>
      <c r="H111" s="225"/>
      <c r="I111" s="2"/>
      <c r="J111" s="2"/>
      <c r="K111" s="2"/>
      <c r="L111" s="2"/>
      <c r="M111" s="2"/>
      <c r="N111" s="2"/>
      <c r="O111" s="2"/>
      <c r="P111" s="2"/>
      <c r="Q111" s="2"/>
      <c r="R111" s="2"/>
      <c r="S111" s="2"/>
      <c r="T111" s="2"/>
      <c r="U111" s="226"/>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row>
    <row r="112" spans="1:67" hidden="1" x14ac:dyDescent="0.25">
      <c r="A112" s="225"/>
      <c r="B112" s="96"/>
      <c r="C112" s="2"/>
      <c r="D112" s="2"/>
      <c r="E112" s="2"/>
      <c r="F112" s="2"/>
      <c r="G112" s="227"/>
      <c r="H112" s="225"/>
      <c r="I112" s="2"/>
      <c r="J112" s="2"/>
      <c r="K112" s="2"/>
      <c r="L112" s="2"/>
      <c r="M112" s="2"/>
      <c r="N112" s="2"/>
      <c r="O112" s="2"/>
      <c r="P112" s="2"/>
      <c r="Q112" s="2"/>
      <c r="R112" s="2"/>
      <c r="S112" s="2"/>
      <c r="T112" s="2"/>
      <c r="U112" s="226"/>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row>
    <row r="113" spans="1:67" hidden="1" x14ac:dyDescent="0.25">
      <c r="A113" s="225"/>
      <c r="B113" s="96"/>
      <c r="C113" s="2"/>
      <c r="D113" s="2"/>
      <c r="E113" s="2"/>
      <c r="F113" s="2"/>
      <c r="G113" s="227"/>
      <c r="H113" s="225"/>
      <c r="I113" s="2"/>
      <c r="J113" s="2"/>
      <c r="K113" s="2"/>
      <c r="L113" s="2"/>
      <c r="M113" s="2"/>
      <c r="N113" s="2"/>
      <c r="O113" s="2"/>
      <c r="P113" s="2"/>
      <c r="Q113" s="2"/>
      <c r="R113" s="2"/>
      <c r="S113" s="2"/>
      <c r="T113" s="2"/>
      <c r="U113" s="226"/>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row>
    <row r="114" spans="1:67" hidden="1" x14ac:dyDescent="0.25">
      <c r="A114" s="225"/>
      <c r="B114" s="96"/>
      <c r="C114" s="2"/>
      <c r="D114" s="2"/>
      <c r="E114" s="2"/>
      <c r="F114" s="2"/>
      <c r="G114" s="227"/>
      <c r="H114" s="225"/>
      <c r="I114" s="2"/>
      <c r="J114" s="2"/>
      <c r="K114" s="2"/>
      <c r="L114" s="2"/>
      <c r="M114" s="2"/>
      <c r="N114" s="2"/>
      <c r="O114" s="2"/>
      <c r="P114" s="2"/>
      <c r="Q114" s="2"/>
      <c r="R114" s="2"/>
      <c r="S114" s="2"/>
      <c r="T114" s="2"/>
      <c r="U114" s="226"/>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row>
    <row r="115" spans="1:67" hidden="1" x14ac:dyDescent="0.25">
      <c r="A115" s="225"/>
      <c r="B115" s="96"/>
      <c r="C115" s="2"/>
      <c r="D115" s="2"/>
      <c r="E115" s="2"/>
      <c r="F115" s="2"/>
      <c r="G115" s="227"/>
      <c r="H115" s="225"/>
      <c r="I115" s="2"/>
      <c r="J115" s="2"/>
      <c r="K115" s="2"/>
      <c r="L115" s="2"/>
      <c r="M115" s="2"/>
      <c r="N115" s="2"/>
      <c r="O115" s="2"/>
      <c r="P115" s="2"/>
      <c r="Q115" s="2"/>
      <c r="R115" s="2"/>
      <c r="S115" s="2"/>
      <c r="T115" s="2"/>
      <c r="U115" s="226"/>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c r="BH115" s="2"/>
      <c r="BI115" s="2"/>
      <c r="BJ115" s="2"/>
      <c r="BK115" s="2"/>
      <c r="BL115" s="2"/>
      <c r="BM115" s="2"/>
      <c r="BN115" s="2"/>
      <c r="BO115" s="2"/>
    </row>
    <row r="116" spans="1:67" hidden="1" x14ac:dyDescent="0.25">
      <c r="A116" s="225"/>
      <c r="B116" s="96"/>
      <c r="C116" s="2"/>
      <c r="D116" s="2"/>
      <c r="E116" s="2"/>
      <c r="F116" s="2"/>
      <c r="G116" s="227"/>
      <c r="H116" s="225"/>
      <c r="I116" s="2"/>
      <c r="J116" s="2"/>
      <c r="K116" s="2"/>
      <c r="L116" s="2"/>
      <c r="M116" s="2"/>
      <c r="N116" s="2"/>
      <c r="O116" s="2"/>
      <c r="P116" s="2"/>
      <c r="Q116" s="2"/>
      <c r="R116" s="2"/>
      <c r="S116" s="2"/>
      <c r="T116" s="2"/>
      <c r="U116" s="226"/>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c r="BM116" s="2"/>
      <c r="BN116" s="2"/>
      <c r="BO116" s="2"/>
    </row>
    <row r="117" spans="1:67" hidden="1" x14ac:dyDescent="0.25">
      <c r="A117" s="225"/>
      <c r="B117" s="96"/>
      <c r="C117" s="2"/>
      <c r="D117" s="2"/>
      <c r="E117" s="2"/>
      <c r="F117" s="2"/>
      <c r="G117" s="227"/>
      <c r="H117" s="225"/>
      <c r="I117" s="2"/>
      <c r="J117" s="2"/>
      <c r="K117" s="2"/>
      <c r="L117" s="2"/>
      <c r="M117" s="2"/>
      <c r="N117" s="2"/>
      <c r="O117" s="2"/>
      <c r="P117" s="2"/>
      <c r="Q117" s="2"/>
      <c r="R117" s="2"/>
      <c r="S117" s="2"/>
      <c r="T117" s="2"/>
      <c r="U117" s="226"/>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c r="BM117" s="2"/>
      <c r="BN117" s="2"/>
      <c r="BO117" s="2"/>
    </row>
    <row r="118" spans="1:67" hidden="1" x14ac:dyDescent="0.25">
      <c r="A118" s="225"/>
      <c r="B118" s="96"/>
      <c r="C118" s="2"/>
      <c r="D118" s="2"/>
      <c r="E118" s="2"/>
      <c r="F118" s="2"/>
      <c r="G118" s="227"/>
      <c r="H118" s="225"/>
      <c r="I118" s="2"/>
      <c r="J118" s="2"/>
      <c r="K118" s="2"/>
      <c r="L118" s="2"/>
      <c r="M118" s="2"/>
      <c r="N118" s="2"/>
      <c r="O118" s="2"/>
      <c r="P118" s="2"/>
      <c r="Q118" s="2"/>
      <c r="R118" s="2"/>
      <c r="S118" s="2"/>
      <c r="T118" s="2"/>
      <c r="U118" s="226"/>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2"/>
      <c r="BN118" s="2"/>
      <c r="BO118" s="2"/>
    </row>
    <row r="119" spans="1:67" hidden="1" x14ac:dyDescent="0.25">
      <c r="A119" s="225"/>
      <c r="B119" s="96"/>
      <c r="C119" s="2"/>
      <c r="D119" s="2"/>
      <c r="E119" s="2"/>
      <c r="F119" s="2"/>
      <c r="G119" s="227"/>
      <c r="H119" s="225"/>
      <c r="I119" s="2"/>
      <c r="J119" s="2"/>
      <c r="K119" s="2"/>
      <c r="L119" s="2"/>
      <c r="M119" s="2"/>
      <c r="N119" s="2"/>
      <c r="O119" s="2"/>
      <c r="P119" s="2"/>
      <c r="Q119" s="2"/>
      <c r="R119" s="2"/>
      <c r="S119" s="2"/>
      <c r="T119" s="2"/>
      <c r="U119" s="226"/>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c r="BM119" s="2"/>
      <c r="BN119" s="2"/>
      <c r="BO119" s="2"/>
    </row>
    <row r="120" spans="1:67" hidden="1" x14ac:dyDescent="0.25">
      <c r="A120" s="225"/>
      <c r="B120" s="96"/>
      <c r="C120" s="2"/>
      <c r="D120" s="2"/>
      <c r="E120" s="2"/>
      <c r="F120" s="2"/>
      <c r="G120" s="227"/>
      <c r="H120" s="225"/>
      <c r="I120" s="2"/>
      <c r="J120" s="2"/>
      <c r="K120" s="2"/>
      <c r="L120" s="2"/>
      <c r="M120" s="2"/>
      <c r="N120" s="2"/>
      <c r="O120" s="2"/>
      <c r="P120" s="2"/>
      <c r="Q120" s="2"/>
      <c r="R120" s="2"/>
      <c r="S120" s="2"/>
      <c r="T120" s="2"/>
      <c r="U120" s="226"/>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c r="BM120" s="2"/>
      <c r="BN120" s="2"/>
      <c r="BO120" s="2"/>
    </row>
    <row r="121" spans="1:67" hidden="1" x14ac:dyDescent="0.25">
      <c r="A121" s="225"/>
      <c r="B121" s="96"/>
      <c r="C121" s="2"/>
      <c r="D121" s="2"/>
      <c r="E121" s="2"/>
      <c r="F121" s="2"/>
      <c r="G121" s="227"/>
      <c r="H121" s="225"/>
      <c r="I121" s="2"/>
      <c r="J121" s="2"/>
      <c r="K121" s="2"/>
      <c r="L121" s="2"/>
      <c r="M121" s="2"/>
      <c r="N121" s="2"/>
      <c r="O121" s="2"/>
      <c r="P121" s="2"/>
      <c r="Q121" s="2"/>
      <c r="R121" s="2"/>
      <c r="S121" s="2"/>
      <c r="T121" s="2"/>
      <c r="U121" s="226"/>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c r="BO121" s="2"/>
    </row>
    <row r="122" spans="1:67" hidden="1" x14ac:dyDescent="0.25">
      <c r="A122" s="225"/>
      <c r="B122" s="96"/>
      <c r="C122" s="2"/>
      <c r="D122" s="2"/>
      <c r="E122" s="2"/>
      <c r="F122" s="2"/>
      <c r="G122" s="227"/>
      <c r="H122" s="225"/>
      <c r="I122" s="2"/>
      <c r="J122" s="2"/>
      <c r="K122" s="2"/>
      <c r="L122" s="2"/>
      <c r="M122" s="2"/>
      <c r="N122" s="2"/>
      <c r="O122" s="2"/>
      <c r="P122" s="2"/>
      <c r="Q122" s="2"/>
      <c r="R122" s="2"/>
      <c r="S122" s="2"/>
      <c r="T122" s="2"/>
      <c r="U122" s="226"/>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2"/>
      <c r="BM122" s="2"/>
      <c r="BN122" s="2"/>
      <c r="BO122" s="2"/>
    </row>
    <row r="123" spans="1:67" hidden="1" x14ac:dyDescent="0.25">
      <c r="A123" s="225"/>
      <c r="B123" s="96"/>
      <c r="C123" s="2"/>
      <c r="D123" s="2"/>
      <c r="E123" s="2"/>
      <c r="F123" s="2"/>
      <c r="G123" s="227"/>
      <c r="H123" s="225"/>
      <c r="I123" s="2"/>
      <c r="J123" s="2"/>
      <c r="K123" s="2"/>
      <c r="L123" s="2"/>
      <c r="M123" s="2"/>
      <c r="N123" s="2"/>
      <c r="O123" s="2"/>
      <c r="P123" s="2"/>
      <c r="Q123" s="2"/>
      <c r="R123" s="2"/>
      <c r="S123" s="2"/>
      <c r="T123" s="2"/>
      <c r="U123" s="226"/>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c r="BH123" s="2"/>
      <c r="BI123" s="2"/>
      <c r="BJ123" s="2"/>
      <c r="BK123" s="2"/>
      <c r="BL123" s="2"/>
      <c r="BM123" s="2"/>
      <c r="BN123" s="2"/>
      <c r="BO123" s="2"/>
    </row>
    <row r="124" spans="1:67" hidden="1" x14ac:dyDescent="0.25">
      <c r="A124" s="225"/>
      <c r="B124" s="96"/>
      <c r="C124" s="2"/>
      <c r="D124" s="2"/>
      <c r="E124" s="2"/>
      <c r="F124" s="2"/>
      <c r="G124" s="227"/>
      <c r="H124" s="225"/>
      <c r="I124" s="2"/>
      <c r="J124" s="2"/>
      <c r="K124" s="2"/>
      <c r="L124" s="2"/>
      <c r="M124" s="2"/>
      <c r="N124" s="2"/>
      <c r="O124" s="2"/>
      <c r="P124" s="2"/>
      <c r="Q124" s="2"/>
      <c r="R124" s="2"/>
      <c r="S124" s="2"/>
      <c r="T124" s="2"/>
      <c r="U124" s="226"/>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c r="BH124" s="2"/>
      <c r="BI124" s="2"/>
      <c r="BJ124" s="2"/>
      <c r="BK124" s="2"/>
      <c r="BL124" s="2"/>
      <c r="BM124" s="2"/>
      <c r="BN124" s="2"/>
      <c r="BO124" s="2"/>
    </row>
    <row r="125" spans="1:67" hidden="1" x14ac:dyDescent="0.25">
      <c r="A125" s="225"/>
      <c r="B125" s="96"/>
      <c r="C125" s="2"/>
      <c r="D125" s="2"/>
      <c r="E125" s="2"/>
      <c r="F125" s="2"/>
      <c r="G125" s="227"/>
      <c r="H125" s="225"/>
      <c r="I125" s="2"/>
      <c r="J125" s="2"/>
      <c r="K125" s="2"/>
      <c r="L125" s="2"/>
      <c r="M125" s="2"/>
      <c r="N125" s="2"/>
      <c r="O125" s="2"/>
      <c r="P125" s="2"/>
      <c r="Q125" s="2"/>
      <c r="R125" s="2"/>
      <c r="S125" s="2"/>
      <c r="T125" s="2"/>
      <c r="U125" s="226"/>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c r="BE125" s="2"/>
      <c r="BF125" s="2"/>
      <c r="BG125" s="2"/>
      <c r="BH125" s="2"/>
      <c r="BI125" s="2"/>
      <c r="BJ125" s="2"/>
      <c r="BK125" s="2"/>
      <c r="BL125" s="2"/>
      <c r="BM125" s="2"/>
      <c r="BN125" s="2"/>
      <c r="BO125" s="2"/>
    </row>
    <row r="126" spans="1:67" hidden="1" x14ac:dyDescent="0.25">
      <c r="A126" s="225"/>
      <c r="B126" s="96"/>
      <c r="C126" s="2"/>
      <c r="D126" s="2"/>
      <c r="E126" s="2"/>
      <c r="F126" s="2"/>
      <c r="G126" s="227"/>
      <c r="H126" s="225"/>
      <c r="I126" s="2"/>
      <c r="J126" s="2"/>
      <c r="K126" s="2"/>
      <c r="L126" s="2"/>
      <c r="M126" s="2"/>
      <c r="N126" s="2"/>
      <c r="O126" s="2"/>
      <c r="P126" s="2"/>
      <c r="Q126" s="2"/>
      <c r="R126" s="2"/>
      <c r="S126" s="2"/>
      <c r="T126" s="2"/>
      <c r="U126" s="226"/>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c r="BM126" s="2"/>
      <c r="BN126" s="2"/>
      <c r="BO126" s="2"/>
    </row>
    <row r="127" spans="1:67" hidden="1" x14ac:dyDescent="0.25">
      <c r="A127" s="225"/>
      <c r="B127" s="96"/>
      <c r="C127" s="2"/>
      <c r="D127" s="2"/>
      <c r="E127" s="2"/>
      <c r="F127" s="2"/>
      <c r="G127" s="227"/>
      <c r="H127" s="225"/>
      <c r="I127" s="2"/>
      <c r="J127" s="2"/>
      <c r="K127" s="2"/>
      <c r="L127" s="2"/>
      <c r="M127" s="2"/>
      <c r="N127" s="2"/>
      <c r="O127" s="2"/>
      <c r="P127" s="2"/>
      <c r="Q127" s="2"/>
      <c r="R127" s="2"/>
      <c r="S127" s="2"/>
      <c r="T127" s="2"/>
      <c r="U127" s="226"/>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row>
    <row r="128" spans="1:67" hidden="1" x14ac:dyDescent="0.25">
      <c r="A128" s="225"/>
      <c r="B128" s="96"/>
      <c r="C128" s="2"/>
      <c r="D128" s="2"/>
      <c r="E128" s="2"/>
      <c r="F128" s="2"/>
      <c r="G128" s="227"/>
      <c r="H128" s="225"/>
      <c r="I128" s="2"/>
      <c r="J128" s="2"/>
      <c r="K128" s="2"/>
      <c r="L128" s="2"/>
      <c r="M128" s="2"/>
      <c r="N128" s="2"/>
      <c r="O128" s="2"/>
      <c r="P128" s="2"/>
      <c r="Q128" s="2"/>
      <c r="R128" s="2"/>
      <c r="S128" s="2"/>
      <c r="T128" s="2"/>
      <c r="U128" s="226"/>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row>
    <row r="129" spans="1:67" hidden="1" x14ac:dyDescent="0.25">
      <c r="A129" s="225"/>
      <c r="B129" s="96"/>
      <c r="C129" s="2"/>
      <c r="D129" s="2"/>
      <c r="E129" s="2"/>
      <c r="F129" s="2"/>
      <c r="G129" s="227"/>
      <c r="H129" s="225"/>
      <c r="I129" s="2"/>
      <c r="J129" s="2"/>
      <c r="K129" s="2"/>
      <c r="L129" s="2"/>
      <c r="M129" s="2"/>
      <c r="N129" s="2"/>
      <c r="O129" s="2"/>
      <c r="P129" s="2"/>
      <c r="Q129" s="2"/>
      <c r="R129" s="2"/>
      <c r="S129" s="2"/>
      <c r="T129" s="2"/>
      <c r="U129" s="226"/>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row>
    <row r="130" spans="1:67" hidden="1" x14ac:dyDescent="0.25">
      <c r="A130" s="225"/>
      <c r="B130" s="96"/>
      <c r="C130" s="2"/>
      <c r="D130" s="2"/>
      <c r="E130" s="2"/>
      <c r="F130" s="2"/>
      <c r="G130" s="227"/>
      <c r="H130" s="225"/>
      <c r="I130" s="2"/>
      <c r="J130" s="2"/>
      <c r="K130" s="2"/>
      <c r="L130" s="2"/>
      <c r="M130" s="2"/>
      <c r="N130" s="2"/>
      <c r="O130" s="2"/>
      <c r="P130" s="2"/>
      <c r="Q130" s="2"/>
      <c r="R130" s="2"/>
      <c r="S130" s="2"/>
      <c r="T130" s="2"/>
      <c r="U130" s="226"/>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row>
    <row r="131" spans="1:67" hidden="1" x14ac:dyDescent="0.25">
      <c r="A131" s="228"/>
      <c r="B131" s="229"/>
      <c r="C131" s="230"/>
      <c r="D131" s="230"/>
      <c r="E131" s="230"/>
      <c r="F131" s="230"/>
      <c r="G131" s="231"/>
      <c r="H131" s="228"/>
      <c r="I131" s="230"/>
      <c r="J131" s="230"/>
      <c r="K131" s="230"/>
      <c r="L131" s="230"/>
      <c r="M131" s="230"/>
      <c r="N131" s="230"/>
      <c r="O131" s="230"/>
      <c r="P131" s="230"/>
      <c r="Q131" s="230"/>
      <c r="R131" s="230"/>
      <c r="S131" s="230"/>
      <c r="T131" s="230"/>
      <c r="U131" s="234"/>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row>
    <row r="132" spans="1:67" hidden="1" x14ac:dyDescent="0.25">
      <c r="A132" s="2"/>
      <c r="B132" s="96"/>
      <c r="C132" s="2"/>
      <c r="D132" s="2"/>
      <c r="E132" s="2"/>
      <c r="F132" s="2"/>
      <c r="G132" s="97"/>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row>
    <row r="133" spans="1:67" hidden="1" x14ac:dyDescent="0.25">
      <c r="A133" s="2"/>
      <c r="B133" s="96"/>
      <c r="C133" s="2"/>
      <c r="D133" s="2"/>
      <c r="E133" s="2"/>
      <c r="F133" s="2"/>
      <c r="G133" s="97"/>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row>
    <row r="134" spans="1:67" hidden="1" x14ac:dyDescent="0.25">
      <c r="A134" s="2"/>
      <c r="B134" s="96"/>
      <c r="C134" s="2"/>
      <c r="D134" s="2"/>
      <c r="E134" s="2"/>
      <c r="F134" s="4"/>
      <c r="G134" s="97"/>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row>
    <row r="135" spans="1:67" hidden="1" x14ac:dyDescent="0.25">
      <c r="A135" s="2" t="s">
        <v>299</v>
      </c>
      <c r="B135" s="96"/>
      <c r="C135" s="2"/>
      <c r="D135" s="2"/>
      <c r="E135" s="2"/>
      <c r="F135" s="4"/>
      <c r="G135" s="97"/>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row>
    <row r="136" spans="1:67" hidden="1" x14ac:dyDescent="0.25">
      <c r="A136" s="2"/>
      <c r="B136" s="96"/>
      <c r="C136" s="2"/>
      <c r="D136" s="2"/>
      <c r="E136" s="2"/>
      <c r="F136" s="2"/>
      <c r="G136" s="97"/>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row>
    <row r="137" spans="1:67" hidden="1" x14ac:dyDescent="0.25">
      <c r="A137" s="2"/>
      <c r="B137" s="96"/>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row>
    <row r="138" spans="1:67" hidden="1" x14ac:dyDescent="0.25">
      <c r="A138" s="2"/>
      <c r="B138" s="96"/>
      <c r="C138" s="2"/>
      <c r="D138" s="2"/>
      <c r="E138" s="2"/>
      <c r="F138" s="2"/>
      <c r="G138" s="2"/>
      <c r="H138" s="2"/>
      <c r="I138" s="240"/>
      <c r="J138" s="240"/>
      <c r="K138" s="240"/>
      <c r="L138" s="240"/>
      <c r="M138" s="240"/>
      <c r="N138" s="240"/>
      <c r="O138" s="240"/>
      <c r="P138" s="240"/>
      <c r="Q138" s="240"/>
      <c r="R138" s="240"/>
      <c r="S138" s="240"/>
      <c r="T138" s="240"/>
      <c r="U138" s="240"/>
      <c r="V138" s="240"/>
      <c r="W138" s="240"/>
      <c r="X138" s="240"/>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row>
    <row r="139" spans="1:67" hidden="1" x14ac:dyDescent="0.25">
      <c r="A139" s="2"/>
      <c r="B139" s="96"/>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row>
    <row r="140" spans="1:67" hidden="1" x14ac:dyDescent="0.25">
      <c r="A140" s="2"/>
      <c r="B140" s="96"/>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row>
    <row r="141" spans="1:67" hidden="1" x14ac:dyDescent="0.25">
      <c r="A141" s="2"/>
      <c r="B141" s="96"/>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row>
    <row r="142" spans="1:67" hidden="1" x14ac:dyDescent="0.25">
      <c r="A142" s="2"/>
      <c r="B142" s="96"/>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row>
    <row r="143" spans="1:67" hidden="1" x14ac:dyDescent="0.25">
      <c r="A143" s="2"/>
      <c r="B143" s="96"/>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row>
    <row r="144" spans="1:67" hidden="1" x14ac:dyDescent="0.25">
      <c r="A144" s="2"/>
      <c r="B144" s="96"/>
      <c r="C144" s="2"/>
      <c r="D144" s="2"/>
      <c r="E144" s="2"/>
      <c r="F144" s="2"/>
      <c r="G144" s="97"/>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row>
    <row r="145" spans="1:67" hidden="1" x14ac:dyDescent="0.25">
      <c r="A145" s="2"/>
      <c r="B145" s="96"/>
      <c r="C145" s="2"/>
      <c r="D145" s="2"/>
      <c r="E145" s="2"/>
      <c r="F145" s="2"/>
      <c r="G145" s="97"/>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row>
    <row r="146" spans="1:67" hidden="1" x14ac:dyDescent="0.25">
      <c r="A146" s="2"/>
      <c r="B146" s="96"/>
      <c r="C146" s="2"/>
      <c r="D146" s="2"/>
      <c r="E146" s="2"/>
      <c r="F146" s="2"/>
      <c r="G146" s="97"/>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row>
    <row r="147" spans="1:67" hidden="1" x14ac:dyDescent="0.25">
      <c r="A147" s="2"/>
      <c r="B147" s="96"/>
      <c r="C147" s="2"/>
      <c r="D147" s="2"/>
      <c r="E147" s="2"/>
      <c r="F147" s="2"/>
      <c r="G147" s="97"/>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row>
    <row r="148" spans="1:67" hidden="1" x14ac:dyDescent="0.25">
      <c r="A148" s="2"/>
      <c r="B148" s="96"/>
      <c r="C148" s="2"/>
      <c r="D148" s="2"/>
      <c r="E148" s="2"/>
      <c r="F148" s="2"/>
      <c r="G148" s="97"/>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row>
    <row r="149" spans="1:67" hidden="1" x14ac:dyDescent="0.25">
      <c r="A149" s="2"/>
      <c r="B149" s="96"/>
      <c r="C149" s="2"/>
      <c r="D149" s="2"/>
      <c r="E149" s="2"/>
      <c r="F149" s="2"/>
      <c r="G149" s="97"/>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row>
    <row r="150" spans="1:67" hidden="1" x14ac:dyDescent="0.25">
      <c r="A150" s="2"/>
      <c r="B150" s="96"/>
      <c r="C150" s="2"/>
      <c r="D150" s="2"/>
      <c r="E150" s="2"/>
      <c r="F150" s="2"/>
      <c r="G150" s="97"/>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row>
    <row r="151" spans="1:67" hidden="1" x14ac:dyDescent="0.25">
      <c r="A151" s="2"/>
      <c r="B151" s="96"/>
      <c r="C151" s="2"/>
      <c r="D151" s="2"/>
      <c r="E151" s="2"/>
      <c r="F151" s="2"/>
      <c r="G151" s="97"/>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row>
    <row r="152" spans="1:67" hidden="1" x14ac:dyDescent="0.25">
      <c r="A152" s="2"/>
      <c r="B152" s="96"/>
      <c r="C152" s="2"/>
      <c r="D152" s="2"/>
      <c r="E152" s="2"/>
      <c r="F152" s="2"/>
      <c r="G152" s="97"/>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row>
    <row r="153" spans="1:67" hidden="1" x14ac:dyDescent="0.25">
      <c r="A153" s="2"/>
      <c r="B153" s="96"/>
      <c r="C153" s="2"/>
      <c r="D153" s="2"/>
      <c r="E153" s="2"/>
      <c r="F153" s="2"/>
      <c r="G153" s="97"/>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row>
    <row r="154" spans="1:67" hidden="1" x14ac:dyDescent="0.25">
      <c r="A154" s="2"/>
      <c r="B154" s="96"/>
      <c r="C154" s="2"/>
      <c r="D154" s="2"/>
      <c r="E154" s="2"/>
      <c r="F154" s="2"/>
      <c r="G154" s="97"/>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row>
    <row r="155" spans="1:67" hidden="1" x14ac:dyDescent="0.25">
      <c r="A155" s="2"/>
      <c r="B155" s="96"/>
      <c r="C155" s="2"/>
      <c r="D155" s="2"/>
      <c r="E155" s="2"/>
      <c r="F155" s="2"/>
      <c r="G155" s="97"/>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c r="BH155" s="2"/>
      <c r="BI155" s="2"/>
      <c r="BJ155" s="2"/>
      <c r="BK155" s="2"/>
      <c r="BL155" s="2"/>
      <c r="BM155" s="2"/>
      <c r="BN155" s="2"/>
      <c r="BO155" s="2"/>
    </row>
    <row r="156" spans="1:67" hidden="1" x14ac:dyDescent="0.25">
      <c r="A156" s="2"/>
      <c r="B156" s="96"/>
      <c r="C156" s="2"/>
      <c r="D156" s="2"/>
      <c r="E156" s="2"/>
      <c r="F156" s="2"/>
      <c r="G156" s="97"/>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c r="BI156" s="2"/>
      <c r="BJ156" s="2"/>
      <c r="BK156" s="2"/>
      <c r="BL156" s="2"/>
      <c r="BM156" s="2"/>
      <c r="BN156" s="2"/>
      <c r="BO156" s="2"/>
    </row>
    <row r="157" spans="1:67" hidden="1" x14ac:dyDescent="0.25">
      <c r="A157" s="2"/>
      <c r="B157" s="96"/>
      <c r="C157" s="2"/>
      <c r="D157" s="2"/>
      <c r="E157" s="2"/>
      <c r="F157" s="2"/>
      <c r="G157" s="97"/>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2"/>
      <c r="BJ157" s="2"/>
      <c r="BK157" s="2"/>
      <c r="BL157" s="2"/>
      <c r="BM157" s="2"/>
      <c r="BN157" s="2"/>
      <c r="BO157" s="2"/>
    </row>
    <row r="158" spans="1:67" hidden="1" x14ac:dyDescent="0.25">
      <c r="A158" s="2"/>
      <c r="B158" s="96"/>
      <c r="C158" s="2"/>
      <c r="D158" s="2"/>
      <c r="E158" s="2"/>
      <c r="F158" s="2"/>
      <c r="G158" s="97"/>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row>
    <row r="159" spans="1:67" hidden="1" x14ac:dyDescent="0.25">
      <c r="A159" s="2"/>
      <c r="B159" s="96"/>
      <c r="C159" s="2"/>
      <c r="D159" s="2"/>
      <c r="E159" s="2"/>
      <c r="F159" s="2"/>
      <c r="G159" s="97"/>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row>
    <row r="160" spans="1:67" hidden="1" x14ac:dyDescent="0.25">
      <c r="A160" s="2"/>
      <c r="B160" s="96"/>
      <c r="C160" s="2"/>
      <c r="D160" s="2"/>
      <c r="E160" s="2"/>
      <c r="F160" s="2"/>
      <c r="G160" s="97"/>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row>
    <row r="161" spans="1:67" hidden="1" x14ac:dyDescent="0.25">
      <c r="A161" s="2"/>
      <c r="B161" s="96"/>
      <c r="C161" s="2"/>
      <c r="D161" s="2"/>
      <c r="E161" s="2"/>
      <c r="F161" s="2"/>
      <c r="G161" s="97"/>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row>
    <row r="162" spans="1:67" hidden="1" x14ac:dyDescent="0.25"/>
    <row r="163" spans="1:67" hidden="1" x14ac:dyDescent="0.25"/>
  </sheetData>
  <mergeCells count="60">
    <mergeCell ref="C42:C47"/>
    <mergeCell ref="D42:D47"/>
    <mergeCell ref="C40:J40"/>
    <mergeCell ref="I46:X46"/>
    <mergeCell ref="B27:B38"/>
    <mergeCell ref="C27:C38"/>
    <mergeCell ref="D29:D32"/>
    <mergeCell ref="A73:Z73"/>
    <mergeCell ref="A68:Z68"/>
    <mergeCell ref="A27:A38"/>
    <mergeCell ref="E27:E32"/>
    <mergeCell ref="E33:E38"/>
    <mergeCell ref="I47:X47"/>
    <mergeCell ref="I41:X41"/>
    <mergeCell ref="E42:E47"/>
    <mergeCell ref="I43:X43"/>
    <mergeCell ref="I44:X44"/>
    <mergeCell ref="I45:X45"/>
    <mergeCell ref="I42:X42"/>
    <mergeCell ref="H33:H34"/>
    <mergeCell ref="H27:H28"/>
    <mergeCell ref="D33:D34"/>
    <mergeCell ref="D27:D28"/>
    <mergeCell ref="B9:B14"/>
    <mergeCell ref="E9:E14"/>
    <mergeCell ref="E15:E20"/>
    <mergeCell ref="D9:D14"/>
    <mergeCell ref="D15:D16"/>
    <mergeCell ref="B15:B26"/>
    <mergeCell ref="C15:C26"/>
    <mergeCell ref="A1:X1"/>
    <mergeCell ref="D21:D22"/>
    <mergeCell ref="E21:E26"/>
    <mergeCell ref="A15:A26"/>
    <mergeCell ref="E3:E8"/>
    <mergeCell ref="B3:B8"/>
    <mergeCell ref="A3:A8"/>
    <mergeCell ref="D3:D8"/>
    <mergeCell ref="C3:C8"/>
    <mergeCell ref="C9:C14"/>
    <mergeCell ref="H9:H10"/>
    <mergeCell ref="D17:D20"/>
    <mergeCell ref="H15:H16"/>
    <mergeCell ref="H21:H22"/>
    <mergeCell ref="D23:D26"/>
    <mergeCell ref="A9:A14"/>
    <mergeCell ref="AV44:AY44"/>
    <mergeCell ref="K56:O56"/>
    <mergeCell ref="P56:T56"/>
    <mergeCell ref="D35:D38"/>
    <mergeCell ref="E52:H52"/>
    <mergeCell ref="AR44:AU44"/>
    <mergeCell ref="F61:F64"/>
    <mergeCell ref="G61:G64"/>
    <mergeCell ref="I64:X64"/>
    <mergeCell ref="A61:A64"/>
    <mergeCell ref="B61:B64"/>
    <mergeCell ref="C61:C64"/>
    <mergeCell ref="D61:D64"/>
    <mergeCell ref="E61:E64"/>
  </mergeCells>
  <phoneticPr fontId="5" type="noConversion"/>
  <hyperlinks>
    <hyperlink ref="H42" r:id="rId1" xr:uid="{9153F47E-FCBB-42B5-A7E2-9AE58445F5C5}"/>
    <hyperlink ref="H43:H44" r:id="rId2" display="2022 CASE report (Table 38)" xr:uid="{AB6FEC5D-A312-48E5-9443-3858096808B6}"/>
    <hyperlink ref="E49" r:id="rId3" xr:uid="{25C90A1D-2413-41E3-8163-A6D94106D91D}"/>
    <hyperlink ref="I55" r:id="rId4" xr:uid="{62859150-A409-48D0-A869-2F6C68EFC4BB}"/>
  </hyperlinks>
  <pageMargins left="0.7" right="0.7" top="0.75" bottom="0.75" header="0.3" footer="0.3"/>
  <drawing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C1672-9EE3-40E4-AB75-7F6046861D1F}">
  <sheetPr codeName="Sheet6"/>
  <dimension ref="A1:K37"/>
  <sheetViews>
    <sheetView zoomScale="85" zoomScaleNormal="85" workbookViewId="0">
      <selection sqref="A1:G1"/>
    </sheetView>
  </sheetViews>
  <sheetFormatPr defaultColWidth="8.6640625" defaultRowHeight="13.2" x14ac:dyDescent="0.25"/>
  <cols>
    <col min="1" max="1" width="26" style="4" customWidth="1"/>
    <col min="2" max="2" width="26.88671875" style="4" customWidth="1"/>
    <col min="3" max="3" width="30.44140625" style="4" customWidth="1"/>
    <col min="4" max="4" width="31.44140625" style="4" customWidth="1"/>
    <col min="5" max="5" width="33.33203125" style="4" customWidth="1"/>
    <col min="6" max="6" width="33.44140625" style="4" customWidth="1"/>
    <col min="7" max="7" width="39.88671875" style="4" customWidth="1"/>
    <col min="8" max="8" width="38" style="4" customWidth="1"/>
    <col min="9" max="12" width="12.6640625" style="4" customWidth="1"/>
    <col min="13" max="20" width="15.33203125" style="4" customWidth="1"/>
    <col min="21" max="21" width="14.6640625" style="4" customWidth="1"/>
    <col min="22" max="22" width="13.5546875" style="4" customWidth="1"/>
    <col min="23" max="23" width="15.6640625" style="4" customWidth="1"/>
    <col min="24" max="30" width="11" style="4" customWidth="1"/>
    <col min="31" max="39" width="6.5546875" style="4" customWidth="1"/>
    <col min="40" max="40" width="8.6640625" style="4" customWidth="1"/>
    <col min="41" max="16384" width="8.6640625" style="4"/>
  </cols>
  <sheetData>
    <row r="1" spans="1:11" ht="27" customHeight="1" x14ac:dyDescent="0.25">
      <c r="A1" s="619" t="str">
        <f>"HVAC system - "&amp;Prototype!A2</f>
        <v>HVAC system - Warehouse</v>
      </c>
      <c r="B1" s="619"/>
      <c r="C1" s="619"/>
      <c r="D1" s="619"/>
      <c r="E1" s="619"/>
      <c r="F1" s="619"/>
      <c r="G1" s="619"/>
    </row>
    <row r="2" spans="1:11" ht="22.2" customHeight="1" x14ac:dyDescent="0.25">
      <c r="A2" s="534" t="s">
        <v>191</v>
      </c>
      <c r="B2" s="534" t="s">
        <v>162</v>
      </c>
      <c r="C2" s="534" t="s">
        <v>300</v>
      </c>
      <c r="D2" s="534" t="s">
        <v>301</v>
      </c>
      <c r="E2" s="534" t="s">
        <v>302</v>
      </c>
      <c r="F2" s="534" t="s">
        <v>303</v>
      </c>
      <c r="G2" s="534" t="s">
        <v>248</v>
      </c>
    </row>
    <row r="3" spans="1:11" ht="22.2" customHeight="1" x14ac:dyDescent="0.25">
      <c r="A3" s="632" t="s">
        <v>304</v>
      </c>
      <c r="B3" s="15" t="s">
        <v>173</v>
      </c>
      <c r="C3" s="15" t="s">
        <v>305</v>
      </c>
      <c r="D3" s="36" t="s">
        <v>306</v>
      </c>
      <c r="E3" s="520" t="s">
        <v>307</v>
      </c>
      <c r="F3" s="401"/>
      <c r="G3" s="620" t="s">
        <v>308</v>
      </c>
      <c r="H3" s="88"/>
      <c r="I3" s="399"/>
      <c r="J3" s="399"/>
      <c r="K3" s="399"/>
    </row>
    <row r="4" spans="1:11" ht="22.2" customHeight="1" x14ac:dyDescent="0.25">
      <c r="A4" s="633"/>
      <c r="B4" s="15" t="s">
        <v>309</v>
      </c>
      <c r="C4" s="15" t="s">
        <v>305</v>
      </c>
      <c r="D4" s="36" t="s">
        <v>306</v>
      </c>
      <c r="E4" s="520" t="s">
        <v>307</v>
      </c>
      <c r="F4" s="86"/>
      <c r="G4" s="621"/>
      <c r="H4" s="399"/>
      <c r="I4" s="399"/>
      <c r="J4" s="399"/>
      <c r="K4" s="399"/>
    </row>
    <row r="5" spans="1:11" ht="27" customHeight="1" x14ac:dyDescent="0.25">
      <c r="A5" s="634"/>
      <c r="B5" s="15" t="s">
        <v>310</v>
      </c>
      <c r="C5" s="15" t="s">
        <v>311</v>
      </c>
      <c r="D5" s="36" t="s">
        <v>312</v>
      </c>
      <c r="E5" s="520" t="s">
        <v>307</v>
      </c>
      <c r="F5" s="85" t="s">
        <v>313</v>
      </c>
      <c r="G5" s="622"/>
      <c r="H5" s="399"/>
      <c r="I5" s="399"/>
      <c r="J5" s="399"/>
      <c r="K5" s="399"/>
    </row>
    <row r="6" spans="1:11" ht="22.2" customHeight="1" x14ac:dyDescent="0.25">
      <c r="A6" s="632" t="s">
        <v>314</v>
      </c>
      <c r="B6" s="15" t="s">
        <v>173</v>
      </c>
      <c r="C6" s="15" t="s">
        <v>315</v>
      </c>
      <c r="D6" s="36" t="s">
        <v>306</v>
      </c>
      <c r="E6" s="520" t="s">
        <v>307</v>
      </c>
      <c r="F6" s="401"/>
      <c r="G6" s="620" t="s">
        <v>271</v>
      </c>
      <c r="H6" s="399"/>
      <c r="I6" s="399"/>
      <c r="J6" s="399"/>
      <c r="K6" s="399"/>
    </row>
    <row r="7" spans="1:11" ht="22.2" customHeight="1" x14ac:dyDescent="0.25">
      <c r="A7" s="633"/>
      <c r="B7" s="15" t="s">
        <v>309</v>
      </c>
      <c r="C7" s="15" t="s">
        <v>315</v>
      </c>
      <c r="D7" s="36" t="s">
        <v>306</v>
      </c>
      <c r="E7" s="520" t="s">
        <v>307</v>
      </c>
      <c r="F7" s="87"/>
      <c r="G7" s="621"/>
      <c r="H7" s="399"/>
      <c r="I7" s="399"/>
      <c r="J7" s="399"/>
      <c r="K7" s="399"/>
    </row>
    <row r="8" spans="1:11" ht="29.4" customHeight="1" x14ac:dyDescent="0.25">
      <c r="A8" s="634"/>
      <c r="B8" s="15" t="s">
        <v>310</v>
      </c>
      <c r="C8" s="286" t="s">
        <v>316</v>
      </c>
      <c r="D8" s="36" t="s">
        <v>312</v>
      </c>
      <c r="E8" s="520" t="s">
        <v>307</v>
      </c>
      <c r="F8" s="85" t="s">
        <v>313</v>
      </c>
      <c r="G8" s="622"/>
      <c r="H8" s="399"/>
      <c r="I8" s="399"/>
      <c r="J8" s="399"/>
      <c r="K8" s="399"/>
    </row>
    <row r="9" spans="1:11" ht="15.6" customHeight="1" x14ac:dyDescent="0.25">
      <c r="A9" s="529"/>
      <c r="B9" s="529"/>
      <c r="C9" s="529"/>
      <c r="D9" s="529"/>
      <c r="E9" s="529"/>
      <c r="F9" s="529"/>
    </row>
    <row r="10" spans="1:11" x14ac:dyDescent="0.25">
      <c r="A10" s="399"/>
      <c r="B10" s="399"/>
      <c r="C10" s="529"/>
      <c r="D10" s="529"/>
      <c r="E10" s="529"/>
      <c r="F10" s="529"/>
    </row>
    <row r="11" spans="1:11" x14ac:dyDescent="0.25">
      <c r="A11" s="529"/>
      <c r="B11" s="529"/>
      <c r="C11" s="529"/>
      <c r="D11" s="529"/>
      <c r="E11" s="529"/>
      <c r="F11" s="529"/>
    </row>
    <row r="12" spans="1:11" ht="43.5" customHeight="1" x14ac:dyDescent="0.25">
      <c r="A12" s="619" t="s">
        <v>317</v>
      </c>
      <c r="B12" s="619"/>
      <c r="C12" s="619"/>
      <c r="D12" s="619"/>
      <c r="E12" s="619"/>
      <c r="F12" s="619"/>
      <c r="G12" s="619"/>
    </row>
    <row r="13" spans="1:11" ht="28.2" customHeight="1" x14ac:dyDescent="0.25">
      <c r="A13" s="37" t="s">
        <v>191</v>
      </c>
      <c r="B13" s="65" t="s">
        <v>318</v>
      </c>
      <c r="C13" s="33" t="s">
        <v>319</v>
      </c>
      <c r="D13" s="33" t="s">
        <v>320</v>
      </c>
      <c r="E13" s="33" t="s">
        <v>315</v>
      </c>
      <c r="F13" s="33" t="s">
        <v>321</v>
      </c>
      <c r="G13" s="534" t="s">
        <v>248</v>
      </c>
    </row>
    <row r="14" spans="1:11" ht="22.95" customHeight="1" x14ac:dyDescent="0.25">
      <c r="A14" s="447" t="s">
        <v>213</v>
      </c>
      <c r="B14" s="629">
        <v>2008</v>
      </c>
      <c r="C14" s="635" t="s">
        <v>322</v>
      </c>
      <c r="D14" s="623" t="s">
        <v>323</v>
      </c>
      <c r="E14" s="171"/>
      <c r="F14" s="623" t="s">
        <v>324</v>
      </c>
      <c r="G14" s="626" t="s">
        <v>325</v>
      </c>
    </row>
    <row r="15" spans="1:11" ht="22.95" customHeight="1" x14ac:dyDescent="0.25">
      <c r="A15" s="447" t="s">
        <v>215</v>
      </c>
      <c r="B15" s="630"/>
      <c r="C15" s="636"/>
      <c r="D15" s="624"/>
      <c r="E15" s="172"/>
      <c r="F15" s="624"/>
      <c r="G15" s="627"/>
    </row>
    <row r="16" spans="1:11" ht="22.95" customHeight="1" x14ac:dyDescent="0.25">
      <c r="A16" s="447" t="s">
        <v>217</v>
      </c>
      <c r="B16" s="631"/>
      <c r="C16" s="637"/>
      <c r="D16" s="625"/>
      <c r="E16" s="173"/>
      <c r="F16" s="625"/>
      <c r="G16" s="628"/>
    </row>
    <row r="17" spans="1:9" ht="76.5" customHeight="1" x14ac:dyDescent="0.25">
      <c r="A17" s="447" t="s">
        <v>219</v>
      </c>
      <c r="B17" s="447">
        <v>2013</v>
      </c>
      <c r="C17" s="170" t="s">
        <v>322</v>
      </c>
      <c r="D17" s="170" t="s">
        <v>326</v>
      </c>
      <c r="E17" s="174"/>
      <c r="F17" s="170" t="s">
        <v>324</v>
      </c>
      <c r="G17" s="446" t="s">
        <v>327</v>
      </c>
    </row>
    <row r="18" spans="1:9" ht="87" customHeight="1" x14ac:dyDescent="0.25">
      <c r="A18" s="445" t="s">
        <v>314</v>
      </c>
      <c r="B18" s="447">
        <v>2025</v>
      </c>
      <c r="C18" s="170"/>
      <c r="D18" s="170"/>
      <c r="E18" s="170" t="s">
        <v>328</v>
      </c>
      <c r="F18" s="170" t="s">
        <v>324</v>
      </c>
      <c r="G18" s="447" t="s">
        <v>329</v>
      </c>
      <c r="I18" s="331"/>
    </row>
    <row r="19" spans="1:9" x14ac:dyDescent="0.25">
      <c r="C19" s="521"/>
    </row>
    <row r="20" spans="1:9" x14ac:dyDescent="0.25">
      <c r="C20" s="521"/>
      <c r="E20" s="331"/>
      <c r="F20" s="521"/>
    </row>
    <row r="21" spans="1:9" x14ac:dyDescent="0.25">
      <c r="C21" s="521"/>
      <c r="D21" s="521"/>
      <c r="E21" s="38"/>
      <c r="F21" s="521"/>
    </row>
    <row r="22" spans="1:9" ht="27" customHeight="1" x14ac:dyDescent="0.25">
      <c r="A22" s="650" t="s">
        <v>330</v>
      </c>
      <c r="B22" s="650"/>
      <c r="C22" s="650"/>
      <c r="D22" s="651"/>
      <c r="E22" s="651"/>
      <c r="F22" s="651"/>
      <c r="G22" s="651"/>
      <c r="H22" s="651"/>
    </row>
    <row r="23" spans="1:9" ht="57.75" customHeight="1" x14ac:dyDescent="0.25">
      <c r="A23" s="436" t="s">
        <v>191</v>
      </c>
      <c r="B23" s="442" t="s">
        <v>331</v>
      </c>
      <c r="C23" s="442" t="s">
        <v>332</v>
      </c>
      <c r="D23" s="443" t="s">
        <v>333</v>
      </c>
      <c r="E23" s="443" t="s">
        <v>334</v>
      </c>
      <c r="F23" s="443" t="s">
        <v>335</v>
      </c>
      <c r="G23" s="443" t="s">
        <v>336</v>
      </c>
      <c r="H23" s="437" t="s">
        <v>337</v>
      </c>
    </row>
    <row r="24" spans="1:9" ht="36.75" customHeight="1" x14ac:dyDescent="0.25">
      <c r="A24" s="644" t="s">
        <v>221</v>
      </c>
      <c r="B24" s="647" t="s">
        <v>341</v>
      </c>
      <c r="C24" s="178" t="s">
        <v>338</v>
      </c>
      <c r="D24" s="178" t="s">
        <v>342</v>
      </c>
      <c r="E24" s="178">
        <v>0.65</v>
      </c>
      <c r="F24" s="638" t="s">
        <v>343</v>
      </c>
      <c r="G24" s="641"/>
      <c r="H24" s="638" t="s">
        <v>344</v>
      </c>
    </row>
    <row r="25" spans="1:9" ht="36" customHeight="1" x14ac:dyDescent="0.25">
      <c r="A25" s="645"/>
      <c r="B25" s="648"/>
      <c r="C25" s="178" t="s">
        <v>339</v>
      </c>
      <c r="D25" s="178" t="s">
        <v>345</v>
      </c>
      <c r="E25" s="178">
        <v>0.65</v>
      </c>
      <c r="F25" s="639"/>
      <c r="G25" s="642"/>
      <c r="H25" s="827"/>
    </row>
    <row r="26" spans="1:9" ht="33.6" customHeight="1" x14ac:dyDescent="0.25">
      <c r="A26" s="646"/>
      <c r="B26" s="649"/>
      <c r="C26" s="283" t="s">
        <v>340</v>
      </c>
      <c r="D26" s="283">
        <v>0.2</v>
      </c>
      <c r="E26" s="283">
        <v>0.65</v>
      </c>
      <c r="F26" s="640"/>
      <c r="G26" s="643"/>
      <c r="H26" s="828"/>
    </row>
    <row r="27" spans="1:9" x14ac:dyDescent="0.25">
      <c r="A27" s="444" t="s">
        <v>346</v>
      </c>
      <c r="B27" s="278"/>
      <c r="C27" s="279"/>
      <c r="D27" s="279"/>
      <c r="E27" s="280"/>
      <c r="F27" s="279"/>
      <c r="G27" s="279"/>
      <c r="H27" s="281"/>
    </row>
    <row r="28" spans="1:9" ht="12.6" customHeight="1" x14ac:dyDescent="0.25">
      <c r="A28" s="444" t="s">
        <v>347</v>
      </c>
      <c r="B28" s="93"/>
      <c r="C28" s="93"/>
      <c r="D28" s="241"/>
      <c r="E28" s="93"/>
      <c r="F28" s="242"/>
      <c r="G28" s="242"/>
      <c r="H28" s="282"/>
    </row>
    <row r="29" spans="1:9" ht="25.2" customHeight="1" x14ac:dyDescent="0.25">
      <c r="A29" s="653" t="s">
        <v>314</v>
      </c>
      <c r="B29" s="652" t="s">
        <v>348</v>
      </c>
      <c r="C29" s="438" t="s">
        <v>650</v>
      </c>
      <c r="D29" s="817" t="s">
        <v>647</v>
      </c>
      <c r="E29" s="585">
        <v>0.65</v>
      </c>
      <c r="F29" s="818" t="s">
        <v>648</v>
      </c>
      <c r="G29" s="439" t="s">
        <v>349</v>
      </c>
      <c r="H29" s="831" t="s">
        <v>649</v>
      </c>
    </row>
    <row r="30" spans="1:9" ht="33" customHeight="1" x14ac:dyDescent="0.25">
      <c r="A30" s="654"/>
      <c r="B30" s="648"/>
      <c r="C30" s="440" t="s">
        <v>350</v>
      </c>
      <c r="D30" s="817" t="s">
        <v>647</v>
      </c>
      <c r="E30" s="585"/>
      <c r="F30" s="819"/>
      <c r="G30" s="441">
        <v>0.67600000000000005</v>
      </c>
      <c r="H30" s="832"/>
    </row>
    <row r="31" spans="1:9" ht="33" customHeight="1" x14ac:dyDescent="0.25">
      <c r="A31" s="654"/>
      <c r="B31" s="648"/>
      <c r="C31" s="829" t="s">
        <v>340</v>
      </c>
      <c r="D31" s="817" t="s">
        <v>651</v>
      </c>
      <c r="E31" s="585"/>
      <c r="F31" s="820"/>
      <c r="G31" s="830" t="s">
        <v>654</v>
      </c>
      <c r="H31" s="833"/>
    </row>
    <row r="32" spans="1:9" ht="17.399999999999999" customHeight="1" x14ac:dyDescent="0.25">
      <c r="A32" s="822"/>
      <c r="B32" s="822"/>
      <c r="C32" s="822"/>
      <c r="D32" s="823"/>
      <c r="E32" s="824"/>
      <c r="F32" s="825"/>
      <c r="G32" s="822"/>
      <c r="H32" s="826"/>
    </row>
    <row r="33" spans="1:8" ht="37.799999999999997" customHeight="1" x14ac:dyDescent="0.25">
      <c r="A33" s="587" t="s">
        <v>653</v>
      </c>
      <c r="B33" s="587"/>
      <c r="C33" s="587"/>
      <c r="D33" s="587"/>
      <c r="E33" s="587"/>
      <c r="F33" s="587"/>
      <c r="G33" s="587"/>
      <c r="H33" s="587"/>
    </row>
    <row r="34" spans="1:8" ht="40.799999999999997" customHeight="1" x14ac:dyDescent="0.25">
      <c r="A34" s="821" t="s">
        <v>652</v>
      </c>
      <c r="B34" s="821"/>
      <c r="C34" s="821"/>
      <c r="D34" s="821"/>
      <c r="E34" s="821"/>
      <c r="F34" s="821"/>
      <c r="G34" s="821"/>
      <c r="H34" s="821"/>
    </row>
    <row r="35" spans="1:8" x14ac:dyDescent="0.25">
      <c r="A35" s="169"/>
    </row>
    <row r="36" spans="1:8" ht="13.95" customHeight="1" x14ac:dyDescent="0.25">
      <c r="A36" s="521"/>
      <c r="B36" s="7"/>
      <c r="E36" s="35"/>
    </row>
    <row r="37" spans="1:8" ht="13.95" customHeight="1" x14ac:dyDescent="0.25">
      <c r="A37" s="7"/>
      <c r="B37" s="7"/>
      <c r="E37" s="35"/>
    </row>
  </sheetData>
  <mergeCells count="24">
    <mergeCell ref="H29:H31"/>
    <mergeCell ref="A34:H34"/>
    <mergeCell ref="A33:H33"/>
    <mergeCell ref="F29:F31"/>
    <mergeCell ref="E29:E31"/>
    <mergeCell ref="B29:B31"/>
    <mergeCell ref="A29:A31"/>
    <mergeCell ref="F24:F26"/>
    <mergeCell ref="G24:G26"/>
    <mergeCell ref="A24:A26"/>
    <mergeCell ref="B24:B26"/>
    <mergeCell ref="A22:H22"/>
    <mergeCell ref="H24:H26"/>
    <mergeCell ref="B14:B16"/>
    <mergeCell ref="A3:A5"/>
    <mergeCell ref="A6:A8"/>
    <mergeCell ref="F14:F16"/>
    <mergeCell ref="C14:C16"/>
    <mergeCell ref="A1:G1"/>
    <mergeCell ref="G6:G8"/>
    <mergeCell ref="G3:G5"/>
    <mergeCell ref="A12:G12"/>
    <mergeCell ref="D14:D16"/>
    <mergeCell ref="G14:G16"/>
  </mergeCells>
  <phoneticPr fontId="5" type="noConversion"/>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CF2B8-D81A-4739-B3FD-7DE124AB8529}">
  <sheetPr codeName="Sheet7"/>
  <dimension ref="A1:S13"/>
  <sheetViews>
    <sheetView workbookViewId="0">
      <selection sqref="A1:S1"/>
    </sheetView>
  </sheetViews>
  <sheetFormatPr defaultRowHeight="14.4" x14ac:dyDescent="0.3"/>
  <cols>
    <col min="1" max="1" width="21.33203125" customWidth="1"/>
    <col min="2" max="2" width="26.109375" customWidth="1"/>
    <col min="19" max="19" width="24.6640625" customWidth="1"/>
  </cols>
  <sheetData>
    <row r="1" spans="1:19" ht="24" customHeight="1" x14ac:dyDescent="0.3">
      <c r="A1" s="567" t="str">
        <f>"Thermostat Setpoints - "&amp;Prototype!A2</f>
        <v>Thermostat Setpoints - Warehouse</v>
      </c>
      <c r="B1" s="567"/>
      <c r="C1" s="567"/>
      <c r="D1" s="567"/>
      <c r="E1" s="567"/>
      <c r="F1" s="567"/>
      <c r="G1" s="567"/>
      <c r="H1" s="567"/>
      <c r="I1" s="567"/>
      <c r="J1" s="567"/>
      <c r="K1" s="567"/>
      <c r="L1" s="567"/>
      <c r="M1" s="567"/>
      <c r="N1" s="567"/>
      <c r="O1" s="567"/>
      <c r="P1" s="567"/>
      <c r="Q1" s="567"/>
      <c r="R1" s="567"/>
      <c r="S1" s="567"/>
    </row>
    <row r="2" spans="1:19" ht="27.6" customHeight="1" thickBot="1" x14ac:dyDescent="0.35">
      <c r="A2" s="67" t="s">
        <v>162</v>
      </c>
      <c r="B2" s="67" t="s">
        <v>351</v>
      </c>
      <c r="C2" s="68" t="s">
        <v>194</v>
      </c>
      <c r="D2" s="68" t="s">
        <v>195</v>
      </c>
      <c r="E2" s="68" t="s">
        <v>196</v>
      </c>
      <c r="F2" s="68" t="s">
        <v>197</v>
      </c>
      <c r="G2" s="68" t="s">
        <v>198</v>
      </c>
      <c r="H2" s="68" t="s">
        <v>199</v>
      </c>
      <c r="I2" s="68" t="s">
        <v>200</v>
      </c>
      <c r="J2" s="68" t="s">
        <v>201</v>
      </c>
      <c r="K2" s="68" t="s">
        <v>202</v>
      </c>
      <c r="L2" s="68" t="s">
        <v>203</v>
      </c>
      <c r="M2" s="68" t="s">
        <v>204</v>
      </c>
      <c r="N2" s="68" t="s">
        <v>205</v>
      </c>
      <c r="O2" s="68" t="s">
        <v>206</v>
      </c>
      <c r="P2" s="68" t="s">
        <v>207</v>
      </c>
      <c r="Q2" s="68" t="s">
        <v>208</v>
      </c>
      <c r="R2" s="68" t="s">
        <v>209</v>
      </c>
      <c r="S2" s="150" t="s">
        <v>248</v>
      </c>
    </row>
    <row r="3" spans="1:19" ht="20.399999999999999" customHeight="1" x14ac:dyDescent="0.3">
      <c r="A3" s="655" t="str">
        <f>Zones!B3</f>
        <v>Office</v>
      </c>
      <c r="B3" s="102" t="s">
        <v>352</v>
      </c>
      <c r="C3" s="141">
        <v>70</v>
      </c>
      <c r="D3" s="141">
        <v>70</v>
      </c>
      <c r="E3" s="141">
        <v>70</v>
      </c>
      <c r="F3" s="141">
        <v>70</v>
      </c>
      <c r="G3" s="141">
        <v>70</v>
      </c>
      <c r="H3" s="141">
        <v>70</v>
      </c>
      <c r="I3" s="141">
        <v>70</v>
      </c>
      <c r="J3" s="141">
        <v>70</v>
      </c>
      <c r="K3" s="141">
        <v>70</v>
      </c>
      <c r="L3" s="141">
        <v>70</v>
      </c>
      <c r="M3" s="141">
        <v>70</v>
      </c>
      <c r="N3" s="141">
        <v>70</v>
      </c>
      <c r="O3" s="141">
        <v>70</v>
      </c>
      <c r="P3" s="141">
        <v>70</v>
      </c>
      <c r="Q3" s="141">
        <v>70</v>
      </c>
      <c r="R3" s="142">
        <v>70</v>
      </c>
      <c r="S3" s="658" t="s">
        <v>353</v>
      </c>
    </row>
    <row r="4" spans="1:19" ht="20.399999999999999" customHeight="1" x14ac:dyDescent="0.3">
      <c r="A4" s="656"/>
      <c r="B4" s="520" t="s">
        <v>354</v>
      </c>
      <c r="C4" s="537">
        <v>60</v>
      </c>
      <c r="D4" s="537">
        <v>60</v>
      </c>
      <c r="E4" s="537">
        <v>60</v>
      </c>
      <c r="F4" s="537">
        <v>60</v>
      </c>
      <c r="G4" s="537">
        <v>60</v>
      </c>
      <c r="H4" s="537">
        <v>60</v>
      </c>
      <c r="I4" s="537">
        <v>60</v>
      </c>
      <c r="J4" s="537">
        <v>60</v>
      </c>
      <c r="K4" s="537">
        <v>60</v>
      </c>
      <c r="L4" s="537">
        <v>60</v>
      </c>
      <c r="M4" s="537">
        <v>60</v>
      </c>
      <c r="N4" s="537">
        <v>60</v>
      </c>
      <c r="O4" s="537">
        <v>60</v>
      </c>
      <c r="P4" s="537">
        <v>60</v>
      </c>
      <c r="Q4" s="537">
        <v>60</v>
      </c>
      <c r="R4" s="143">
        <v>60</v>
      </c>
      <c r="S4" s="659"/>
    </row>
    <row r="5" spans="1:19" ht="20.399999999999999" customHeight="1" x14ac:dyDescent="0.3">
      <c r="A5" s="656"/>
      <c r="B5" s="520" t="s">
        <v>355</v>
      </c>
      <c r="C5" s="537">
        <v>75</v>
      </c>
      <c r="D5" s="537">
        <v>75</v>
      </c>
      <c r="E5" s="537">
        <v>75</v>
      </c>
      <c r="F5" s="537">
        <v>75</v>
      </c>
      <c r="G5" s="537">
        <v>75</v>
      </c>
      <c r="H5" s="537">
        <v>75</v>
      </c>
      <c r="I5" s="537">
        <v>75</v>
      </c>
      <c r="J5" s="537">
        <v>75</v>
      </c>
      <c r="K5" s="537">
        <v>75</v>
      </c>
      <c r="L5" s="537">
        <v>75</v>
      </c>
      <c r="M5" s="537">
        <v>75</v>
      </c>
      <c r="N5" s="537">
        <v>75</v>
      </c>
      <c r="O5" s="537">
        <v>75</v>
      </c>
      <c r="P5" s="537">
        <v>75</v>
      </c>
      <c r="Q5" s="537">
        <v>75</v>
      </c>
      <c r="R5" s="143">
        <v>75</v>
      </c>
      <c r="S5" s="659"/>
    </row>
    <row r="6" spans="1:19" ht="20.399999999999999" customHeight="1" thickBot="1" x14ac:dyDescent="0.35">
      <c r="A6" s="657"/>
      <c r="B6" s="104" t="s">
        <v>356</v>
      </c>
      <c r="C6" s="144">
        <v>85</v>
      </c>
      <c r="D6" s="144">
        <v>85</v>
      </c>
      <c r="E6" s="144">
        <v>85</v>
      </c>
      <c r="F6" s="144">
        <v>85</v>
      </c>
      <c r="G6" s="144">
        <v>85</v>
      </c>
      <c r="H6" s="144">
        <v>85</v>
      </c>
      <c r="I6" s="144">
        <v>85</v>
      </c>
      <c r="J6" s="144">
        <v>85</v>
      </c>
      <c r="K6" s="144">
        <v>85</v>
      </c>
      <c r="L6" s="144">
        <v>85</v>
      </c>
      <c r="M6" s="144">
        <v>85</v>
      </c>
      <c r="N6" s="144">
        <v>85</v>
      </c>
      <c r="O6" s="144">
        <v>85</v>
      </c>
      <c r="P6" s="144">
        <v>85</v>
      </c>
      <c r="Q6" s="144">
        <v>85</v>
      </c>
      <c r="R6" s="145">
        <v>85</v>
      </c>
      <c r="S6" s="660"/>
    </row>
    <row r="7" spans="1:19" ht="20.399999999999999" customHeight="1" x14ac:dyDescent="0.3">
      <c r="A7" s="655" t="str">
        <f>Zones!B4</f>
        <v>FineStorage</v>
      </c>
      <c r="B7" s="102" t="s">
        <v>352</v>
      </c>
      <c r="C7" s="102">
        <v>70</v>
      </c>
      <c r="D7" s="102">
        <v>70</v>
      </c>
      <c r="E7" s="102">
        <v>70</v>
      </c>
      <c r="F7" s="102">
        <v>70</v>
      </c>
      <c r="G7" s="102">
        <v>70</v>
      </c>
      <c r="H7" s="102">
        <v>70</v>
      </c>
      <c r="I7" s="102">
        <v>70</v>
      </c>
      <c r="J7" s="102">
        <v>70</v>
      </c>
      <c r="K7" s="102">
        <v>70</v>
      </c>
      <c r="L7" s="102">
        <v>70</v>
      </c>
      <c r="M7" s="102">
        <v>70</v>
      </c>
      <c r="N7" s="102">
        <v>70</v>
      </c>
      <c r="O7" s="102">
        <v>70</v>
      </c>
      <c r="P7" s="102">
        <v>70</v>
      </c>
      <c r="Q7" s="102">
        <v>70</v>
      </c>
      <c r="R7" s="103">
        <v>70</v>
      </c>
      <c r="S7" s="658" t="s">
        <v>353</v>
      </c>
    </row>
    <row r="8" spans="1:19" ht="20.399999999999999" customHeight="1" x14ac:dyDescent="0.3">
      <c r="A8" s="656"/>
      <c r="B8" s="520" t="s">
        <v>354</v>
      </c>
      <c r="C8" s="520">
        <v>60</v>
      </c>
      <c r="D8" s="520">
        <v>60</v>
      </c>
      <c r="E8" s="520">
        <v>60</v>
      </c>
      <c r="F8" s="520">
        <v>60</v>
      </c>
      <c r="G8" s="520">
        <v>60</v>
      </c>
      <c r="H8" s="520">
        <v>60</v>
      </c>
      <c r="I8" s="520">
        <v>60</v>
      </c>
      <c r="J8" s="520">
        <v>60</v>
      </c>
      <c r="K8" s="520">
        <v>60</v>
      </c>
      <c r="L8" s="520">
        <v>60</v>
      </c>
      <c r="M8" s="520">
        <v>60</v>
      </c>
      <c r="N8" s="520">
        <v>60</v>
      </c>
      <c r="O8" s="520">
        <v>60</v>
      </c>
      <c r="P8" s="520">
        <v>60</v>
      </c>
      <c r="Q8" s="520">
        <v>60</v>
      </c>
      <c r="R8" s="140">
        <v>60</v>
      </c>
      <c r="S8" s="659"/>
    </row>
    <row r="9" spans="1:19" ht="20.399999999999999" customHeight="1" x14ac:dyDescent="0.3">
      <c r="A9" s="656"/>
      <c r="B9" s="520" t="s">
        <v>355</v>
      </c>
      <c r="C9" s="520">
        <v>75</v>
      </c>
      <c r="D9" s="520">
        <v>75</v>
      </c>
      <c r="E9" s="520">
        <v>75</v>
      </c>
      <c r="F9" s="520">
        <v>75</v>
      </c>
      <c r="G9" s="520">
        <v>75</v>
      </c>
      <c r="H9" s="520">
        <v>75</v>
      </c>
      <c r="I9" s="520">
        <v>75</v>
      </c>
      <c r="J9" s="520">
        <v>75</v>
      </c>
      <c r="K9" s="520">
        <v>75</v>
      </c>
      <c r="L9" s="520">
        <v>75</v>
      </c>
      <c r="M9" s="520">
        <v>75</v>
      </c>
      <c r="N9" s="520">
        <v>75</v>
      </c>
      <c r="O9" s="520">
        <v>75</v>
      </c>
      <c r="P9" s="520">
        <v>75</v>
      </c>
      <c r="Q9" s="520">
        <v>75</v>
      </c>
      <c r="R9" s="140">
        <v>75</v>
      </c>
      <c r="S9" s="659"/>
    </row>
    <row r="10" spans="1:19" ht="20.399999999999999" customHeight="1" thickBot="1" x14ac:dyDescent="0.35">
      <c r="A10" s="657"/>
      <c r="B10" s="104" t="s">
        <v>356</v>
      </c>
      <c r="C10" s="104">
        <v>85</v>
      </c>
      <c r="D10" s="104">
        <v>85</v>
      </c>
      <c r="E10" s="104">
        <v>85</v>
      </c>
      <c r="F10" s="104">
        <v>85</v>
      </c>
      <c r="G10" s="104">
        <v>85</v>
      </c>
      <c r="H10" s="104">
        <v>85</v>
      </c>
      <c r="I10" s="104">
        <v>85</v>
      </c>
      <c r="J10" s="104">
        <v>85</v>
      </c>
      <c r="K10" s="104">
        <v>85</v>
      </c>
      <c r="L10" s="104">
        <v>85</v>
      </c>
      <c r="M10" s="104">
        <v>85</v>
      </c>
      <c r="N10" s="104">
        <v>85</v>
      </c>
      <c r="O10" s="104">
        <v>85</v>
      </c>
      <c r="P10" s="104">
        <v>85</v>
      </c>
      <c r="Q10" s="104">
        <v>85</v>
      </c>
      <c r="R10" s="105">
        <v>85</v>
      </c>
      <c r="S10" s="660"/>
    </row>
    <row r="11" spans="1:19" ht="30" customHeight="1" thickBot="1" x14ac:dyDescent="0.35">
      <c r="A11" s="146" t="str">
        <f>Zones!B5</f>
        <v>BulkStorage</v>
      </c>
      <c r="B11" s="147" t="s">
        <v>357</v>
      </c>
      <c r="C11" s="148">
        <v>50</v>
      </c>
      <c r="D11" s="148">
        <v>50</v>
      </c>
      <c r="E11" s="148">
        <v>50</v>
      </c>
      <c r="F11" s="148">
        <v>50</v>
      </c>
      <c r="G11" s="148">
        <v>50</v>
      </c>
      <c r="H11" s="148">
        <v>50</v>
      </c>
      <c r="I11" s="148">
        <v>50</v>
      </c>
      <c r="J11" s="148">
        <v>50</v>
      </c>
      <c r="K11" s="148">
        <v>50</v>
      </c>
      <c r="L11" s="148">
        <v>50</v>
      </c>
      <c r="M11" s="148">
        <v>50</v>
      </c>
      <c r="N11" s="148">
        <v>50</v>
      </c>
      <c r="O11" s="148">
        <v>50</v>
      </c>
      <c r="P11" s="148">
        <v>50</v>
      </c>
      <c r="Q11" s="148">
        <v>50</v>
      </c>
      <c r="R11" s="149">
        <v>50</v>
      </c>
      <c r="S11" s="151" t="s">
        <v>358</v>
      </c>
    </row>
    <row r="13" spans="1:19" x14ac:dyDescent="0.3">
      <c r="A13" t="s">
        <v>359</v>
      </c>
    </row>
  </sheetData>
  <mergeCells count="5">
    <mergeCell ref="A3:A6"/>
    <mergeCell ref="A7:A10"/>
    <mergeCell ref="A1:S1"/>
    <mergeCell ref="S3:S6"/>
    <mergeCell ref="S7:S1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730C9-5C61-418E-9D38-D82374F9BCB6}">
  <sheetPr codeName="Sheet15"/>
  <dimension ref="A1:AA8"/>
  <sheetViews>
    <sheetView zoomScale="91" zoomScaleNormal="85" workbookViewId="0">
      <selection sqref="A1:K1"/>
    </sheetView>
  </sheetViews>
  <sheetFormatPr defaultColWidth="9.33203125" defaultRowHeight="13.8" x14ac:dyDescent="0.25"/>
  <cols>
    <col min="1" max="1" width="23.109375" style="54" customWidth="1"/>
    <col min="2" max="2" width="15.33203125" style="54" customWidth="1"/>
    <col min="3" max="3" width="13.33203125" style="54" customWidth="1"/>
    <col min="4" max="4" width="29.5546875" style="54" customWidth="1"/>
    <col min="5" max="5" width="27.33203125" style="54" customWidth="1"/>
    <col min="6" max="6" width="31.109375" style="54" customWidth="1"/>
    <col min="7" max="7" width="16" style="54" customWidth="1"/>
    <col min="8" max="8" width="15.33203125" style="54" customWidth="1"/>
    <col min="9" max="9" width="16.88671875" style="54" customWidth="1"/>
    <col min="10" max="10" width="13.6640625" style="54" customWidth="1"/>
    <col min="11" max="11" width="32.6640625" style="54" customWidth="1"/>
    <col min="12" max="12" width="13.6640625" style="54" customWidth="1"/>
    <col min="13" max="13" width="11.6640625" style="54" customWidth="1"/>
    <col min="14" max="14" width="13.6640625" style="54" customWidth="1"/>
    <col min="15" max="15" width="12.33203125" style="54" customWidth="1"/>
    <col min="16" max="16" width="13.6640625" style="54" customWidth="1"/>
    <col min="17" max="17" width="12.33203125" style="54" customWidth="1"/>
    <col min="18" max="18" width="13.6640625" style="54" customWidth="1"/>
    <col min="19" max="19" width="11.6640625" style="54" customWidth="1"/>
    <col min="20" max="21" width="10.6640625" style="54" customWidth="1"/>
    <col min="22" max="22" width="9.33203125" style="54"/>
    <col min="23" max="27" width="11.33203125" style="54" customWidth="1"/>
    <col min="28" max="16384" width="9.33203125" style="54"/>
  </cols>
  <sheetData>
    <row r="1" spans="1:27" ht="24.6" customHeight="1" x14ac:dyDescent="0.25">
      <c r="A1" s="567" t="str">
        <f>"Outdoor Airflow Rate - "&amp;Prototype!A2</f>
        <v>Outdoor Airflow Rate - Warehouse</v>
      </c>
      <c r="B1" s="567"/>
      <c r="C1" s="567"/>
      <c r="D1" s="567"/>
      <c r="E1" s="567"/>
      <c r="F1" s="567"/>
      <c r="G1" s="567"/>
      <c r="H1" s="567"/>
      <c r="I1" s="567"/>
      <c r="J1" s="567"/>
      <c r="K1" s="567"/>
      <c r="L1" s="2"/>
      <c r="M1" s="2"/>
      <c r="N1" s="2"/>
      <c r="O1" s="2"/>
      <c r="P1" s="2"/>
      <c r="Q1" s="2"/>
      <c r="R1" s="2"/>
      <c r="S1" s="2"/>
      <c r="T1" s="2"/>
      <c r="U1" s="2"/>
      <c r="V1" s="2"/>
      <c r="W1" s="2"/>
      <c r="X1" s="2"/>
      <c r="Y1" s="2"/>
      <c r="Z1" s="2"/>
      <c r="AA1" s="2"/>
    </row>
    <row r="2" spans="1:27" ht="43.2" customHeight="1" x14ac:dyDescent="0.25">
      <c r="A2" s="243" t="s">
        <v>162</v>
      </c>
      <c r="B2" s="262" t="s">
        <v>171</v>
      </c>
      <c r="C2" s="262" t="s">
        <v>360</v>
      </c>
      <c r="D2" s="255" t="s">
        <v>361</v>
      </c>
      <c r="E2" s="255" t="s">
        <v>362</v>
      </c>
      <c r="F2" s="255" t="s">
        <v>363</v>
      </c>
      <c r="G2" s="255" t="s">
        <v>364</v>
      </c>
      <c r="H2" s="255" t="s">
        <v>365</v>
      </c>
      <c r="I2" s="255" t="s">
        <v>366</v>
      </c>
      <c r="J2" s="243" t="s">
        <v>367</v>
      </c>
      <c r="K2" s="243" t="s">
        <v>48</v>
      </c>
      <c r="L2" s="2"/>
      <c r="M2" s="2"/>
      <c r="N2" s="2"/>
      <c r="O2" s="2"/>
      <c r="P2" s="2"/>
      <c r="Q2" s="2"/>
      <c r="R2" s="2"/>
      <c r="S2" s="2"/>
      <c r="T2" s="2"/>
      <c r="U2" s="2"/>
      <c r="V2" s="2"/>
      <c r="W2" s="2"/>
      <c r="X2" s="2"/>
      <c r="Y2" s="2"/>
      <c r="Z2" s="2"/>
      <c r="AA2" s="2"/>
    </row>
    <row r="3" spans="1:27" ht="28.95" customHeight="1" x14ac:dyDescent="0.25">
      <c r="A3" s="263" t="str">
        <f>Zones!B3</f>
        <v>Office</v>
      </c>
      <c r="B3" s="254">
        <f>Zones!K3</f>
        <v>12.748749999999999</v>
      </c>
      <c r="C3" s="254">
        <f>Zones!H3</f>
        <v>2549.75</v>
      </c>
      <c r="D3" s="254">
        <v>15</v>
      </c>
      <c r="E3" s="516">
        <v>0.15</v>
      </c>
      <c r="F3" s="264" t="s">
        <v>112</v>
      </c>
      <c r="G3" s="257">
        <f t="shared" ref="G3:H4" si="0">B3*D3</f>
        <v>191.23124999999999</v>
      </c>
      <c r="H3" s="257">
        <f>C3*E3</f>
        <v>382.46249999999998</v>
      </c>
      <c r="I3" s="265" t="str">
        <f>F3</f>
        <v>-</v>
      </c>
      <c r="J3" s="257">
        <f>MAX(G3:I3)</f>
        <v>382.46249999999998</v>
      </c>
      <c r="K3" s="285"/>
      <c r="L3" s="2"/>
      <c r="M3" s="2"/>
      <c r="N3" s="2"/>
      <c r="O3" s="2"/>
      <c r="P3" s="2"/>
      <c r="Q3" s="2"/>
      <c r="R3" s="2"/>
      <c r="S3" s="2"/>
      <c r="T3" s="2"/>
      <c r="U3" s="2"/>
      <c r="V3" s="2"/>
      <c r="W3" s="2"/>
      <c r="X3" s="2"/>
      <c r="Y3" s="2"/>
      <c r="Z3" s="2"/>
      <c r="AA3" s="2"/>
    </row>
    <row r="4" spans="1:27" ht="28.95" customHeight="1" x14ac:dyDescent="0.25">
      <c r="A4" s="263" t="str">
        <f>Zones!B4</f>
        <v>FineStorage</v>
      </c>
      <c r="B4" s="254">
        <f>Zones!K4</f>
        <v>14.99855</v>
      </c>
      <c r="C4" s="254">
        <f>Zones!H4</f>
        <v>14998.55</v>
      </c>
      <c r="D4" s="254">
        <v>15</v>
      </c>
      <c r="E4" s="516">
        <v>0.15</v>
      </c>
      <c r="F4" s="264" t="s">
        <v>112</v>
      </c>
      <c r="G4" s="257">
        <f t="shared" si="0"/>
        <v>224.97825</v>
      </c>
      <c r="H4" s="257">
        <f t="shared" si="0"/>
        <v>2249.7824999999998</v>
      </c>
      <c r="I4" s="265" t="str">
        <f t="shared" ref="I4:I5" si="1">F4</f>
        <v>-</v>
      </c>
      <c r="J4" s="257">
        <f>MAX(G4:I4)</f>
        <v>2249.7824999999998</v>
      </c>
      <c r="K4" s="285"/>
      <c r="L4" s="2"/>
      <c r="M4" s="2"/>
      <c r="N4" s="2"/>
      <c r="O4" s="2"/>
      <c r="P4" s="2"/>
      <c r="Q4" s="2"/>
      <c r="R4" s="2"/>
      <c r="S4" s="2"/>
      <c r="T4" s="2"/>
      <c r="U4" s="2"/>
      <c r="V4" s="2"/>
      <c r="W4" s="2"/>
      <c r="X4" s="2"/>
      <c r="Y4" s="2"/>
      <c r="Z4" s="2"/>
      <c r="AA4" s="2"/>
    </row>
    <row r="5" spans="1:27" ht="36.75" customHeight="1" x14ac:dyDescent="0.25">
      <c r="A5" s="263" t="str">
        <f>Zones!B5</f>
        <v>BulkStorage</v>
      </c>
      <c r="B5" s="254">
        <f>Zones!K5</f>
        <v>34.496730000000007</v>
      </c>
      <c r="C5" s="254">
        <f>Zones!H5</f>
        <v>34496.730000000003</v>
      </c>
      <c r="D5" s="254">
        <v>15</v>
      </c>
      <c r="E5" s="516">
        <v>0.15</v>
      </c>
      <c r="F5" s="264" t="s">
        <v>112</v>
      </c>
      <c r="G5" s="257">
        <f t="shared" ref="G5" si="2">B5*D5</f>
        <v>517.45095000000015</v>
      </c>
      <c r="H5" s="257">
        <f t="shared" ref="H5" si="3">C5*E5</f>
        <v>5174.5095000000001</v>
      </c>
      <c r="I5" s="265" t="str">
        <f t="shared" si="1"/>
        <v>-</v>
      </c>
      <c r="J5" s="257">
        <f t="shared" ref="J5" si="4">MAX(G5:I5)</f>
        <v>5174.5095000000001</v>
      </c>
      <c r="K5" s="244" t="s">
        <v>368</v>
      </c>
      <c r="L5" s="2"/>
      <c r="M5" s="2"/>
      <c r="N5" s="2"/>
      <c r="O5" s="2"/>
      <c r="P5" s="2"/>
      <c r="Q5" s="2"/>
      <c r="R5" s="2"/>
      <c r="S5" s="2"/>
      <c r="T5" s="2"/>
      <c r="U5" s="2"/>
      <c r="V5" s="2"/>
      <c r="W5" s="2"/>
      <c r="X5" s="2"/>
      <c r="Y5" s="2"/>
      <c r="Z5" s="2"/>
      <c r="AA5" s="2"/>
    </row>
    <row r="6" spans="1:27" ht="14.4" x14ac:dyDescent="0.3">
      <c r="A6" s="2"/>
      <c r="B6" s="2"/>
      <c r="C6" s="2"/>
      <c r="D6" s="2"/>
      <c r="E6" s="2"/>
      <c r="F6" s="2"/>
      <c r="G6"/>
      <c r="H6" s="2"/>
      <c r="I6" s="2"/>
      <c r="J6" s="2"/>
      <c r="K6" s="2"/>
      <c r="L6" s="2"/>
      <c r="M6" s="2"/>
      <c r="N6" s="2"/>
      <c r="O6" s="2"/>
      <c r="P6" s="2"/>
      <c r="Q6" s="2"/>
      <c r="R6" s="2"/>
      <c r="S6" s="2"/>
      <c r="T6" s="2"/>
      <c r="U6" s="2"/>
      <c r="V6" s="2"/>
      <c r="W6" s="2"/>
      <c r="X6" s="2"/>
      <c r="Y6" s="2"/>
      <c r="Z6" s="2"/>
      <c r="AA6" s="2"/>
    </row>
    <row r="7" spans="1:27" ht="14.4" x14ac:dyDescent="0.3">
      <c r="A7" s="106" t="s">
        <v>369</v>
      </c>
      <c r="B7" s="2"/>
      <c r="C7" s="2"/>
      <c r="D7" s="2"/>
      <c r="E7" s="2"/>
      <c r="F7" s="2"/>
      <c r="G7"/>
      <c r="H7" s="2"/>
      <c r="I7" s="2"/>
      <c r="J7" s="2"/>
      <c r="K7" s="2"/>
      <c r="L7" s="2"/>
      <c r="M7" s="2"/>
      <c r="N7" s="2"/>
      <c r="O7" s="2"/>
      <c r="P7" s="2"/>
      <c r="Q7" s="2"/>
      <c r="R7" s="2"/>
      <c r="S7" s="2"/>
      <c r="T7" s="2"/>
      <c r="U7" s="2"/>
      <c r="V7" s="2"/>
      <c r="W7" s="2"/>
      <c r="X7" s="2"/>
      <c r="Y7" s="2"/>
      <c r="Z7" s="2"/>
      <c r="AA7" s="2"/>
    </row>
    <row r="8" spans="1:27" ht="14.4" x14ac:dyDescent="0.3">
      <c r="A8" s="106"/>
      <c r="B8" s="2"/>
      <c r="C8" s="2"/>
      <c r="D8" s="2"/>
      <c r="E8" s="2"/>
      <c r="F8" s="2"/>
      <c r="G8"/>
      <c r="H8" s="397"/>
      <c r="I8" s="2"/>
      <c r="J8" s="2"/>
      <c r="K8" s="2"/>
      <c r="L8" s="2"/>
      <c r="M8" s="2"/>
      <c r="N8" s="2"/>
      <c r="O8" s="2"/>
      <c r="P8" s="2"/>
      <c r="Q8" s="2"/>
      <c r="R8" s="2"/>
      <c r="S8" s="2"/>
      <c r="T8" s="2"/>
      <c r="U8" s="2"/>
      <c r="V8" s="2"/>
      <c r="W8" s="2"/>
      <c r="X8" s="2"/>
      <c r="Y8" s="2"/>
      <c r="Z8" s="2"/>
      <c r="AA8" s="2"/>
    </row>
  </sheetData>
  <mergeCells count="1">
    <mergeCell ref="A1:K1"/>
  </mergeCells>
  <phoneticPr fontId="5"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477C96-416A-49FC-9821-E3EF41EE8041}">
  <dimension ref="A1:AL86"/>
  <sheetViews>
    <sheetView zoomScaleNormal="100" workbookViewId="0">
      <selection sqref="A1:G1"/>
    </sheetView>
  </sheetViews>
  <sheetFormatPr defaultColWidth="8.6640625" defaultRowHeight="13.2" x14ac:dyDescent="0.25"/>
  <cols>
    <col min="1" max="1" width="35.88671875" style="4" customWidth="1"/>
    <col min="2" max="2" width="29.6640625" style="4" customWidth="1"/>
    <col min="3" max="3" width="23.109375" style="4" customWidth="1"/>
    <col min="4" max="4" width="33" style="4" customWidth="1"/>
    <col min="5" max="5" width="32.44140625" style="4" customWidth="1"/>
    <col min="6" max="6" width="25.5546875" style="4" customWidth="1"/>
    <col min="7" max="7" width="23" style="4" customWidth="1"/>
    <col min="8" max="8" width="45.6640625" style="4" customWidth="1"/>
    <col min="9" max="10" width="23" style="4" customWidth="1"/>
    <col min="11" max="11" width="19" style="4" customWidth="1"/>
    <col min="12" max="12" width="8.6640625" style="4" customWidth="1"/>
    <col min="13" max="13" width="12.33203125" style="4" customWidth="1"/>
    <col min="14" max="14" width="13.33203125" style="4" customWidth="1"/>
    <col min="15" max="15" width="15.33203125" style="4" customWidth="1"/>
    <col min="16" max="16" width="11" style="4" customWidth="1"/>
    <col min="17" max="20" width="15.33203125" style="4" customWidth="1"/>
    <col min="21" max="21" width="7.6640625" style="4" hidden="1" customWidth="1"/>
    <col min="22" max="22" width="12.44140625" style="4" hidden="1" customWidth="1"/>
    <col min="23" max="38" width="6.5546875" style="4" hidden="1" customWidth="1"/>
    <col min="39" max="39" width="15.33203125" style="4" customWidth="1"/>
    <col min="40" max="40" width="11.33203125" style="4" customWidth="1"/>
    <col min="41" max="41" width="6.33203125" style="4" customWidth="1"/>
    <col min="42" max="45" width="4.6640625" style="4" customWidth="1"/>
    <col min="46" max="46" width="6.33203125" style="4" customWidth="1"/>
    <col min="47" max="61" width="4.6640625" style="4" customWidth="1"/>
    <col min="62" max="16384" width="8.6640625" style="4"/>
  </cols>
  <sheetData>
    <row r="1" spans="1:10" ht="24" customHeight="1" x14ac:dyDescent="0.25">
      <c r="A1" s="662" t="str">
        <f>"Water Heater - "&amp;Prototype!A2</f>
        <v>Water Heater - Warehouse</v>
      </c>
      <c r="B1" s="619"/>
      <c r="C1" s="619"/>
      <c r="D1" s="619"/>
      <c r="E1" s="619"/>
      <c r="F1" s="619"/>
      <c r="G1" s="619"/>
    </row>
    <row r="2" spans="1:10" ht="22.35" customHeight="1" x14ac:dyDescent="0.25">
      <c r="A2" s="374" t="s">
        <v>191</v>
      </c>
      <c r="B2" s="374" t="s">
        <v>370</v>
      </c>
      <c r="C2" s="374" t="s">
        <v>371</v>
      </c>
      <c r="D2" s="482" t="s">
        <v>372</v>
      </c>
      <c r="E2" s="402" t="s">
        <v>373</v>
      </c>
      <c r="F2" s="402" t="s">
        <v>374</v>
      </c>
      <c r="G2" s="402" t="s">
        <v>248</v>
      </c>
      <c r="H2" s="403"/>
    </row>
    <row r="3" spans="1:10" ht="61.5" customHeight="1" x14ac:dyDescent="0.25">
      <c r="A3" s="15" t="s">
        <v>304</v>
      </c>
      <c r="B3" s="15" t="s">
        <v>375</v>
      </c>
      <c r="C3" s="404">
        <v>1</v>
      </c>
      <c r="D3" s="483">
        <v>1</v>
      </c>
      <c r="E3" s="509" t="s">
        <v>376</v>
      </c>
      <c r="F3" s="509" t="s">
        <v>377</v>
      </c>
      <c r="G3" s="509" t="s">
        <v>378</v>
      </c>
      <c r="H3" s="422"/>
    </row>
    <row r="4" spans="1:10" ht="63.75" customHeight="1" x14ac:dyDescent="0.25">
      <c r="A4" s="15" t="s">
        <v>314</v>
      </c>
      <c r="B4" s="15" t="s">
        <v>375</v>
      </c>
      <c r="C4" s="404">
        <v>1</v>
      </c>
      <c r="D4" s="483">
        <v>1</v>
      </c>
      <c r="E4" s="509" t="s">
        <v>376</v>
      </c>
      <c r="F4" s="509" t="s">
        <v>379</v>
      </c>
      <c r="G4" s="509" t="s">
        <v>378</v>
      </c>
      <c r="H4" s="423"/>
    </row>
    <row r="5" spans="1:10" ht="14.7" customHeight="1" x14ac:dyDescent="0.25">
      <c r="A5" s="6"/>
      <c r="B5" s="6"/>
      <c r="C5" s="6"/>
      <c r="D5" s="6"/>
      <c r="E5" s="6"/>
    </row>
    <row r="6" spans="1:10" ht="14.7" customHeight="1" x14ac:dyDescent="0.25"/>
    <row r="7" spans="1:10" ht="22.5" customHeight="1" x14ac:dyDescent="0.25">
      <c r="A7" s="567" t="s">
        <v>380</v>
      </c>
      <c r="B7" s="567"/>
      <c r="C7" s="567"/>
      <c r="D7" s="567"/>
      <c r="E7" s="567"/>
      <c r="F7" s="567"/>
      <c r="G7" s="567"/>
      <c r="H7" s="567"/>
    </row>
    <row r="8" spans="1:10" ht="65.400000000000006" customHeight="1" x14ac:dyDescent="0.25">
      <c r="A8" s="400" t="s">
        <v>381</v>
      </c>
      <c r="B8" s="400" t="s">
        <v>382</v>
      </c>
      <c r="C8" s="400" t="s">
        <v>383</v>
      </c>
      <c r="D8" s="400" t="s">
        <v>171</v>
      </c>
      <c r="E8" s="400" t="s">
        <v>384</v>
      </c>
      <c r="F8" s="400" t="s">
        <v>385</v>
      </c>
      <c r="G8" s="400" t="s">
        <v>386</v>
      </c>
      <c r="H8" s="67" t="s">
        <v>193</v>
      </c>
    </row>
    <row r="9" spans="1:10" ht="29.25" customHeight="1" x14ac:dyDescent="0.25">
      <c r="A9" s="257" t="str">
        <f>Zones!B3</f>
        <v>Office</v>
      </c>
      <c r="B9" s="272" t="s">
        <v>387</v>
      </c>
      <c r="C9" s="258">
        <f>Zones!H3</f>
        <v>2549.75</v>
      </c>
      <c r="D9" s="254">
        <f>Zones!K3</f>
        <v>12.748749999999999</v>
      </c>
      <c r="E9" s="259">
        <v>0.18</v>
      </c>
      <c r="F9" s="260">
        <f t="shared" ref="F9:F11" si="0">D9*E9</f>
        <v>2.294775</v>
      </c>
      <c r="G9" s="484">
        <f>F9/60</f>
        <v>3.8246250000000002E-2</v>
      </c>
      <c r="H9" s="671" t="s">
        <v>388</v>
      </c>
    </row>
    <row r="10" spans="1:10" ht="29.25" customHeight="1" x14ac:dyDescent="0.25">
      <c r="A10" s="257" t="str">
        <f>Zones!B4</f>
        <v>FineStorage</v>
      </c>
      <c r="B10" s="272" t="s">
        <v>387</v>
      </c>
      <c r="C10" s="258">
        <f>Zones!H4</f>
        <v>14998.55</v>
      </c>
      <c r="D10" s="254">
        <f>Zones!K4</f>
        <v>14.99855</v>
      </c>
      <c r="E10" s="259">
        <v>0.18</v>
      </c>
      <c r="F10" s="261">
        <f>D10*E10</f>
        <v>2.6997389999999997</v>
      </c>
      <c r="G10" s="484">
        <f t="shared" ref="G10:G11" si="1">F10/60</f>
        <v>4.4995649999999991E-2</v>
      </c>
      <c r="H10" s="672"/>
    </row>
    <row r="11" spans="1:10" ht="29.25" customHeight="1" x14ac:dyDescent="0.25">
      <c r="A11" s="257" t="str">
        <f>Zones!B5</f>
        <v>BulkStorage</v>
      </c>
      <c r="B11" s="272" t="s">
        <v>387</v>
      </c>
      <c r="C11" s="258">
        <f>Zones!H5</f>
        <v>34496.730000000003</v>
      </c>
      <c r="D11" s="254">
        <f>Zones!K5</f>
        <v>34.496730000000007</v>
      </c>
      <c r="E11" s="259">
        <v>0.18</v>
      </c>
      <c r="F11" s="261">
        <f t="shared" si="0"/>
        <v>6.2094114000000014</v>
      </c>
      <c r="G11" s="484">
        <f t="shared" si="1"/>
        <v>0.10349019000000002</v>
      </c>
      <c r="H11" s="673"/>
    </row>
    <row r="12" spans="1:10" ht="20.25" customHeight="1" x14ac:dyDescent="0.25">
      <c r="A12" s="405" t="s">
        <v>389</v>
      </c>
      <c r="B12" s="674" t="s">
        <v>390</v>
      </c>
      <c r="C12" s="675"/>
      <c r="D12" s="675"/>
      <c r="E12" s="676"/>
      <c r="F12" s="485">
        <f>_xlfn.LET(
  _xlpm.g,SUMIF($B$9:$B$11,"Gas*",$F$9:$F$11),
  _xlpm.e,SUMIF($B$9:$B$11,"Electric*",$F$9:$F$11),
  IF(AND(_xlpm.g&gt;0,_xlpm.e&gt;0),_xlpm.g,IF(_xlpm.g&gt;0,MAX(75,_xlpm.g),0)))</f>
        <v>0</v>
      </c>
      <c r="G12" s="405"/>
      <c r="H12" s="677" t="s">
        <v>391</v>
      </c>
    </row>
    <row r="13" spans="1:10" ht="19.5" customHeight="1" x14ac:dyDescent="0.25">
      <c r="A13" s="405" t="s">
        <v>392</v>
      </c>
      <c r="B13" s="674" t="s">
        <v>393</v>
      </c>
      <c r="C13" s="675"/>
      <c r="D13" s="675"/>
      <c r="E13" s="676"/>
      <c r="F13" s="485">
        <f>_xlfn.LET(
  _xlpm.g,SUMIF($B$9:$B$11,"Gas*",$F$9:$F$11),
  _xlpm.e,SUMIF($B$9:$B$11,"Electric*",$F$9:$F$11),
  IF(AND(_xlpm.g&gt;0,_xlpm.e&gt;0),_xlpm.e,IF(_xlpm.e&gt;0,MAX(75,_xlpm.e),0)))</f>
        <v>75</v>
      </c>
      <c r="G13" s="405"/>
      <c r="H13" s="678"/>
    </row>
    <row r="14" spans="1:10" s="406" customFormat="1" ht="14.4" x14ac:dyDescent="0.3">
      <c r="A14"/>
      <c r="B14"/>
      <c r="C14"/>
      <c r="D14"/>
      <c r="E14"/>
      <c r="F14"/>
      <c r="G14"/>
      <c r="H14"/>
      <c r="I14"/>
      <c r="J14"/>
    </row>
    <row r="15" spans="1:10" s="406" customFormat="1" ht="14.4" x14ac:dyDescent="0.3">
      <c r="A15"/>
      <c r="B15"/>
      <c r="C15"/>
      <c r="D15"/>
      <c r="E15"/>
      <c r="F15"/>
      <c r="G15"/>
      <c r="H15"/>
      <c r="I15"/>
      <c r="J15"/>
    </row>
    <row r="16" spans="1:10" s="406" customFormat="1" ht="14.4" x14ac:dyDescent="0.3">
      <c r="A16"/>
      <c r="B16"/>
      <c r="C16"/>
      <c r="D16"/>
      <c r="E16"/>
      <c r="F16"/>
      <c r="G16"/>
      <c r="H16"/>
      <c r="I16"/>
      <c r="J16"/>
    </row>
    <row r="17" spans="1:12" s="406" customFormat="1" ht="15" customHeight="1" x14ac:dyDescent="0.3">
      <c r="A17" s="407" t="s">
        <v>394</v>
      </c>
      <c r="B17" s="408">
        <v>135</v>
      </c>
      <c r="C17" s="409" t="s">
        <v>395</v>
      </c>
      <c r="D17" s="410"/>
      <c r="E17" s="410"/>
      <c r="F17"/>
      <c r="G17"/>
      <c r="H17"/>
      <c r="I17"/>
      <c r="J17"/>
    </row>
    <row r="18" spans="1:12" s="406" customFormat="1" ht="15" customHeight="1" x14ac:dyDescent="0.3">
      <c r="A18" s="410" t="s">
        <v>396</v>
      </c>
      <c r="B18" s="411">
        <v>0.6</v>
      </c>
      <c r="C18" s="409" t="s">
        <v>397</v>
      </c>
      <c r="D18" s="412"/>
      <c r="E18" s="412"/>
      <c r="F18"/>
      <c r="G18"/>
      <c r="H18"/>
      <c r="I18"/>
      <c r="J18"/>
    </row>
    <row r="19" spans="1:12" s="406" customFormat="1" ht="14.4" x14ac:dyDescent="0.3">
      <c r="A19" s="413" t="s">
        <v>398</v>
      </c>
      <c r="B19" s="414">
        <v>8.2876999999999992</v>
      </c>
      <c r="C19" s="409" t="s">
        <v>397</v>
      </c>
      <c r="D19" s="409"/>
      <c r="E19" s="409"/>
      <c r="F19"/>
      <c r="G19"/>
      <c r="H19"/>
      <c r="I19"/>
      <c r="J19"/>
    </row>
    <row r="20" spans="1:12" s="406" customFormat="1" ht="14.4" x14ac:dyDescent="0.3">
      <c r="A20" s="406" t="s">
        <v>399</v>
      </c>
      <c r="B20" s="415">
        <v>0.4</v>
      </c>
      <c r="C20" s="416" t="s">
        <v>400</v>
      </c>
      <c r="D20" s="416"/>
      <c r="F20" s="416"/>
      <c r="G20" s="416"/>
    </row>
    <row r="21" spans="1:12" s="406" customFormat="1" ht="26.1" customHeight="1" x14ac:dyDescent="0.25">
      <c r="A21" s="663" t="s">
        <v>401</v>
      </c>
      <c r="B21" s="664"/>
      <c r="C21" s="664"/>
      <c r="D21" s="664"/>
      <c r="E21" s="664"/>
      <c r="F21" s="664"/>
      <c r="G21" s="664"/>
      <c r="H21" s="664"/>
      <c r="I21" s="664"/>
      <c r="J21" s="664"/>
      <c r="K21" s="664"/>
    </row>
    <row r="22" spans="1:12" s="406" customFormat="1" ht="48.75" customHeight="1" x14ac:dyDescent="0.3">
      <c r="A22" s="477" t="s">
        <v>402</v>
      </c>
      <c r="B22" s="477" t="s">
        <v>403</v>
      </c>
      <c r="C22" s="477" t="s">
        <v>404</v>
      </c>
      <c r="D22" s="477" t="s">
        <v>405</v>
      </c>
      <c r="E22" s="477" t="s">
        <v>406</v>
      </c>
      <c r="F22" s="477" t="s">
        <v>407</v>
      </c>
      <c r="G22" s="665" t="s">
        <v>408</v>
      </c>
      <c r="H22" s="666"/>
      <c r="I22" s="667" t="s">
        <v>409</v>
      </c>
      <c r="J22" s="667"/>
      <c r="K22" s="478" t="s">
        <v>410</v>
      </c>
      <c r="L22"/>
    </row>
    <row r="23" spans="1:12" s="406" customFormat="1" ht="18.75" customHeight="1" x14ac:dyDescent="0.25">
      <c r="A23" s="479" t="s">
        <v>411</v>
      </c>
      <c r="B23" s="480">
        <v>47.9</v>
      </c>
      <c r="C23" s="431">
        <f>$F$13*($B$17-B23)*$B$19</f>
        <v>54139.400249999992</v>
      </c>
      <c r="D23" s="431">
        <f t="shared" ref="D23:D38" si="2">C23*$B$18</f>
        <v>32483.640149999992</v>
      </c>
      <c r="E23" s="431">
        <f>_xlfn.LET(_xlpm.x,_xlfn.XLOOKUP(D23,$D$44:$D$58,$D$44:$D$58,"",1),IF(_xlpm.x="",ROUNDUP(D23,0),_xlpm.x))</f>
        <v>34121</v>
      </c>
      <c r="F23" s="431">
        <f>_xlfn.LET(_xlpm.v,MAX(30,$F$13*$B$20),_xlpm.x,_xlfn.XLOOKUP(_xlpm.v,$G$44:$G$58,$G$44:$G$58,"",1),IF(_xlpm.x="",ROUNDUP(_xlpm.v,0),_xlpm.x))</f>
        <v>30</v>
      </c>
      <c r="G23" s="434">
        <f>0.3+27/F23</f>
        <v>1.2</v>
      </c>
      <c r="H23" s="431" t="str">
        <f t="shared" ref="H23:H38" si="3">IF($F$13&gt;0,"%/hr","Btu/hr")</f>
        <v>%/hr</v>
      </c>
      <c r="I23" s="435">
        <f>0.0834*G23*F23</f>
        <v>3.0024000000000002</v>
      </c>
      <c r="J23" s="481" t="s">
        <v>412</v>
      </c>
      <c r="K23" s="668" t="s">
        <v>413</v>
      </c>
    </row>
    <row r="24" spans="1:12" s="406" customFormat="1" ht="18.75" customHeight="1" x14ac:dyDescent="0.25">
      <c r="A24" s="479" t="s">
        <v>414</v>
      </c>
      <c r="B24" s="480">
        <v>50.8</v>
      </c>
      <c r="C24" s="431">
        <f t="shared" ref="C24:C38" si="4">$F$13*($B$17-B24)*$B$19</f>
        <v>52336.825499999992</v>
      </c>
      <c r="D24" s="431">
        <f t="shared" si="2"/>
        <v>31402.095299999994</v>
      </c>
      <c r="E24" s="431">
        <f t="shared" ref="E24:E38" si="5">_xlfn.LET(_xlpm.x,_xlfn.XLOOKUP(D24,$D$44:$D$58,$D$44:$D$58,"",1),IF(_xlpm.x="",ROUNDUP(D24,0),_xlpm.x))</f>
        <v>34121</v>
      </c>
      <c r="F24" s="431">
        <f t="shared" ref="F24:F38" si="6">_xlfn.LET(_xlpm.v,MAX(30,$F$13*$B$20),_xlpm.x,_xlfn.XLOOKUP(_xlpm.v,$G$44:$G$58,$G$44:$G$58,"",1),IF(_xlpm.x="",ROUNDUP(_xlpm.v,0),_xlpm.x))</f>
        <v>30</v>
      </c>
      <c r="G24" s="434">
        <f t="shared" ref="G24:G38" si="7">0.3+27/F24</f>
        <v>1.2</v>
      </c>
      <c r="H24" s="431" t="str">
        <f t="shared" si="3"/>
        <v>%/hr</v>
      </c>
      <c r="I24" s="435">
        <f t="shared" ref="I24:I38" si="8">0.0834*G24*F24</f>
        <v>3.0024000000000002</v>
      </c>
      <c r="J24" s="481" t="s">
        <v>412</v>
      </c>
      <c r="K24" s="669"/>
    </row>
    <row r="25" spans="1:12" s="406" customFormat="1" ht="18.75" customHeight="1" x14ac:dyDescent="0.25">
      <c r="A25" s="479" t="s">
        <v>415</v>
      </c>
      <c r="B25" s="480">
        <v>52.2</v>
      </c>
      <c r="C25" s="431">
        <f t="shared" si="4"/>
        <v>51466.616999999998</v>
      </c>
      <c r="D25" s="431">
        <f t="shared" si="2"/>
        <v>30879.970199999996</v>
      </c>
      <c r="E25" s="431">
        <f t="shared" si="5"/>
        <v>34121</v>
      </c>
      <c r="F25" s="431">
        <f t="shared" si="6"/>
        <v>30</v>
      </c>
      <c r="G25" s="434">
        <f t="shared" si="7"/>
        <v>1.2</v>
      </c>
      <c r="H25" s="431" t="str">
        <f t="shared" si="3"/>
        <v>%/hr</v>
      </c>
      <c r="I25" s="435">
        <f t="shared" si="8"/>
        <v>3.0024000000000002</v>
      </c>
      <c r="J25" s="481" t="s">
        <v>412</v>
      </c>
      <c r="K25" s="669"/>
    </row>
    <row r="26" spans="1:12" s="406" customFormat="1" ht="18.75" customHeight="1" x14ac:dyDescent="0.25">
      <c r="A26" s="479" t="s">
        <v>416</v>
      </c>
      <c r="B26" s="480">
        <v>52.7</v>
      </c>
      <c r="C26" s="431">
        <f t="shared" si="4"/>
        <v>51155.828249999991</v>
      </c>
      <c r="D26" s="431">
        <f t="shared" si="2"/>
        <v>30693.496949999993</v>
      </c>
      <c r="E26" s="431">
        <f t="shared" si="5"/>
        <v>30709</v>
      </c>
      <c r="F26" s="431">
        <f t="shared" si="6"/>
        <v>30</v>
      </c>
      <c r="G26" s="434">
        <f t="shared" si="7"/>
        <v>1.2</v>
      </c>
      <c r="H26" s="431" t="str">
        <f t="shared" si="3"/>
        <v>%/hr</v>
      </c>
      <c r="I26" s="435">
        <f t="shared" si="8"/>
        <v>3.0024000000000002</v>
      </c>
      <c r="J26" s="481" t="s">
        <v>412</v>
      </c>
      <c r="K26" s="669"/>
    </row>
    <row r="27" spans="1:12" s="406" customFormat="1" ht="18.75" customHeight="1" x14ac:dyDescent="0.25">
      <c r="A27" s="479" t="s">
        <v>417</v>
      </c>
      <c r="B27" s="480">
        <v>51.6</v>
      </c>
      <c r="C27" s="431">
        <f t="shared" si="4"/>
        <v>51839.563499999997</v>
      </c>
      <c r="D27" s="431">
        <f t="shared" si="2"/>
        <v>31103.738099999995</v>
      </c>
      <c r="E27" s="431">
        <f t="shared" si="5"/>
        <v>34121</v>
      </c>
      <c r="F27" s="431">
        <f t="shared" si="6"/>
        <v>30</v>
      </c>
      <c r="G27" s="434">
        <f t="shared" si="7"/>
        <v>1.2</v>
      </c>
      <c r="H27" s="431" t="str">
        <f t="shared" si="3"/>
        <v>%/hr</v>
      </c>
      <c r="I27" s="435">
        <f t="shared" si="8"/>
        <v>3.0024000000000002</v>
      </c>
      <c r="J27" s="481" t="s">
        <v>412</v>
      </c>
      <c r="K27" s="669"/>
    </row>
    <row r="28" spans="1:12" s="406" customFormat="1" ht="18.75" customHeight="1" x14ac:dyDescent="0.25">
      <c r="A28" s="479" t="s">
        <v>418</v>
      </c>
      <c r="B28" s="480">
        <v>56.8</v>
      </c>
      <c r="C28" s="431">
        <f t="shared" si="4"/>
        <v>48607.360499999995</v>
      </c>
      <c r="D28" s="431">
        <f t="shared" si="2"/>
        <v>29164.416299999997</v>
      </c>
      <c r="E28" s="431">
        <f t="shared" si="5"/>
        <v>30709</v>
      </c>
      <c r="F28" s="431">
        <f t="shared" si="6"/>
        <v>30</v>
      </c>
      <c r="G28" s="434">
        <f t="shared" si="7"/>
        <v>1.2</v>
      </c>
      <c r="H28" s="431" t="str">
        <f t="shared" si="3"/>
        <v>%/hr</v>
      </c>
      <c r="I28" s="435">
        <f t="shared" si="8"/>
        <v>3.0024000000000002</v>
      </c>
      <c r="J28" s="481" t="s">
        <v>412</v>
      </c>
      <c r="K28" s="669"/>
    </row>
    <row r="29" spans="1:12" s="406" customFormat="1" ht="18.75" customHeight="1" x14ac:dyDescent="0.25">
      <c r="A29" s="479" t="s">
        <v>419</v>
      </c>
      <c r="B29" s="480">
        <v>58.4</v>
      </c>
      <c r="C29" s="431">
        <f t="shared" si="4"/>
        <v>47612.836499999998</v>
      </c>
      <c r="D29" s="431">
        <f t="shared" si="2"/>
        <v>28567.701899999996</v>
      </c>
      <c r="E29" s="431">
        <f t="shared" si="5"/>
        <v>30709</v>
      </c>
      <c r="F29" s="431">
        <f t="shared" si="6"/>
        <v>30</v>
      </c>
      <c r="G29" s="434">
        <f t="shared" si="7"/>
        <v>1.2</v>
      </c>
      <c r="H29" s="431" t="str">
        <f t="shared" si="3"/>
        <v>%/hr</v>
      </c>
      <c r="I29" s="435">
        <f t="shared" si="8"/>
        <v>3.0024000000000002</v>
      </c>
      <c r="J29" s="481" t="s">
        <v>412</v>
      </c>
      <c r="K29" s="669"/>
    </row>
    <row r="30" spans="1:12" s="406" customFormat="1" ht="18.75" customHeight="1" x14ac:dyDescent="0.25">
      <c r="A30" s="479" t="s">
        <v>420</v>
      </c>
      <c r="B30" s="480">
        <v>58.4</v>
      </c>
      <c r="C30" s="431">
        <f t="shared" si="4"/>
        <v>47612.836499999998</v>
      </c>
      <c r="D30" s="431">
        <f t="shared" si="2"/>
        <v>28567.701899999996</v>
      </c>
      <c r="E30" s="431">
        <f t="shared" si="5"/>
        <v>30709</v>
      </c>
      <c r="F30" s="431">
        <f t="shared" si="6"/>
        <v>30</v>
      </c>
      <c r="G30" s="434">
        <f t="shared" si="7"/>
        <v>1.2</v>
      </c>
      <c r="H30" s="431" t="str">
        <f t="shared" si="3"/>
        <v>%/hr</v>
      </c>
      <c r="I30" s="435">
        <f t="shared" si="8"/>
        <v>3.0024000000000002</v>
      </c>
      <c r="J30" s="481" t="s">
        <v>412</v>
      </c>
      <c r="K30" s="669"/>
    </row>
    <row r="31" spans="1:12" s="406" customFormat="1" ht="18.75" customHeight="1" x14ac:dyDescent="0.25">
      <c r="A31" s="479" t="s">
        <v>421</v>
      </c>
      <c r="B31" s="480">
        <v>57.6</v>
      </c>
      <c r="C31" s="431">
        <f t="shared" si="4"/>
        <v>48110.098499999993</v>
      </c>
      <c r="D31" s="431">
        <f t="shared" si="2"/>
        <v>28866.059099999995</v>
      </c>
      <c r="E31" s="431">
        <f t="shared" si="5"/>
        <v>30709</v>
      </c>
      <c r="F31" s="431">
        <f t="shared" si="6"/>
        <v>30</v>
      </c>
      <c r="G31" s="434">
        <f t="shared" si="7"/>
        <v>1.2</v>
      </c>
      <c r="H31" s="431" t="str">
        <f t="shared" si="3"/>
        <v>%/hr</v>
      </c>
      <c r="I31" s="435">
        <f t="shared" si="8"/>
        <v>3.0024000000000002</v>
      </c>
      <c r="J31" s="481" t="s">
        <v>412</v>
      </c>
      <c r="K31" s="669"/>
    </row>
    <row r="32" spans="1:12" s="406" customFormat="1" ht="18.75" customHeight="1" x14ac:dyDescent="0.25">
      <c r="A32" s="479" t="s">
        <v>203</v>
      </c>
      <c r="B32" s="480">
        <v>57.1</v>
      </c>
      <c r="C32" s="431">
        <f t="shared" si="4"/>
        <v>48420.887249999992</v>
      </c>
      <c r="D32" s="431">
        <f t="shared" si="2"/>
        <v>29052.532349999994</v>
      </c>
      <c r="E32" s="431">
        <f t="shared" si="5"/>
        <v>30709</v>
      </c>
      <c r="F32" s="431">
        <f t="shared" si="6"/>
        <v>30</v>
      </c>
      <c r="G32" s="434">
        <f t="shared" si="7"/>
        <v>1.2</v>
      </c>
      <c r="H32" s="431" t="str">
        <f t="shared" si="3"/>
        <v>%/hr</v>
      </c>
      <c r="I32" s="435">
        <f t="shared" si="8"/>
        <v>3.0024000000000002</v>
      </c>
      <c r="J32" s="481" t="s">
        <v>412</v>
      </c>
      <c r="K32" s="669"/>
    </row>
    <row r="33" spans="1:11" s="406" customFormat="1" ht="18.75" customHeight="1" x14ac:dyDescent="0.25">
      <c r="A33" s="479" t="s">
        <v>204</v>
      </c>
      <c r="B33" s="480">
        <v>50.5</v>
      </c>
      <c r="C33" s="431">
        <f t="shared" si="4"/>
        <v>52523.298749999994</v>
      </c>
      <c r="D33" s="431">
        <f t="shared" si="2"/>
        <v>31513.979249999997</v>
      </c>
      <c r="E33" s="431">
        <f t="shared" si="5"/>
        <v>34121</v>
      </c>
      <c r="F33" s="431">
        <f t="shared" si="6"/>
        <v>30</v>
      </c>
      <c r="G33" s="434">
        <f t="shared" si="7"/>
        <v>1.2</v>
      </c>
      <c r="H33" s="431" t="str">
        <f t="shared" si="3"/>
        <v>%/hr</v>
      </c>
      <c r="I33" s="435">
        <f t="shared" si="8"/>
        <v>3.0024000000000002</v>
      </c>
      <c r="J33" s="481" t="s">
        <v>412</v>
      </c>
      <c r="K33" s="669"/>
    </row>
    <row r="34" spans="1:11" s="406" customFormat="1" ht="18.75" customHeight="1" x14ac:dyDescent="0.25">
      <c r="A34" s="479" t="s">
        <v>205</v>
      </c>
      <c r="B34" s="480">
        <v>51.4</v>
      </c>
      <c r="C34" s="431">
        <f t="shared" si="4"/>
        <v>51963.878999999994</v>
      </c>
      <c r="D34" s="431">
        <f t="shared" si="2"/>
        <v>31178.327399999995</v>
      </c>
      <c r="E34" s="431">
        <f t="shared" si="5"/>
        <v>34121</v>
      </c>
      <c r="F34" s="431">
        <f t="shared" si="6"/>
        <v>30</v>
      </c>
      <c r="G34" s="434">
        <f t="shared" si="7"/>
        <v>1.2</v>
      </c>
      <c r="H34" s="431" t="str">
        <f t="shared" si="3"/>
        <v>%/hr</v>
      </c>
      <c r="I34" s="435">
        <f t="shared" si="8"/>
        <v>3.0024000000000002</v>
      </c>
      <c r="J34" s="481" t="s">
        <v>412</v>
      </c>
      <c r="K34" s="669"/>
    </row>
    <row r="35" spans="1:11" s="406" customFormat="1" ht="18.75" customHeight="1" x14ac:dyDescent="0.25">
      <c r="A35" s="479" t="s">
        <v>206</v>
      </c>
      <c r="B35" s="480">
        <v>51.7</v>
      </c>
      <c r="C35" s="431">
        <f t="shared" si="4"/>
        <v>51777.405749999998</v>
      </c>
      <c r="D35" s="431">
        <f t="shared" si="2"/>
        <v>31066.443449999999</v>
      </c>
      <c r="E35" s="431">
        <f t="shared" si="5"/>
        <v>34121</v>
      </c>
      <c r="F35" s="431">
        <f t="shared" si="6"/>
        <v>30</v>
      </c>
      <c r="G35" s="434">
        <f t="shared" si="7"/>
        <v>1.2</v>
      </c>
      <c r="H35" s="431" t="str">
        <f t="shared" si="3"/>
        <v>%/hr</v>
      </c>
      <c r="I35" s="435">
        <f t="shared" si="8"/>
        <v>3.0024000000000002</v>
      </c>
      <c r="J35" s="481" t="s">
        <v>412</v>
      </c>
      <c r="K35" s="669"/>
    </row>
    <row r="36" spans="1:11" s="406" customFormat="1" ht="18.75" customHeight="1" x14ac:dyDescent="0.25">
      <c r="A36" s="479" t="s">
        <v>207</v>
      </c>
      <c r="B36" s="480">
        <v>50.1</v>
      </c>
      <c r="C36" s="431">
        <f t="shared" si="4"/>
        <v>52771.929749999996</v>
      </c>
      <c r="D36" s="431">
        <f t="shared" si="2"/>
        <v>31663.157849999996</v>
      </c>
      <c r="E36" s="431">
        <f t="shared" si="5"/>
        <v>34121</v>
      </c>
      <c r="F36" s="431">
        <f t="shared" si="6"/>
        <v>30</v>
      </c>
      <c r="G36" s="434">
        <f t="shared" si="7"/>
        <v>1.2</v>
      </c>
      <c r="H36" s="431" t="str">
        <f t="shared" si="3"/>
        <v>%/hr</v>
      </c>
      <c r="I36" s="435">
        <f t="shared" si="8"/>
        <v>3.0024000000000002</v>
      </c>
      <c r="J36" s="481" t="s">
        <v>412</v>
      </c>
      <c r="K36" s="669"/>
    </row>
    <row r="37" spans="1:11" s="406" customFormat="1" ht="18.75" customHeight="1" x14ac:dyDescent="0.25">
      <c r="A37" s="479" t="s">
        <v>208</v>
      </c>
      <c r="B37" s="480">
        <v>63.2</v>
      </c>
      <c r="C37" s="431">
        <f t="shared" si="4"/>
        <v>44629.264499999997</v>
      </c>
      <c r="D37" s="431">
        <f t="shared" si="2"/>
        <v>26777.558699999998</v>
      </c>
      <c r="E37" s="431">
        <f t="shared" si="5"/>
        <v>27297</v>
      </c>
      <c r="F37" s="431">
        <f t="shared" si="6"/>
        <v>30</v>
      </c>
      <c r="G37" s="434">
        <f t="shared" si="7"/>
        <v>1.2</v>
      </c>
      <c r="H37" s="431" t="str">
        <f t="shared" si="3"/>
        <v>%/hr</v>
      </c>
      <c r="I37" s="435">
        <f t="shared" si="8"/>
        <v>3.0024000000000002</v>
      </c>
      <c r="J37" s="481" t="s">
        <v>412</v>
      </c>
      <c r="K37" s="669"/>
    </row>
    <row r="38" spans="1:11" s="406" customFormat="1" ht="18.75" customHeight="1" x14ac:dyDescent="0.25">
      <c r="A38" s="479" t="s">
        <v>209</v>
      </c>
      <c r="B38" s="480">
        <v>41.4</v>
      </c>
      <c r="C38" s="431">
        <f t="shared" si="4"/>
        <v>58179.653999999995</v>
      </c>
      <c r="D38" s="431">
        <f t="shared" si="2"/>
        <v>34907.792399999998</v>
      </c>
      <c r="E38" s="431">
        <f t="shared" si="5"/>
        <v>40946</v>
      </c>
      <c r="F38" s="431">
        <f t="shared" si="6"/>
        <v>30</v>
      </c>
      <c r="G38" s="434">
        <f t="shared" si="7"/>
        <v>1.2</v>
      </c>
      <c r="H38" s="431" t="str">
        <f t="shared" si="3"/>
        <v>%/hr</v>
      </c>
      <c r="I38" s="435">
        <f t="shared" si="8"/>
        <v>3.0024000000000002</v>
      </c>
      <c r="J38" s="481" t="s">
        <v>412</v>
      </c>
      <c r="K38" s="670"/>
    </row>
    <row r="39" spans="1:11" s="406" customFormat="1" ht="14.4" x14ac:dyDescent="0.3">
      <c r="C39" s="416"/>
      <c r="D39" s="416"/>
      <c r="F39" s="416"/>
      <c r="G39" s="416"/>
    </row>
    <row r="40" spans="1:11" s="406" customFormat="1" ht="14.4" x14ac:dyDescent="0.3">
      <c r="C40" s="416"/>
      <c r="D40" s="416"/>
      <c r="F40" s="416"/>
      <c r="G40" s="416"/>
    </row>
    <row r="41" spans="1:11" s="406" customFormat="1" ht="14.4" x14ac:dyDescent="0.3">
      <c r="C41" s="416"/>
      <c r="D41" s="416"/>
      <c r="F41" s="416"/>
      <c r="G41" s="416"/>
    </row>
    <row r="42" spans="1:11" s="406" customFormat="1" ht="15.6" x14ac:dyDescent="0.25">
      <c r="A42" s="661" t="s">
        <v>422</v>
      </c>
      <c r="B42" s="567"/>
      <c r="C42" s="567"/>
      <c r="D42" s="567"/>
      <c r="E42" s="567"/>
      <c r="F42" s="567"/>
      <c r="G42" s="567"/>
      <c r="H42" s="567"/>
    </row>
    <row r="43" spans="1:11" s="418" customFormat="1" ht="27.6" x14ac:dyDescent="0.25">
      <c r="A43" s="425" t="s">
        <v>423</v>
      </c>
      <c r="B43" s="471" t="s">
        <v>424</v>
      </c>
      <c r="C43" s="472" t="s">
        <v>425</v>
      </c>
      <c r="D43" s="473" t="s">
        <v>426</v>
      </c>
      <c r="E43" s="474" t="s">
        <v>427</v>
      </c>
      <c r="F43" s="473" t="s">
        <v>428</v>
      </c>
      <c r="G43" s="475" t="s">
        <v>429</v>
      </c>
      <c r="H43" s="476" t="s">
        <v>430</v>
      </c>
      <c r="I43" s="417" t="str">
        <f>HYPERLINK("#'Note'!A1","Sources and links → Note tab")</f>
        <v>Sources and links → Note tab</v>
      </c>
    </row>
    <row r="44" spans="1:11" s="406" customFormat="1" ht="13.8" x14ac:dyDescent="0.25">
      <c r="A44" s="468">
        <v>60000</v>
      </c>
      <c r="B44" s="426" t="s">
        <v>431</v>
      </c>
      <c r="C44" s="458">
        <v>1.5</v>
      </c>
      <c r="D44" s="459">
        <v>5118</v>
      </c>
      <c r="E44" s="460">
        <v>34</v>
      </c>
      <c r="F44" s="460" t="s">
        <v>432</v>
      </c>
      <c r="G44" s="460">
        <v>6</v>
      </c>
      <c r="H44" s="461" t="s">
        <v>431</v>
      </c>
    </row>
    <row r="45" spans="1:11" s="406" customFormat="1" ht="13.8" x14ac:dyDescent="0.25">
      <c r="A45" s="469">
        <v>75100</v>
      </c>
      <c r="B45" s="427" t="s">
        <v>431</v>
      </c>
      <c r="C45" s="462">
        <v>2</v>
      </c>
      <c r="D45" s="430">
        <v>6824</v>
      </c>
      <c r="E45" s="457">
        <v>35</v>
      </c>
      <c r="F45" s="457" t="s">
        <v>431</v>
      </c>
      <c r="G45" s="457">
        <v>10</v>
      </c>
      <c r="H45" s="463" t="s">
        <v>431</v>
      </c>
    </row>
    <row r="46" spans="1:11" s="406" customFormat="1" ht="13.8" x14ac:dyDescent="0.25">
      <c r="A46" s="469">
        <v>76000</v>
      </c>
      <c r="B46" s="427" t="s">
        <v>433</v>
      </c>
      <c r="C46" s="462">
        <v>3</v>
      </c>
      <c r="D46" s="430">
        <v>10236</v>
      </c>
      <c r="E46" s="457">
        <v>48</v>
      </c>
      <c r="F46" s="457" t="s">
        <v>431</v>
      </c>
      <c r="G46" s="457">
        <v>15</v>
      </c>
      <c r="H46" s="463" t="s">
        <v>431</v>
      </c>
    </row>
    <row r="47" spans="1:11" s="406" customFormat="1" ht="13.8" x14ac:dyDescent="0.25">
      <c r="A47" s="469">
        <v>80000</v>
      </c>
      <c r="B47" s="427" t="s">
        <v>431</v>
      </c>
      <c r="C47" s="462">
        <v>4.5</v>
      </c>
      <c r="D47" s="430">
        <v>15355</v>
      </c>
      <c r="E47" s="457">
        <v>50</v>
      </c>
      <c r="F47" s="457" t="s">
        <v>433</v>
      </c>
      <c r="G47" s="457">
        <v>20</v>
      </c>
      <c r="H47" s="463" t="s">
        <v>431</v>
      </c>
    </row>
    <row r="48" spans="1:11" s="406" customFormat="1" ht="13.8" x14ac:dyDescent="0.25">
      <c r="A48" s="469">
        <v>99900</v>
      </c>
      <c r="B48" s="427" t="s">
        <v>432</v>
      </c>
      <c r="C48" s="462">
        <v>6</v>
      </c>
      <c r="D48" s="430">
        <v>20473</v>
      </c>
      <c r="E48" s="457">
        <v>55</v>
      </c>
      <c r="F48" s="457" t="s">
        <v>432</v>
      </c>
      <c r="G48" s="457">
        <v>28</v>
      </c>
      <c r="H48" s="463" t="s">
        <v>431</v>
      </c>
    </row>
    <row r="49" spans="1:8" s="406" customFormat="1" ht="13.8" x14ac:dyDescent="0.25">
      <c r="A49" s="469">
        <v>100000</v>
      </c>
      <c r="B49" s="427" t="s">
        <v>433</v>
      </c>
      <c r="C49" s="462">
        <v>8</v>
      </c>
      <c r="D49" s="430">
        <v>27297</v>
      </c>
      <c r="E49" s="457">
        <v>60</v>
      </c>
      <c r="F49" s="457" t="s">
        <v>432</v>
      </c>
      <c r="G49" s="457">
        <v>30</v>
      </c>
      <c r="H49" s="463" t="s">
        <v>431</v>
      </c>
    </row>
    <row r="50" spans="1:8" s="406" customFormat="1" ht="13.8" x14ac:dyDescent="0.25">
      <c r="A50" s="469">
        <v>120000</v>
      </c>
      <c r="B50" s="427" t="s">
        <v>432</v>
      </c>
      <c r="C50" s="462">
        <v>9</v>
      </c>
      <c r="D50" s="430">
        <v>30709</v>
      </c>
      <c r="E50" s="457">
        <v>65</v>
      </c>
      <c r="F50" s="457" t="s">
        <v>433</v>
      </c>
      <c r="G50" s="457">
        <v>36</v>
      </c>
      <c r="H50" s="463" t="s">
        <v>431</v>
      </c>
    </row>
    <row r="51" spans="1:8" s="406" customFormat="1" ht="13.8" x14ac:dyDescent="0.25">
      <c r="A51" s="469">
        <v>125000</v>
      </c>
      <c r="B51" s="467" t="s">
        <v>433</v>
      </c>
      <c r="C51" s="462">
        <v>10</v>
      </c>
      <c r="D51" s="430">
        <v>34121</v>
      </c>
      <c r="E51" s="457">
        <v>72</v>
      </c>
      <c r="F51" s="457" t="s">
        <v>431</v>
      </c>
      <c r="G51" s="457">
        <v>40</v>
      </c>
      <c r="H51" s="463" t="s">
        <v>431</v>
      </c>
    </row>
    <row r="52" spans="1:8" s="406" customFormat="1" ht="13.8" x14ac:dyDescent="0.25">
      <c r="A52" s="469">
        <v>130000</v>
      </c>
      <c r="B52" s="427" t="s">
        <v>433</v>
      </c>
      <c r="C52" s="462">
        <v>12</v>
      </c>
      <c r="D52" s="430">
        <v>40946</v>
      </c>
      <c r="E52" s="457">
        <v>75</v>
      </c>
      <c r="F52" s="457" t="s">
        <v>433</v>
      </c>
      <c r="G52" s="457">
        <v>47</v>
      </c>
      <c r="H52" s="463"/>
    </row>
    <row r="53" spans="1:8" s="406" customFormat="1" ht="13.8" x14ac:dyDescent="0.25">
      <c r="A53" s="469">
        <v>145000</v>
      </c>
      <c r="B53" s="427" t="s">
        <v>432</v>
      </c>
      <c r="C53" s="462">
        <v>12.1</v>
      </c>
      <c r="D53" s="430">
        <v>41287</v>
      </c>
      <c r="E53" s="457">
        <v>76</v>
      </c>
      <c r="F53" s="457" t="s">
        <v>431</v>
      </c>
      <c r="G53" s="457">
        <v>50</v>
      </c>
      <c r="H53" s="463"/>
    </row>
    <row r="54" spans="1:8" s="406" customFormat="1" ht="13.8" x14ac:dyDescent="0.25">
      <c r="A54" s="469">
        <v>150000</v>
      </c>
      <c r="B54" s="427" t="s">
        <v>432</v>
      </c>
      <c r="C54" s="462">
        <v>18</v>
      </c>
      <c r="D54" s="430">
        <v>61419</v>
      </c>
      <c r="E54" s="457">
        <v>80</v>
      </c>
      <c r="F54" s="457" t="s">
        <v>433</v>
      </c>
      <c r="G54" s="457">
        <v>65</v>
      </c>
      <c r="H54" s="463"/>
    </row>
    <row r="55" spans="1:8" s="406" customFormat="1" x14ac:dyDescent="0.25">
      <c r="A55" s="469">
        <v>156000</v>
      </c>
      <c r="B55" s="428" t="s">
        <v>431</v>
      </c>
      <c r="C55" s="462">
        <v>24</v>
      </c>
      <c r="D55" s="430">
        <v>81891</v>
      </c>
      <c r="E55" s="457">
        <v>82</v>
      </c>
      <c r="F55" s="457" t="s">
        <v>431</v>
      </c>
      <c r="G55" s="457">
        <v>80</v>
      </c>
      <c r="H55" s="463"/>
    </row>
    <row r="56" spans="1:8" s="406" customFormat="1" x14ac:dyDescent="0.25">
      <c r="A56" s="469">
        <v>160000</v>
      </c>
      <c r="B56" s="428" t="s">
        <v>433</v>
      </c>
      <c r="C56" s="462">
        <v>27</v>
      </c>
      <c r="D56" s="457">
        <v>92128</v>
      </c>
      <c r="E56" s="457">
        <v>85</v>
      </c>
      <c r="F56" s="457" t="s">
        <v>431</v>
      </c>
      <c r="G56" s="457">
        <v>85</v>
      </c>
      <c r="H56" s="463"/>
    </row>
    <row r="57" spans="1:8" s="406" customFormat="1" x14ac:dyDescent="0.25">
      <c r="A57" s="469">
        <v>175000</v>
      </c>
      <c r="B57" s="428" t="s">
        <v>432</v>
      </c>
      <c r="C57" s="462">
        <v>36</v>
      </c>
      <c r="D57" s="457">
        <v>122837</v>
      </c>
      <c r="E57" s="457">
        <v>90</v>
      </c>
      <c r="F57" s="457" t="s">
        <v>433</v>
      </c>
      <c r="G57" s="457">
        <v>105</v>
      </c>
      <c r="H57" s="463"/>
    </row>
    <row r="58" spans="1:8" s="406" customFormat="1" x14ac:dyDescent="0.25">
      <c r="A58" s="469">
        <v>180000</v>
      </c>
      <c r="B58" s="428" t="s">
        <v>431</v>
      </c>
      <c r="C58" s="462">
        <v>54</v>
      </c>
      <c r="D58" s="457">
        <v>184256</v>
      </c>
      <c r="E58" s="457">
        <v>91</v>
      </c>
      <c r="F58" s="457" t="s">
        <v>431</v>
      </c>
      <c r="G58" s="457">
        <v>120</v>
      </c>
      <c r="H58" s="463"/>
    </row>
    <row r="59" spans="1:8" s="406" customFormat="1" x14ac:dyDescent="0.25">
      <c r="A59" s="469">
        <v>199000</v>
      </c>
      <c r="B59" s="428" t="s">
        <v>432</v>
      </c>
      <c r="C59" s="462"/>
      <c r="D59" s="457"/>
      <c r="E59" s="457">
        <v>100</v>
      </c>
      <c r="F59" s="457" t="s">
        <v>433</v>
      </c>
      <c r="G59" s="457"/>
      <c r="H59" s="463"/>
    </row>
    <row r="60" spans="1:8" s="406" customFormat="1" x14ac:dyDescent="0.25">
      <c r="A60" s="469">
        <v>199900</v>
      </c>
      <c r="B60" s="428" t="s">
        <v>433</v>
      </c>
      <c r="C60" s="462"/>
      <c r="D60" s="457"/>
      <c r="E60" s="457">
        <v>110</v>
      </c>
      <c r="F60" s="457" t="s">
        <v>432</v>
      </c>
      <c r="G60" s="457"/>
      <c r="H60" s="463"/>
    </row>
    <row r="61" spans="1:8" s="406" customFormat="1" x14ac:dyDescent="0.25">
      <c r="A61" s="469">
        <v>200000</v>
      </c>
      <c r="B61" s="428" t="s">
        <v>432</v>
      </c>
      <c r="C61" s="462"/>
      <c r="D61" s="457"/>
      <c r="E61" s="457">
        <v>119</v>
      </c>
      <c r="F61" s="457" t="s">
        <v>433</v>
      </c>
      <c r="G61" s="457"/>
      <c r="H61" s="463"/>
    </row>
    <row r="62" spans="1:8" s="406" customFormat="1" x14ac:dyDescent="0.25">
      <c r="A62" s="469">
        <v>250000</v>
      </c>
      <c r="B62" s="428" t="s">
        <v>433</v>
      </c>
      <c r="C62" s="464"/>
      <c r="D62" s="465"/>
      <c r="E62" s="465">
        <v>125</v>
      </c>
      <c r="F62" s="465" t="s">
        <v>432</v>
      </c>
      <c r="G62" s="465"/>
      <c r="H62" s="466"/>
    </row>
    <row r="63" spans="1:8" s="406" customFormat="1" ht="14.4" x14ac:dyDescent="0.3">
      <c r="A63" s="469">
        <v>251000</v>
      </c>
      <c r="B63" s="429" t="s">
        <v>432</v>
      </c>
      <c r="C63"/>
      <c r="D63"/>
      <c r="E63" s="420"/>
      <c r="F63" s="419"/>
      <c r="G63" s="419"/>
    </row>
    <row r="64" spans="1:8" s="406" customFormat="1" ht="14.4" x14ac:dyDescent="0.3">
      <c r="A64" s="469">
        <v>270000</v>
      </c>
      <c r="B64" s="429" t="s">
        <v>431</v>
      </c>
      <c r="C64"/>
      <c r="D64"/>
      <c r="E64" s="420"/>
      <c r="F64" s="419"/>
      <c r="G64" s="419"/>
    </row>
    <row r="65" spans="1:7" s="406" customFormat="1" ht="14.4" x14ac:dyDescent="0.3">
      <c r="A65" s="469">
        <v>285000</v>
      </c>
      <c r="B65" s="429" t="s">
        <v>432</v>
      </c>
      <c r="C65"/>
      <c r="D65"/>
      <c r="E65" s="420"/>
      <c r="F65" s="419"/>
      <c r="G65" s="419"/>
    </row>
    <row r="66" spans="1:7" s="406" customFormat="1" ht="14.4" x14ac:dyDescent="0.3">
      <c r="A66" s="469">
        <v>300000</v>
      </c>
      <c r="B66" s="429" t="s">
        <v>433</v>
      </c>
      <c r="C66"/>
      <c r="D66"/>
      <c r="E66" s="420"/>
      <c r="F66" s="419"/>
      <c r="G66" s="419"/>
    </row>
    <row r="67" spans="1:7" s="406" customFormat="1" ht="14.4" x14ac:dyDescent="0.3">
      <c r="A67" s="469">
        <v>320000</v>
      </c>
      <c r="B67" s="429" t="s">
        <v>432</v>
      </c>
      <c r="C67"/>
      <c r="D67"/>
      <c r="E67" s="420"/>
      <c r="F67" s="419"/>
      <c r="G67" s="419"/>
    </row>
    <row r="68" spans="1:7" s="406" customFormat="1" ht="14.4" x14ac:dyDescent="0.3">
      <c r="A68" s="469">
        <v>360000</v>
      </c>
      <c r="B68" s="429" t="s">
        <v>431</v>
      </c>
      <c r="C68"/>
      <c r="D68"/>
      <c r="E68" s="420"/>
      <c r="F68" s="419"/>
      <c r="G68" s="419"/>
    </row>
    <row r="69" spans="1:7" s="406" customFormat="1" ht="14.4" x14ac:dyDescent="0.3">
      <c r="A69" s="469">
        <v>398000</v>
      </c>
      <c r="B69" s="429" t="s">
        <v>432</v>
      </c>
      <c r="C69"/>
      <c r="D69"/>
      <c r="E69" s="420"/>
      <c r="F69" s="419"/>
      <c r="G69" s="419"/>
    </row>
    <row r="70" spans="1:7" s="406" customFormat="1" ht="14.4" x14ac:dyDescent="0.3">
      <c r="A70" s="469">
        <v>399000</v>
      </c>
      <c r="B70" s="429" t="s">
        <v>432</v>
      </c>
      <c r="C70"/>
      <c r="D70"/>
      <c r="E70" s="420"/>
      <c r="F70" s="419"/>
      <c r="G70" s="419"/>
    </row>
    <row r="71" spans="1:7" s="406" customFormat="1" ht="14.4" x14ac:dyDescent="0.3">
      <c r="A71" s="469">
        <v>399900</v>
      </c>
      <c r="B71" s="429" t="s">
        <v>433</v>
      </c>
      <c r="C71"/>
      <c r="D71"/>
      <c r="E71" s="420"/>
      <c r="F71" s="419"/>
      <c r="G71" s="419"/>
    </row>
    <row r="72" spans="1:7" s="406" customFormat="1" ht="14.4" x14ac:dyDescent="0.3">
      <c r="A72" s="469">
        <v>499900</v>
      </c>
      <c r="B72" s="429" t="s">
        <v>431</v>
      </c>
      <c r="C72"/>
      <c r="D72"/>
      <c r="E72" s="420"/>
      <c r="F72" s="419"/>
      <c r="G72" s="419"/>
    </row>
    <row r="73" spans="1:7" s="406" customFormat="1" ht="14.4" x14ac:dyDescent="0.3">
      <c r="A73" s="469">
        <v>550000</v>
      </c>
      <c r="B73" s="429" t="s">
        <v>431</v>
      </c>
      <c r="C73"/>
      <c r="D73"/>
      <c r="E73" s="420"/>
      <c r="F73" s="419"/>
      <c r="G73" s="419"/>
    </row>
    <row r="74" spans="1:7" s="406" customFormat="1" ht="14.4" x14ac:dyDescent="0.25">
      <c r="A74" s="470">
        <v>715000</v>
      </c>
      <c r="B74" s="432" t="s">
        <v>431</v>
      </c>
      <c r="C74" s="419"/>
      <c r="D74" s="419"/>
      <c r="E74" s="420"/>
      <c r="F74" s="419"/>
      <c r="G74" s="419"/>
    </row>
    <row r="75" spans="1:7" customFormat="1" ht="14.4" x14ac:dyDescent="0.3"/>
    <row r="76" spans="1:7" customFormat="1" ht="14.4" x14ac:dyDescent="0.3"/>
    <row r="77" spans="1:7" customFormat="1" ht="14.4" x14ac:dyDescent="0.3"/>
    <row r="78" spans="1:7" customFormat="1" ht="14.4" x14ac:dyDescent="0.3"/>
    <row r="79" spans="1:7" customFormat="1" ht="14.4" x14ac:dyDescent="0.3"/>
    <row r="80" spans="1:7" customFormat="1" ht="14.4" x14ac:dyDescent="0.3"/>
    <row r="81" customFormat="1" ht="14.4" x14ac:dyDescent="0.3"/>
    <row r="82" customFormat="1" ht="14.4" x14ac:dyDescent="0.3"/>
    <row r="83" customFormat="1" ht="14.4" x14ac:dyDescent="0.3"/>
    <row r="84" customFormat="1" ht="14.4" x14ac:dyDescent="0.3"/>
    <row r="85" customFormat="1" ht="14.4" x14ac:dyDescent="0.3"/>
    <row r="86" customFormat="1" ht="14.4" x14ac:dyDescent="0.3"/>
  </sheetData>
  <mergeCells count="11">
    <mergeCell ref="A42:H42"/>
    <mergeCell ref="A1:G1"/>
    <mergeCell ref="A21:K21"/>
    <mergeCell ref="G22:H22"/>
    <mergeCell ref="I22:J22"/>
    <mergeCell ref="K23:K38"/>
    <mergeCell ref="A7:H7"/>
    <mergeCell ref="H9:H11"/>
    <mergeCell ref="B12:E12"/>
    <mergeCell ref="H12:H13"/>
    <mergeCell ref="B13:E13"/>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6AAB3-37D4-40C4-AD32-87DEB55DC747}">
  <sheetPr codeName="Sheet17"/>
  <dimension ref="A1:H47"/>
  <sheetViews>
    <sheetView zoomScaleNormal="100" workbookViewId="0">
      <selection sqref="A1:H1"/>
    </sheetView>
  </sheetViews>
  <sheetFormatPr defaultColWidth="8.6640625" defaultRowHeight="13.2" x14ac:dyDescent="0.25"/>
  <cols>
    <col min="1" max="1" width="40.5546875" style="4" customWidth="1"/>
    <col min="2" max="2" width="19" style="4" customWidth="1"/>
    <col min="3" max="3" width="23.33203125" style="4" customWidth="1"/>
    <col min="4" max="4" width="23" style="4" customWidth="1"/>
    <col min="5" max="5" width="21.44140625" style="4" customWidth="1"/>
    <col min="6" max="6" width="25.5546875" style="4" customWidth="1"/>
    <col min="7" max="7" width="46.33203125" style="4" customWidth="1"/>
    <col min="8" max="8" width="33.33203125" style="4" customWidth="1"/>
    <col min="9" max="9" width="54.5546875" style="4" customWidth="1"/>
    <col min="10" max="10" width="9.6640625" style="4" customWidth="1"/>
    <col min="11" max="11" width="13.33203125" style="4" customWidth="1"/>
    <col min="12" max="12" width="24" style="4" customWidth="1"/>
    <col min="13" max="13" width="10.5546875" style="4" customWidth="1"/>
    <col min="14" max="14" width="11.44140625" style="4" customWidth="1"/>
    <col min="15" max="15" width="10.5546875" style="4" customWidth="1"/>
    <col min="16" max="16" width="13.33203125" style="4" customWidth="1"/>
    <col min="17" max="17" width="9.6640625" style="4" customWidth="1"/>
    <col min="18" max="18" width="9.44140625" style="4" customWidth="1"/>
    <col min="19" max="19" width="12.6640625" style="4" customWidth="1"/>
    <col min="20" max="20" width="14.6640625" style="4" customWidth="1"/>
    <col min="21" max="21" width="20.6640625" style="4" customWidth="1"/>
    <col min="22" max="22" width="19.6640625" style="4" customWidth="1"/>
    <col min="23" max="28" width="8.6640625" style="4"/>
    <col min="29" max="29" width="13.6640625" style="4" bestFit="1" customWidth="1"/>
    <col min="30" max="16384" width="8.6640625" style="4"/>
  </cols>
  <sheetData>
    <row r="1" spans="1:8" ht="25.95" customHeight="1" x14ac:dyDescent="0.25">
      <c r="A1" s="681" t="str">
        <f>"Interior Lighting - "&amp;Prototype!A2</f>
        <v>Interior Lighting - Warehouse</v>
      </c>
      <c r="B1" s="567"/>
      <c r="C1" s="567"/>
      <c r="D1" s="567"/>
      <c r="E1" s="567"/>
      <c r="F1" s="567"/>
      <c r="G1" s="567"/>
      <c r="H1" s="567"/>
    </row>
    <row r="2" spans="1:8" ht="18.600000000000001" customHeight="1" x14ac:dyDescent="0.25">
      <c r="A2" s="682" t="s">
        <v>434</v>
      </c>
      <c r="B2" s="683" t="s">
        <v>435</v>
      </c>
      <c r="C2" s="684"/>
      <c r="D2" s="685"/>
      <c r="E2" s="683" t="s">
        <v>221</v>
      </c>
      <c r="F2" s="684"/>
      <c r="G2" s="685"/>
      <c r="H2" s="679" t="s">
        <v>48</v>
      </c>
    </row>
    <row r="3" spans="1:8" ht="28.95" customHeight="1" x14ac:dyDescent="0.25">
      <c r="A3" s="682"/>
      <c r="B3" s="530" t="s">
        <v>436</v>
      </c>
      <c r="C3" s="530" t="s">
        <v>437</v>
      </c>
      <c r="D3" s="275" t="s">
        <v>248</v>
      </c>
      <c r="E3" s="276" t="s">
        <v>438</v>
      </c>
      <c r="F3" s="531" t="s">
        <v>437</v>
      </c>
      <c r="G3" s="530" t="s">
        <v>248</v>
      </c>
      <c r="H3" s="680"/>
    </row>
    <row r="4" spans="1:8" ht="38.25" customHeight="1" x14ac:dyDescent="0.25">
      <c r="A4" s="256" t="s">
        <v>174</v>
      </c>
      <c r="B4" s="517">
        <v>0.6</v>
      </c>
      <c r="C4" s="547">
        <v>0.1</v>
      </c>
      <c r="D4" s="552" t="s">
        <v>439</v>
      </c>
      <c r="E4" s="517">
        <v>0.75</v>
      </c>
      <c r="F4" s="277"/>
      <c r="G4" s="687" t="s">
        <v>440</v>
      </c>
      <c r="H4" s="511" t="s">
        <v>441</v>
      </c>
    </row>
    <row r="5" spans="1:8" ht="44.25" customHeight="1" x14ac:dyDescent="0.25">
      <c r="A5" s="256" t="s">
        <v>178</v>
      </c>
      <c r="B5" s="517">
        <v>0.4</v>
      </c>
      <c r="C5" s="517"/>
      <c r="D5" s="552"/>
      <c r="E5" s="517">
        <v>0.5</v>
      </c>
      <c r="F5" s="277"/>
      <c r="G5" s="687"/>
      <c r="H5" s="510"/>
    </row>
    <row r="6" spans="1:8" ht="16.95" customHeight="1" x14ac:dyDescent="0.25">
      <c r="A6" s="688"/>
      <c r="B6" s="6"/>
      <c r="D6" s="688"/>
    </row>
    <row r="7" spans="1:8" ht="16.95" customHeight="1" x14ac:dyDescent="0.25">
      <c r="A7" s="688"/>
      <c r="B7" s="6"/>
      <c r="D7" s="688"/>
    </row>
    <row r="8" spans="1:8" ht="16.95" customHeight="1" x14ac:dyDescent="0.25">
      <c r="A8" s="688"/>
      <c r="B8" s="6"/>
      <c r="D8" s="688"/>
    </row>
    <row r="9" spans="1:8" ht="13.2" customHeight="1" x14ac:dyDescent="0.25">
      <c r="B9" s="22"/>
      <c r="C9" s="22"/>
      <c r="D9" s="22"/>
      <c r="E9" s="22"/>
    </row>
    <row r="10" spans="1:8" ht="13.2" customHeight="1" x14ac:dyDescent="0.25">
      <c r="B10" s="22"/>
      <c r="C10" s="22"/>
      <c r="D10" s="22"/>
      <c r="E10" s="22"/>
    </row>
    <row r="11" spans="1:8" ht="13.2" customHeight="1" x14ac:dyDescent="0.25">
      <c r="B11" s="22"/>
      <c r="C11" s="22"/>
      <c r="D11" s="22"/>
      <c r="E11" s="22"/>
    </row>
    <row r="12" spans="1:8" ht="13.2" customHeight="1" x14ac:dyDescent="0.25">
      <c r="B12" s="22"/>
      <c r="C12" s="22"/>
      <c r="D12" s="22"/>
      <c r="E12" s="22"/>
    </row>
    <row r="13" spans="1:8" ht="13.2" customHeight="1" x14ac:dyDescent="0.25">
      <c r="B13" s="22"/>
      <c r="C13" s="22"/>
      <c r="D13" s="22"/>
      <c r="E13" s="22"/>
    </row>
    <row r="14" spans="1:8" ht="13.2" customHeight="1" x14ac:dyDescent="0.25">
      <c r="B14" s="22"/>
      <c r="C14" s="22"/>
      <c r="D14" s="22"/>
      <c r="E14" s="22"/>
    </row>
    <row r="15" spans="1:8" ht="13.2" customHeight="1" x14ac:dyDescent="0.25">
      <c r="B15" s="22"/>
      <c r="C15" s="22"/>
      <c r="D15" s="22"/>
      <c r="E15" s="22"/>
    </row>
    <row r="16" spans="1:8" ht="13.2" customHeight="1" x14ac:dyDescent="0.25">
      <c r="B16" s="22"/>
      <c r="C16" s="22"/>
      <c r="D16" s="22"/>
      <c r="E16" s="22"/>
    </row>
    <row r="17" spans="1:8" ht="13.2" customHeight="1" x14ac:dyDescent="0.25">
      <c r="B17" s="22"/>
      <c r="C17" s="22"/>
      <c r="D17" s="22"/>
      <c r="E17" s="22"/>
    </row>
    <row r="18" spans="1:8" ht="13.2" customHeight="1" x14ac:dyDescent="0.25">
      <c r="B18" s="22"/>
      <c r="C18" s="22"/>
      <c r="D18" s="22"/>
      <c r="E18" s="22"/>
    </row>
    <row r="19" spans="1:8" ht="13.2" customHeight="1" x14ac:dyDescent="0.25">
      <c r="B19" s="22"/>
      <c r="C19" s="22"/>
      <c r="D19" s="22"/>
      <c r="E19" s="22"/>
    </row>
    <row r="20" spans="1:8" ht="13.2" customHeight="1" x14ac:dyDescent="0.25">
      <c r="B20" s="22"/>
      <c r="C20" s="22"/>
      <c r="D20" s="22"/>
      <c r="E20" s="22"/>
    </row>
    <row r="21" spans="1:8" ht="13.2" customHeight="1" x14ac:dyDescent="0.25">
      <c r="B21" s="22"/>
      <c r="C21" s="22"/>
      <c r="D21" s="22"/>
      <c r="E21" s="22"/>
    </row>
    <row r="22" spans="1:8" ht="13.2" customHeight="1" x14ac:dyDescent="0.25">
      <c r="B22" s="22"/>
      <c r="C22" s="22"/>
      <c r="D22" s="22"/>
      <c r="E22" s="22"/>
    </row>
    <row r="23" spans="1:8" ht="13.2" customHeight="1" x14ac:dyDescent="0.25">
      <c r="B23" s="22"/>
      <c r="C23" s="22"/>
      <c r="D23" s="22"/>
      <c r="E23" s="22"/>
    </row>
    <row r="24" spans="1:8" ht="13.2" customHeight="1" x14ac:dyDescent="0.25">
      <c r="B24" s="22"/>
      <c r="C24" s="22"/>
      <c r="D24" s="22"/>
      <c r="E24" s="22"/>
    </row>
    <row r="25" spans="1:8" ht="13.2" customHeight="1" x14ac:dyDescent="0.25">
      <c r="B25" s="22"/>
      <c r="C25" s="22"/>
      <c r="D25" s="22"/>
      <c r="E25" s="22"/>
    </row>
    <row r="26" spans="1:8" ht="13.2" customHeight="1" x14ac:dyDescent="0.25">
      <c r="B26" s="22"/>
      <c r="C26" s="22"/>
      <c r="D26" s="22"/>
      <c r="E26" s="22"/>
    </row>
    <row r="27" spans="1:8" ht="13.2" customHeight="1" x14ac:dyDescent="0.25">
      <c r="B27" s="22"/>
      <c r="C27" s="22"/>
      <c r="D27" s="22"/>
      <c r="E27" s="22"/>
    </row>
    <row r="28" spans="1:8" s="26" customFormat="1" hidden="1" x14ac:dyDescent="0.25">
      <c r="A28" s="26" t="s">
        <v>84</v>
      </c>
      <c r="F28" s="27"/>
      <c r="G28" s="28"/>
      <c r="H28" s="29"/>
    </row>
    <row r="29" spans="1:8" ht="17.7" hidden="1" customHeight="1" x14ac:dyDescent="0.25"/>
    <row r="30" spans="1:8" ht="15" hidden="1" x14ac:dyDescent="0.25">
      <c r="A30" s="69"/>
    </row>
    <row r="31" spans="1:8" hidden="1" x14ac:dyDescent="0.25"/>
    <row r="32" spans="1:8" hidden="1" x14ac:dyDescent="0.25">
      <c r="A32" s="620" t="s">
        <v>442</v>
      </c>
      <c r="B32" s="520" t="s">
        <v>443</v>
      </c>
      <c r="C32" s="15" t="s">
        <v>444</v>
      </c>
      <c r="D32" s="528">
        <v>0.4</v>
      </c>
      <c r="E32" s="6"/>
      <c r="F32" s="82" t="s">
        <v>445</v>
      </c>
    </row>
    <row r="33" spans="1:6" hidden="1" x14ac:dyDescent="0.25">
      <c r="A33" s="621"/>
      <c r="B33" s="585" t="s">
        <v>446</v>
      </c>
      <c r="C33" s="15">
        <f>Zones!C23</f>
        <v>0</v>
      </c>
      <c r="D33" s="15">
        <v>0.65</v>
      </c>
      <c r="E33" s="6"/>
      <c r="F33" s="686" t="s">
        <v>447</v>
      </c>
    </row>
    <row r="34" spans="1:6" hidden="1" x14ac:dyDescent="0.25">
      <c r="A34" s="621"/>
      <c r="B34" s="585"/>
      <c r="C34" s="15">
        <f>Zones!C24</f>
        <v>0</v>
      </c>
      <c r="D34" s="15">
        <v>0.4</v>
      </c>
      <c r="E34" s="6"/>
      <c r="F34" s="686"/>
    </row>
    <row r="35" spans="1:6" hidden="1" x14ac:dyDescent="0.25">
      <c r="A35" s="622"/>
      <c r="B35" s="585"/>
      <c r="C35" s="15">
        <f>Zones!C25</f>
        <v>0</v>
      </c>
      <c r="D35" s="15">
        <v>0.4</v>
      </c>
      <c r="E35" s="6"/>
      <c r="F35" s="686"/>
    </row>
    <row r="36" spans="1:6" hidden="1" x14ac:dyDescent="0.25"/>
    <row r="37" spans="1:6" hidden="1" x14ac:dyDescent="0.25">
      <c r="A37" s="620" t="s">
        <v>442</v>
      </c>
      <c r="B37" s="520" t="s">
        <v>443</v>
      </c>
      <c r="C37" s="15" t="s">
        <v>444</v>
      </c>
      <c r="D37" s="528">
        <v>0.5</v>
      </c>
      <c r="E37" s="6"/>
      <c r="F37" s="82" t="s">
        <v>448</v>
      </c>
    </row>
    <row r="38" spans="1:6" hidden="1" x14ac:dyDescent="0.25">
      <c r="A38" s="621"/>
      <c r="B38" s="585" t="s">
        <v>446</v>
      </c>
      <c r="C38" s="15" t="s">
        <v>449</v>
      </c>
      <c r="D38" s="15">
        <v>0.75</v>
      </c>
      <c r="E38" s="6"/>
      <c r="F38" s="686" t="s">
        <v>450</v>
      </c>
    </row>
    <row r="39" spans="1:6" hidden="1" x14ac:dyDescent="0.25">
      <c r="A39" s="621"/>
      <c r="B39" s="585"/>
      <c r="C39" s="15" t="s">
        <v>451</v>
      </c>
      <c r="D39" s="15">
        <v>0.5</v>
      </c>
      <c r="E39" s="6"/>
      <c r="F39" s="686"/>
    </row>
    <row r="40" spans="1:6" hidden="1" x14ac:dyDescent="0.25">
      <c r="A40" s="622"/>
      <c r="B40" s="585"/>
      <c r="C40" s="15" t="s">
        <v>452</v>
      </c>
      <c r="D40" s="15">
        <v>0.5</v>
      </c>
      <c r="E40" s="6"/>
      <c r="F40" s="686"/>
    </row>
    <row r="41" spans="1:6" hidden="1" x14ac:dyDescent="0.25"/>
    <row r="42" spans="1:6" hidden="1" x14ac:dyDescent="0.25">
      <c r="A42" s="620" t="s">
        <v>442</v>
      </c>
      <c r="B42" s="520" t="s">
        <v>443</v>
      </c>
      <c r="C42" s="15" t="s">
        <v>444</v>
      </c>
      <c r="D42" s="528">
        <v>0.6</v>
      </c>
      <c r="E42" s="6"/>
      <c r="F42" s="82" t="s">
        <v>453</v>
      </c>
    </row>
    <row r="43" spans="1:6" hidden="1" x14ac:dyDescent="0.25">
      <c r="A43" s="621"/>
      <c r="B43" s="585" t="s">
        <v>446</v>
      </c>
      <c r="C43" s="15" t="s">
        <v>449</v>
      </c>
      <c r="D43" s="15">
        <v>0.75</v>
      </c>
      <c r="E43" s="6"/>
      <c r="F43" s="686" t="s">
        <v>454</v>
      </c>
    </row>
    <row r="44" spans="1:6" hidden="1" x14ac:dyDescent="0.25">
      <c r="A44" s="621"/>
      <c r="B44" s="585"/>
      <c r="C44" s="15" t="s">
        <v>451</v>
      </c>
      <c r="D44" s="15">
        <v>0.6</v>
      </c>
      <c r="E44" s="6"/>
      <c r="F44" s="686"/>
    </row>
    <row r="45" spans="1:6" hidden="1" x14ac:dyDescent="0.25">
      <c r="A45" s="622"/>
      <c r="B45" s="585"/>
      <c r="C45" s="15" t="s">
        <v>452</v>
      </c>
      <c r="D45" s="15">
        <v>0.6</v>
      </c>
      <c r="E45" s="6"/>
      <c r="F45" s="686"/>
    </row>
    <row r="46" spans="1:6" hidden="1" x14ac:dyDescent="0.25"/>
    <row r="47" spans="1:6" hidden="1" x14ac:dyDescent="0.25"/>
  </sheetData>
  <mergeCells count="18">
    <mergeCell ref="A42:A45"/>
    <mergeCell ref="B43:B45"/>
    <mergeCell ref="F43:F45"/>
    <mergeCell ref="G4:G5"/>
    <mergeCell ref="D4:D5"/>
    <mergeCell ref="D6:D8"/>
    <mergeCell ref="A6:A8"/>
    <mergeCell ref="A32:A35"/>
    <mergeCell ref="B33:B35"/>
    <mergeCell ref="F33:F35"/>
    <mergeCell ref="A37:A40"/>
    <mergeCell ref="B38:B40"/>
    <mergeCell ref="F38:F40"/>
    <mergeCell ref="H2:H3"/>
    <mergeCell ref="A1:H1"/>
    <mergeCell ref="A2:A3"/>
    <mergeCell ref="B2:D2"/>
    <mergeCell ref="E2:G2"/>
  </mergeCells>
  <phoneticPr fontId="5"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19C81-B0B9-4AE9-9154-3628732CA590}">
  <sheetPr codeName="Sheet9"/>
  <dimension ref="A1:AC23"/>
  <sheetViews>
    <sheetView zoomScale="85" zoomScaleNormal="85" workbookViewId="0">
      <selection sqref="A1:E1"/>
    </sheetView>
  </sheetViews>
  <sheetFormatPr defaultColWidth="8.6640625" defaultRowHeight="13.2" x14ac:dyDescent="0.25"/>
  <cols>
    <col min="1" max="1" width="52.44140625" style="4" customWidth="1"/>
    <col min="2" max="4" width="32.109375" style="4" customWidth="1"/>
    <col min="5" max="5" width="52.88671875" style="4" customWidth="1"/>
    <col min="6" max="6" width="69" style="4" customWidth="1"/>
    <col min="7" max="7" width="64.44140625" style="4" customWidth="1"/>
    <col min="8" max="8" width="9.109375" style="4" customWidth="1"/>
    <col min="9" max="9" width="21.109375" style="4" customWidth="1"/>
    <col min="10" max="10" width="26" style="4" customWidth="1"/>
    <col min="11" max="11" width="10.5546875" style="4" bestFit="1" customWidth="1"/>
    <col min="12" max="12" width="16.33203125" style="4" customWidth="1"/>
    <col min="13" max="13" width="10.6640625" style="4" bestFit="1" customWidth="1"/>
    <col min="14" max="14" width="10.5546875" style="4" bestFit="1" customWidth="1"/>
    <col min="15" max="16384" width="8.6640625" style="4"/>
  </cols>
  <sheetData>
    <row r="1" spans="1:29" ht="23.4" customHeight="1" x14ac:dyDescent="0.3">
      <c r="A1" s="689" t="str">
        <f>"Equipment - "&amp;Prototype!A2</f>
        <v>Equipment - Warehouse</v>
      </c>
      <c r="B1" s="690"/>
      <c r="C1" s="690"/>
      <c r="D1" s="690"/>
      <c r="E1" s="691"/>
      <c r="J1" s="177"/>
    </row>
    <row r="2" spans="1:29" ht="30.6" customHeight="1" x14ac:dyDescent="0.25">
      <c r="A2" s="243" t="s">
        <v>434</v>
      </c>
      <c r="B2" s="243" t="s">
        <v>455</v>
      </c>
      <c r="C2" s="255" t="s">
        <v>456</v>
      </c>
      <c r="D2" s="243" t="s">
        <v>655</v>
      </c>
      <c r="E2" s="243" t="s">
        <v>248</v>
      </c>
      <c r="F2" s="529"/>
    </row>
    <row r="3" spans="1:29" ht="27" customHeight="1" x14ac:dyDescent="0.25">
      <c r="A3" s="516" t="s">
        <v>174</v>
      </c>
      <c r="B3" s="516">
        <v>0.7</v>
      </c>
      <c r="C3" s="516"/>
      <c r="D3" s="516"/>
      <c r="E3" s="517" t="s">
        <v>457</v>
      </c>
      <c r="F3" s="521"/>
      <c r="G3" s="521"/>
    </row>
    <row r="4" spans="1:29" ht="198" x14ac:dyDescent="0.3">
      <c r="A4" s="516" t="s">
        <v>178</v>
      </c>
      <c r="B4" s="516">
        <v>0.2</v>
      </c>
      <c r="C4" s="516">
        <v>0.09</v>
      </c>
      <c r="D4" s="516">
        <f>10*5*0.7*1000/50000</f>
        <v>0.7</v>
      </c>
      <c r="E4" s="835" t="s">
        <v>656</v>
      </c>
      <c r="F4" s="521"/>
      <c r="AC4" s="1"/>
    </row>
    <row r="5" spans="1:29" ht="105.6" x14ac:dyDescent="0.3">
      <c r="A5" s="516" t="s">
        <v>178</v>
      </c>
      <c r="B5" s="91"/>
      <c r="C5" s="546"/>
      <c r="D5" s="546"/>
      <c r="E5" s="834" t="s">
        <v>458</v>
      </c>
      <c r="F5" s="60" t="s">
        <v>459</v>
      </c>
      <c r="G5" s="289"/>
      <c r="I5" s="399"/>
      <c r="L5"/>
    </row>
    <row r="6" spans="1:29" ht="85.5" customHeight="1" x14ac:dyDescent="0.3">
      <c r="A6" s="516" t="s">
        <v>178</v>
      </c>
      <c r="B6" s="516"/>
      <c r="C6" s="516"/>
      <c r="D6" s="516"/>
      <c r="E6" s="834" t="s">
        <v>460</v>
      </c>
      <c r="F6" s="155" t="s">
        <v>461</v>
      </c>
      <c r="G6" s="155" t="s">
        <v>462</v>
      </c>
      <c r="H6" s="342"/>
      <c r="I6" s="521"/>
      <c r="J6" s="399"/>
      <c r="L6"/>
      <c r="Q6"/>
    </row>
    <row r="8" spans="1:29" x14ac:dyDescent="0.25">
      <c r="A8" s="5"/>
    </row>
    <row r="9" spans="1:29" ht="15" customHeight="1" x14ac:dyDescent="0.25"/>
    <row r="10" spans="1:29" ht="12.6" customHeight="1" x14ac:dyDescent="0.3">
      <c r="A10" s="177"/>
    </row>
    <row r="11" spans="1:29" ht="13.95" customHeight="1" x14ac:dyDescent="0.25"/>
    <row r="12" spans="1:29" ht="13.95" customHeight="1" x14ac:dyDescent="0.25"/>
    <row r="13" spans="1:29" ht="13.95" customHeight="1" x14ac:dyDescent="0.25"/>
    <row r="14" spans="1:29" ht="13.95" customHeight="1" x14ac:dyDescent="0.25"/>
    <row r="15" spans="1:29" ht="13.95" customHeight="1" x14ac:dyDescent="0.25"/>
    <row r="16" spans="1:29" ht="13.95" customHeight="1" x14ac:dyDescent="0.25"/>
    <row r="17" spans="1:8" ht="13.95" customHeight="1" x14ac:dyDescent="0.25"/>
    <row r="18" spans="1:8" ht="13.95" customHeight="1" x14ac:dyDescent="0.25"/>
    <row r="19" spans="1:8" ht="13.95" customHeight="1" x14ac:dyDescent="0.25"/>
    <row r="20" spans="1:8" s="26" customFormat="1" hidden="1" x14ac:dyDescent="0.25">
      <c r="A20" s="26" t="s">
        <v>84</v>
      </c>
      <c r="F20" s="27"/>
      <c r="G20" s="28"/>
      <c r="H20" s="29"/>
    </row>
    <row r="23" spans="1:8" s="69" customFormat="1" ht="15" x14ac:dyDescent="0.25"/>
  </sheetData>
  <mergeCells count="1">
    <mergeCell ref="A1:E1"/>
  </mergeCells>
  <phoneticPr fontId="5" type="noConversion"/>
  <hyperlinks>
    <hyperlink ref="F5" r:id="rId1" xr:uid="{5F362FDD-9E28-46A8-AB20-2685E443C0CC}"/>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98FA8-1D97-4D12-96EB-6911ACEC625A}">
  <sheetPr codeName="Sheet18"/>
  <dimension ref="A1:G23"/>
  <sheetViews>
    <sheetView zoomScaleNormal="100" workbookViewId="0">
      <selection sqref="A1:D1"/>
    </sheetView>
  </sheetViews>
  <sheetFormatPr defaultColWidth="8.6640625" defaultRowHeight="13.2" x14ac:dyDescent="0.25"/>
  <cols>
    <col min="1" max="1" width="34" style="4" customWidth="1"/>
    <col min="2" max="2" width="37.88671875" style="4" customWidth="1"/>
    <col min="3" max="3" width="16.88671875" style="4" customWidth="1"/>
    <col min="4" max="4" width="28" style="4" customWidth="1"/>
    <col min="5" max="5" width="33.109375" style="4" customWidth="1"/>
    <col min="6" max="6" width="12.5546875" style="4" customWidth="1"/>
    <col min="7" max="7" width="17.5546875" style="4" customWidth="1"/>
    <col min="8" max="8" width="15.5546875" style="4" customWidth="1"/>
    <col min="9" max="9" width="13.33203125" style="4" customWidth="1"/>
    <col min="10" max="16384" width="8.6640625" style="4"/>
  </cols>
  <sheetData>
    <row r="1" spans="1:7" ht="25.2" customHeight="1" x14ac:dyDescent="0.25">
      <c r="A1" s="693" t="str">
        <f>"Exterior Lighting - "&amp;Prototype!A2</f>
        <v>Exterior Lighting - Warehouse</v>
      </c>
      <c r="B1" s="693"/>
      <c r="C1" s="693"/>
      <c r="D1" s="693"/>
    </row>
    <row r="2" spans="1:7" ht="37.200000000000003" customHeight="1" x14ac:dyDescent="0.25">
      <c r="A2" s="246" t="s">
        <v>463</v>
      </c>
      <c r="B2" s="246" t="s">
        <v>464</v>
      </c>
      <c r="C2" s="246" t="s">
        <v>465</v>
      </c>
      <c r="D2" s="246" t="s">
        <v>248</v>
      </c>
    </row>
    <row r="3" spans="1:7" ht="22.2" customHeight="1" x14ac:dyDescent="0.25">
      <c r="A3" s="254">
        <f>G15</f>
        <v>751.55690120481927</v>
      </c>
      <c r="B3" s="254">
        <f>G16</f>
        <v>1380.431521</v>
      </c>
      <c r="C3" s="254">
        <f>B3+A3</f>
        <v>2131.9884222048195</v>
      </c>
      <c r="D3" s="516" t="s">
        <v>466</v>
      </c>
    </row>
    <row r="8" spans="1:7" ht="22.2" customHeight="1" x14ac:dyDescent="0.25">
      <c r="A8" s="570" t="s">
        <v>467</v>
      </c>
      <c r="B8" s="570"/>
      <c r="C8" s="570"/>
      <c r="D8" s="570"/>
      <c r="E8" s="570"/>
      <c r="F8" s="570"/>
      <c r="G8" s="152"/>
    </row>
    <row r="9" spans="1:7" ht="57.6" customHeight="1" x14ac:dyDescent="0.25">
      <c r="A9" s="245" t="s">
        <v>468</v>
      </c>
      <c r="B9" s="694" t="s">
        <v>469</v>
      </c>
      <c r="C9" s="695"/>
      <c r="D9" s="246" t="s">
        <v>470</v>
      </c>
      <c r="E9" s="246" t="s">
        <v>471</v>
      </c>
      <c r="F9" s="246" t="s">
        <v>470</v>
      </c>
      <c r="G9" s="246" t="s">
        <v>472</v>
      </c>
    </row>
    <row r="10" spans="1:7" ht="19.2" customHeight="1" x14ac:dyDescent="0.25">
      <c r="A10" s="247" t="s">
        <v>473</v>
      </c>
      <c r="B10" s="247"/>
      <c r="C10" s="248"/>
      <c r="D10" s="516"/>
      <c r="E10" s="516">
        <v>200</v>
      </c>
      <c r="F10" s="516" t="s">
        <v>474</v>
      </c>
      <c r="G10" s="249">
        <f>$E10</f>
        <v>200</v>
      </c>
    </row>
    <row r="11" spans="1:7" ht="39.6" x14ac:dyDescent="0.25">
      <c r="A11" s="244" t="s">
        <v>475</v>
      </c>
      <c r="B11" s="244" t="s">
        <v>476</v>
      </c>
      <c r="C11" s="250">
        <f>B22/830*400</f>
        <v>25081.942168674697</v>
      </c>
      <c r="D11" s="516" t="s">
        <v>477</v>
      </c>
      <c r="E11" s="516">
        <v>1.9E-2</v>
      </c>
      <c r="F11" s="516" t="s">
        <v>478</v>
      </c>
      <c r="G11" s="249">
        <f>$E11*C11</f>
        <v>476.55690120481921</v>
      </c>
    </row>
    <row r="12" spans="1:7" ht="26.4" x14ac:dyDescent="0.25">
      <c r="A12" s="247" t="s">
        <v>479</v>
      </c>
      <c r="B12" s="244" t="s">
        <v>480</v>
      </c>
      <c r="C12" s="248">
        <f>5</f>
        <v>5</v>
      </c>
      <c r="D12" s="516" t="s">
        <v>481</v>
      </c>
      <c r="E12" s="516">
        <v>15</v>
      </c>
      <c r="F12" s="516" t="s">
        <v>482</v>
      </c>
      <c r="G12" s="249">
        <f>E12*C12</f>
        <v>75</v>
      </c>
    </row>
    <row r="13" spans="1:7" ht="26.4" x14ac:dyDescent="0.25">
      <c r="A13" s="247" t="s">
        <v>483</v>
      </c>
      <c r="B13" s="244" t="s">
        <v>484</v>
      </c>
      <c r="C13" s="251">
        <f>B22*0.1</f>
        <v>5204.5030000000006</v>
      </c>
      <c r="D13" s="516" t="s">
        <v>477</v>
      </c>
      <c r="E13" s="516">
        <v>7.0000000000000001E-3</v>
      </c>
      <c r="F13" s="516" t="s">
        <v>478</v>
      </c>
      <c r="G13" s="252">
        <f>E13*C13</f>
        <v>36.431521000000004</v>
      </c>
    </row>
    <row r="14" spans="1:7" ht="96" customHeight="1" x14ac:dyDescent="0.25">
      <c r="A14" s="247" t="s">
        <v>485</v>
      </c>
      <c r="B14" s="244" t="s">
        <v>486</v>
      </c>
      <c r="C14" s="251">
        <f>B21*0.5*28</f>
        <v>13440</v>
      </c>
      <c r="D14" s="516" t="s">
        <v>477</v>
      </c>
      <c r="E14" s="516">
        <v>0.1</v>
      </c>
      <c r="F14" s="516" t="s">
        <v>478</v>
      </c>
      <c r="G14" s="252">
        <f>E14*C14</f>
        <v>1344</v>
      </c>
    </row>
    <row r="15" spans="1:7" ht="13.8" x14ac:dyDescent="0.25">
      <c r="A15" s="692" t="s">
        <v>487</v>
      </c>
      <c r="B15" s="692"/>
      <c r="C15" s="692"/>
      <c r="D15" s="692"/>
      <c r="E15" s="692"/>
      <c r="F15" s="692"/>
      <c r="G15" s="371">
        <f>G11+G10+G12</f>
        <v>751.55690120481927</v>
      </c>
    </row>
    <row r="16" spans="1:7" ht="13.8" x14ac:dyDescent="0.25">
      <c r="A16" s="692" t="s">
        <v>488</v>
      </c>
      <c r="B16" s="692"/>
      <c r="C16" s="692"/>
      <c r="D16" s="692"/>
      <c r="E16" s="692"/>
      <c r="F16" s="692"/>
      <c r="G16" s="371">
        <f>G13+G14</f>
        <v>1380.431521</v>
      </c>
    </row>
    <row r="17" spans="1:7" ht="13.8" x14ac:dyDescent="0.25">
      <c r="A17" s="692" t="s">
        <v>489</v>
      </c>
      <c r="B17" s="692"/>
      <c r="C17" s="692"/>
      <c r="D17" s="692"/>
      <c r="E17" s="692"/>
      <c r="F17" s="692"/>
      <c r="G17" s="253">
        <f t="shared" ref="G17" si="0">G15+G16</f>
        <v>2131.9884222048195</v>
      </c>
    </row>
    <row r="18" spans="1:7" ht="13.8" x14ac:dyDescent="0.25">
      <c r="A18" s="399"/>
      <c r="B18" s="399"/>
      <c r="C18" s="399"/>
      <c r="D18" s="399"/>
      <c r="E18" s="399"/>
      <c r="F18" s="399"/>
      <c r="G18" s="214"/>
    </row>
    <row r="19" spans="1:7" x14ac:dyDescent="0.25">
      <c r="A19" s="4" t="s">
        <v>490</v>
      </c>
      <c r="C19" s="518"/>
      <c r="F19" s="215"/>
    </row>
    <row r="20" spans="1:7" x14ac:dyDescent="0.25">
      <c r="C20" s="518"/>
      <c r="F20" s="215"/>
    </row>
    <row r="21" spans="1:7" x14ac:dyDescent="0.25">
      <c r="A21" s="4" t="s">
        <v>491</v>
      </c>
      <c r="B21" s="288">
        <f>(330+150)*2</f>
        <v>960</v>
      </c>
      <c r="C21" s="518"/>
      <c r="F21" s="215"/>
    </row>
    <row r="22" spans="1:7" x14ac:dyDescent="0.25">
      <c r="A22" s="4" t="s">
        <v>492</v>
      </c>
      <c r="B22" s="89">
        <f>Zones!H6</f>
        <v>52045.03</v>
      </c>
      <c r="F22" s="215"/>
    </row>
    <row r="23" spans="1:7" x14ac:dyDescent="0.25">
      <c r="A23" s="4" t="s">
        <v>493</v>
      </c>
      <c r="B23" s="288">
        <v>1</v>
      </c>
      <c r="F23" s="215"/>
    </row>
  </sheetData>
  <mergeCells count="6">
    <mergeCell ref="A15:F15"/>
    <mergeCell ref="A16:F16"/>
    <mergeCell ref="A17:F17"/>
    <mergeCell ref="A1:D1"/>
    <mergeCell ref="B9:C9"/>
    <mergeCell ref="A8:F8"/>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AEBC7-570E-431D-A891-0E68E13886AA}">
  <sheetPr codeName="Sheet11"/>
  <dimension ref="A1:AO211"/>
  <sheetViews>
    <sheetView zoomScale="90" zoomScaleNormal="90" workbookViewId="0">
      <pane xSplit="5" ySplit="3" topLeftCell="F4" activePane="bottomRight" state="frozen"/>
      <selection pane="topRight" activeCell="E1" sqref="E1"/>
      <selection pane="bottomLeft" activeCell="A4" sqref="A4"/>
      <selection pane="bottomRight" sqref="A1:AC1"/>
    </sheetView>
  </sheetViews>
  <sheetFormatPr defaultColWidth="9.33203125" defaultRowHeight="11.4" x14ac:dyDescent="0.3"/>
  <cols>
    <col min="1" max="1" width="17.33203125" style="41" customWidth="1"/>
    <col min="2" max="2" width="20.5546875" style="41" customWidth="1"/>
    <col min="3" max="3" width="27.33203125" style="41" customWidth="1"/>
    <col min="4" max="4" width="30.33203125" style="41" customWidth="1"/>
    <col min="5" max="5" width="9.33203125" style="41" bestFit="1" customWidth="1"/>
    <col min="6" max="28" width="5.6640625" style="41" customWidth="1"/>
    <col min="29" max="29" width="4.33203125" style="41" bestFit="1" customWidth="1"/>
    <col min="30" max="16384" width="9.33203125" style="41"/>
  </cols>
  <sheetData>
    <row r="1" spans="1:39" ht="24" customHeight="1" x14ac:dyDescent="0.3">
      <c r="A1" s="619" t="str">
        <f>"Schedules - "&amp;Prototype!A2</f>
        <v>Schedules - Warehouse</v>
      </c>
      <c r="B1" s="619"/>
      <c r="C1" s="619"/>
      <c r="D1" s="619"/>
      <c r="E1" s="619"/>
      <c r="F1" s="619"/>
      <c r="G1" s="619"/>
      <c r="H1" s="619"/>
      <c r="I1" s="619"/>
      <c r="J1" s="619"/>
      <c r="K1" s="619"/>
      <c r="L1" s="619"/>
      <c r="M1" s="619"/>
      <c r="N1" s="619"/>
      <c r="O1" s="619"/>
      <c r="P1" s="619"/>
      <c r="Q1" s="619"/>
      <c r="R1" s="619"/>
      <c r="S1" s="619"/>
      <c r="T1" s="619"/>
      <c r="U1" s="619"/>
      <c r="V1" s="619"/>
      <c r="W1" s="619"/>
      <c r="X1" s="619"/>
      <c r="Y1" s="619"/>
      <c r="Z1" s="619"/>
      <c r="AA1" s="619"/>
      <c r="AB1" s="619"/>
      <c r="AC1" s="756"/>
      <c r="AD1" s="42"/>
      <c r="AE1" s="42"/>
      <c r="AF1" s="42"/>
      <c r="AG1" s="42"/>
      <c r="AH1" s="42"/>
      <c r="AI1" s="43"/>
      <c r="AJ1" s="43"/>
      <c r="AK1" s="43"/>
    </row>
    <row r="2" spans="1:39" ht="24" customHeight="1" x14ac:dyDescent="0.3">
      <c r="A2" s="736" t="s">
        <v>256</v>
      </c>
      <c r="B2" s="736" t="s">
        <v>165</v>
      </c>
      <c r="C2" s="736" t="s">
        <v>494</v>
      </c>
      <c r="D2" s="736" t="s">
        <v>248</v>
      </c>
      <c r="E2" s="736" t="s">
        <v>495</v>
      </c>
      <c r="F2" s="738" t="s">
        <v>496</v>
      </c>
      <c r="G2" s="738"/>
      <c r="H2" s="738"/>
      <c r="I2" s="738"/>
      <c r="J2" s="738"/>
      <c r="K2" s="738"/>
      <c r="L2" s="738"/>
      <c r="M2" s="738"/>
      <c r="N2" s="738"/>
      <c r="O2" s="738"/>
      <c r="P2" s="738"/>
      <c r="Q2" s="738"/>
      <c r="R2" s="738"/>
      <c r="S2" s="738"/>
      <c r="T2" s="738"/>
      <c r="U2" s="738"/>
      <c r="V2" s="738"/>
      <c r="W2" s="738"/>
      <c r="X2" s="738"/>
      <c r="Y2" s="738"/>
      <c r="Z2" s="738"/>
      <c r="AA2" s="738"/>
      <c r="AB2" s="738"/>
      <c r="AC2" s="738"/>
      <c r="AD2" s="42"/>
      <c r="AE2" s="42"/>
      <c r="AF2" s="42"/>
      <c r="AG2" s="42"/>
      <c r="AH2" s="42"/>
      <c r="AI2" s="43"/>
      <c r="AJ2" s="43"/>
      <c r="AK2" s="43"/>
    </row>
    <row r="3" spans="1:39" ht="25.2" customHeight="1" thickBot="1" x14ac:dyDescent="0.35">
      <c r="A3" s="737"/>
      <c r="B3" s="737"/>
      <c r="C3" s="737"/>
      <c r="D3" s="737"/>
      <c r="E3" s="737"/>
      <c r="F3" s="533">
        <v>1</v>
      </c>
      <c r="G3" s="533">
        <v>2</v>
      </c>
      <c r="H3" s="533">
        <v>3</v>
      </c>
      <c r="I3" s="533">
        <v>4</v>
      </c>
      <c r="J3" s="533">
        <v>5</v>
      </c>
      <c r="K3" s="533">
        <v>6</v>
      </c>
      <c r="L3" s="533">
        <v>7</v>
      </c>
      <c r="M3" s="533">
        <v>8</v>
      </c>
      <c r="N3" s="533">
        <v>9</v>
      </c>
      <c r="O3" s="533">
        <v>10</v>
      </c>
      <c r="P3" s="533">
        <v>11</v>
      </c>
      <c r="Q3" s="533">
        <v>12</v>
      </c>
      <c r="R3" s="533">
        <v>13</v>
      </c>
      <c r="S3" s="533">
        <v>14</v>
      </c>
      <c r="T3" s="533">
        <v>15</v>
      </c>
      <c r="U3" s="533">
        <v>16</v>
      </c>
      <c r="V3" s="533">
        <v>17</v>
      </c>
      <c r="W3" s="533">
        <v>18</v>
      </c>
      <c r="X3" s="533">
        <v>19</v>
      </c>
      <c r="Y3" s="533">
        <v>20</v>
      </c>
      <c r="Z3" s="533">
        <v>21</v>
      </c>
      <c r="AA3" s="533">
        <v>22</v>
      </c>
      <c r="AB3" s="533">
        <v>23</v>
      </c>
      <c r="AC3" s="533">
        <v>24</v>
      </c>
      <c r="AD3" s="43"/>
      <c r="AE3" s="43"/>
      <c r="AF3" s="43"/>
      <c r="AG3" s="43"/>
      <c r="AH3" s="43"/>
      <c r="AI3" s="43"/>
      <c r="AJ3" s="43"/>
      <c r="AK3" s="43"/>
    </row>
    <row r="4" spans="1:39" ht="34.950000000000003" customHeight="1" x14ac:dyDescent="0.3">
      <c r="A4" s="727" t="s">
        <v>497</v>
      </c>
      <c r="B4" s="743" t="s">
        <v>177</v>
      </c>
      <c r="C4" s="699" t="s">
        <v>498</v>
      </c>
      <c r="D4" s="702" t="s">
        <v>499</v>
      </c>
      <c r="E4" s="107" t="s">
        <v>500</v>
      </c>
      <c r="F4" s="108">
        <v>0</v>
      </c>
      <c r="G4" s="108">
        <v>0</v>
      </c>
      <c r="H4" s="108">
        <v>0</v>
      </c>
      <c r="I4" s="108">
        <v>0</v>
      </c>
      <c r="J4" s="108">
        <v>0</v>
      </c>
      <c r="K4" s="207">
        <v>0.15</v>
      </c>
      <c r="L4" s="207">
        <v>0.7</v>
      </c>
      <c r="M4" s="207">
        <v>0.9</v>
      </c>
      <c r="N4" s="207">
        <v>0.9</v>
      </c>
      <c r="O4" s="108">
        <v>0.9</v>
      </c>
      <c r="P4" s="108">
        <v>0.9</v>
      </c>
      <c r="Q4" s="108">
        <v>0.9</v>
      </c>
      <c r="R4" s="108">
        <v>0.5</v>
      </c>
      <c r="S4" s="108">
        <v>0.85</v>
      </c>
      <c r="T4" s="108">
        <v>0.85</v>
      </c>
      <c r="U4" s="207">
        <v>0.2</v>
      </c>
      <c r="V4" s="207">
        <v>0</v>
      </c>
      <c r="W4" s="108">
        <v>0</v>
      </c>
      <c r="X4" s="108">
        <v>0</v>
      </c>
      <c r="Y4" s="108">
        <v>0</v>
      </c>
      <c r="Z4" s="108">
        <v>0</v>
      </c>
      <c r="AA4" s="108">
        <v>0</v>
      </c>
      <c r="AB4" s="108">
        <v>0</v>
      </c>
      <c r="AC4" s="109">
        <v>0</v>
      </c>
      <c r="AD4" s="43"/>
      <c r="AE4" s="43"/>
      <c r="AF4" s="43"/>
      <c r="AG4" s="43"/>
      <c r="AH4" s="43"/>
      <c r="AI4" s="43"/>
      <c r="AJ4" s="43"/>
      <c r="AK4" s="43"/>
    </row>
    <row r="5" spans="1:39" ht="34.950000000000003" customHeight="1" x14ac:dyDescent="0.3">
      <c r="A5" s="715"/>
      <c r="B5" s="718"/>
      <c r="C5" s="700"/>
      <c r="D5" s="697"/>
      <c r="E5" s="369" t="s">
        <v>501</v>
      </c>
      <c r="F5" s="366">
        <f>F4</f>
        <v>0</v>
      </c>
      <c r="G5" s="366">
        <f t="shared" ref="G5:AB5" si="0">G4</f>
        <v>0</v>
      </c>
      <c r="H5" s="366">
        <f t="shared" si="0"/>
        <v>0</v>
      </c>
      <c r="I5" s="366">
        <f t="shared" si="0"/>
        <v>0</v>
      </c>
      <c r="J5" s="366">
        <f t="shared" si="0"/>
        <v>0</v>
      </c>
      <c r="K5" s="366">
        <f t="shared" si="0"/>
        <v>0.15</v>
      </c>
      <c r="L5" s="366">
        <f t="shared" si="0"/>
        <v>0.7</v>
      </c>
      <c r="M5" s="366">
        <f t="shared" si="0"/>
        <v>0.9</v>
      </c>
      <c r="N5" s="366">
        <f t="shared" si="0"/>
        <v>0.9</v>
      </c>
      <c r="O5" s="366">
        <f t="shared" si="0"/>
        <v>0.9</v>
      </c>
      <c r="P5" s="366">
        <f t="shared" si="0"/>
        <v>0.9</v>
      </c>
      <c r="Q5" s="366">
        <f t="shared" si="0"/>
        <v>0.9</v>
      </c>
      <c r="R5" s="366">
        <f t="shared" si="0"/>
        <v>0.5</v>
      </c>
      <c r="S5" s="366">
        <f t="shared" si="0"/>
        <v>0.85</v>
      </c>
      <c r="T5" s="366">
        <f t="shared" si="0"/>
        <v>0.85</v>
      </c>
      <c r="U5" s="366">
        <f t="shared" si="0"/>
        <v>0.2</v>
      </c>
      <c r="V5" s="366">
        <f t="shared" si="0"/>
        <v>0</v>
      </c>
      <c r="W5" s="366">
        <f t="shared" si="0"/>
        <v>0</v>
      </c>
      <c r="X5" s="366">
        <f t="shared" si="0"/>
        <v>0</v>
      </c>
      <c r="Y5" s="366">
        <f t="shared" si="0"/>
        <v>0</v>
      </c>
      <c r="Z5" s="366">
        <f t="shared" si="0"/>
        <v>0</v>
      </c>
      <c r="AA5" s="366">
        <f t="shared" si="0"/>
        <v>0</v>
      </c>
      <c r="AB5" s="366">
        <f t="shared" si="0"/>
        <v>0</v>
      </c>
      <c r="AC5" s="367">
        <f>AC4</f>
        <v>0</v>
      </c>
      <c r="AD5" s="43"/>
      <c r="AE5" s="43"/>
      <c r="AF5" s="43"/>
      <c r="AG5" s="43"/>
      <c r="AH5" s="43"/>
      <c r="AI5" s="43"/>
      <c r="AJ5" s="43"/>
      <c r="AK5" s="43"/>
    </row>
    <row r="6" spans="1:39" ht="34.950000000000003" customHeight="1" thickBot="1" x14ac:dyDescent="0.35">
      <c r="A6" s="754"/>
      <c r="B6" s="744"/>
      <c r="C6" s="745"/>
      <c r="D6" s="698"/>
      <c r="E6" s="113" t="s">
        <v>502</v>
      </c>
      <c r="F6" s="114">
        <v>0</v>
      </c>
      <c r="G6" s="114">
        <v>0</v>
      </c>
      <c r="H6" s="114">
        <v>0</v>
      </c>
      <c r="I6" s="114">
        <v>0</v>
      </c>
      <c r="J6" s="114">
        <v>0</v>
      </c>
      <c r="K6" s="114">
        <v>0</v>
      </c>
      <c r="L6" s="114">
        <v>0</v>
      </c>
      <c r="M6" s="114">
        <v>0</v>
      </c>
      <c r="N6" s="114">
        <v>0</v>
      </c>
      <c r="O6" s="114">
        <v>0</v>
      </c>
      <c r="P6" s="114">
        <v>0</v>
      </c>
      <c r="Q6" s="114">
        <v>0</v>
      </c>
      <c r="R6" s="114">
        <v>0</v>
      </c>
      <c r="S6" s="114">
        <v>0</v>
      </c>
      <c r="T6" s="114">
        <v>0</v>
      </c>
      <c r="U6" s="114">
        <v>0</v>
      </c>
      <c r="V6" s="114">
        <v>0</v>
      </c>
      <c r="W6" s="114">
        <v>0</v>
      </c>
      <c r="X6" s="114">
        <v>0</v>
      </c>
      <c r="Y6" s="114">
        <v>0</v>
      </c>
      <c r="Z6" s="114">
        <v>0</v>
      </c>
      <c r="AA6" s="114">
        <v>0</v>
      </c>
      <c r="AB6" s="114">
        <v>0</v>
      </c>
      <c r="AC6" s="115">
        <v>0</v>
      </c>
      <c r="AD6" s="43"/>
      <c r="AE6" s="43"/>
      <c r="AF6" s="43"/>
      <c r="AG6" s="43"/>
      <c r="AH6" s="43"/>
      <c r="AI6" s="43"/>
      <c r="AJ6" s="43"/>
      <c r="AK6" s="43"/>
    </row>
    <row r="7" spans="1:39" ht="37.950000000000003" customHeight="1" x14ac:dyDescent="0.3">
      <c r="A7" s="727" t="str">
        <f>A4</f>
        <v>Fine storage</v>
      </c>
      <c r="B7" s="743" t="str">
        <f>B4</f>
        <v>FineStorage</v>
      </c>
      <c r="C7" s="699" t="s">
        <v>503</v>
      </c>
      <c r="D7" s="696" t="s">
        <v>504</v>
      </c>
      <c r="E7" s="107" t="s">
        <v>500</v>
      </c>
      <c r="F7" s="108">
        <v>0.05</v>
      </c>
      <c r="G7" s="108">
        <v>0.05</v>
      </c>
      <c r="H7" s="108">
        <v>0.05</v>
      </c>
      <c r="I7" s="108">
        <v>0.05</v>
      </c>
      <c r="J7" s="108">
        <v>0.05</v>
      </c>
      <c r="K7" s="207">
        <v>0.45</v>
      </c>
      <c r="L7" s="207">
        <v>0.55000000000000004</v>
      </c>
      <c r="M7" s="207">
        <v>0.55000000000000004</v>
      </c>
      <c r="N7" s="108">
        <v>0.55000000000000004</v>
      </c>
      <c r="O7" s="108">
        <v>0.55000000000000004</v>
      </c>
      <c r="P7" s="108">
        <v>0.55000000000000004</v>
      </c>
      <c r="Q7" s="108">
        <v>0.55000000000000004</v>
      </c>
      <c r="R7" s="108">
        <v>0.55000000000000004</v>
      </c>
      <c r="S7" s="108">
        <v>0.55000000000000004</v>
      </c>
      <c r="T7" s="108">
        <v>0.55000000000000004</v>
      </c>
      <c r="U7" s="108">
        <v>0.55000000000000004</v>
      </c>
      <c r="V7" s="207">
        <v>0.3</v>
      </c>
      <c r="W7" s="207">
        <v>0.05</v>
      </c>
      <c r="X7" s="108">
        <v>0.05</v>
      </c>
      <c r="Y7" s="108">
        <v>0.05</v>
      </c>
      <c r="Z7" s="108">
        <v>0.05</v>
      </c>
      <c r="AA7" s="108">
        <v>0.05</v>
      </c>
      <c r="AB7" s="108">
        <v>0.05</v>
      </c>
      <c r="AC7" s="109">
        <v>0.05</v>
      </c>
      <c r="AD7" s="43"/>
      <c r="AE7" s="43"/>
      <c r="AF7" s="43"/>
      <c r="AG7" s="43"/>
      <c r="AH7" s="43"/>
      <c r="AI7" s="43"/>
      <c r="AJ7" s="43"/>
      <c r="AK7" s="43"/>
    </row>
    <row r="8" spans="1:39" ht="37.950000000000003" customHeight="1" x14ac:dyDescent="0.3">
      <c r="A8" s="715"/>
      <c r="B8" s="718"/>
      <c r="C8" s="700"/>
      <c r="D8" s="697"/>
      <c r="E8" s="110" t="s">
        <v>501</v>
      </c>
      <c r="F8" s="366">
        <f>F7</f>
        <v>0.05</v>
      </c>
      <c r="G8" s="366">
        <f t="shared" ref="G8:AB8" si="1">G7</f>
        <v>0.05</v>
      </c>
      <c r="H8" s="366">
        <f t="shared" si="1"/>
        <v>0.05</v>
      </c>
      <c r="I8" s="366">
        <f t="shared" si="1"/>
        <v>0.05</v>
      </c>
      <c r="J8" s="366">
        <f t="shared" si="1"/>
        <v>0.05</v>
      </c>
      <c r="K8" s="366">
        <f t="shared" si="1"/>
        <v>0.45</v>
      </c>
      <c r="L8" s="366">
        <f t="shared" si="1"/>
        <v>0.55000000000000004</v>
      </c>
      <c r="M8" s="366">
        <f t="shared" si="1"/>
        <v>0.55000000000000004</v>
      </c>
      <c r="N8" s="366">
        <f t="shared" si="1"/>
        <v>0.55000000000000004</v>
      </c>
      <c r="O8" s="366">
        <f t="shared" si="1"/>
        <v>0.55000000000000004</v>
      </c>
      <c r="P8" s="366">
        <f t="shared" si="1"/>
        <v>0.55000000000000004</v>
      </c>
      <c r="Q8" s="366">
        <f t="shared" si="1"/>
        <v>0.55000000000000004</v>
      </c>
      <c r="R8" s="366">
        <f t="shared" si="1"/>
        <v>0.55000000000000004</v>
      </c>
      <c r="S8" s="366">
        <f t="shared" si="1"/>
        <v>0.55000000000000004</v>
      </c>
      <c r="T8" s="366">
        <f t="shared" si="1"/>
        <v>0.55000000000000004</v>
      </c>
      <c r="U8" s="366">
        <f t="shared" si="1"/>
        <v>0.55000000000000004</v>
      </c>
      <c r="V8" s="366">
        <f t="shared" si="1"/>
        <v>0.3</v>
      </c>
      <c r="W8" s="366">
        <f t="shared" si="1"/>
        <v>0.05</v>
      </c>
      <c r="X8" s="366">
        <f t="shared" si="1"/>
        <v>0.05</v>
      </c>
      <c r="Y8" s="366">
        <f t="shared" si="1"/>
        <v>0.05</v>
      </c>
      <c r="Z8" s="366">
        <f t="shared" si="1"/>
        <v>0.05</v>
      </c>
      <c r="AA8" s="366">
        <f t="shared" si="1"/>
        <v>0.05</v>
      </c>
      <c r="AB8" s="366">
        <f t="shared" si="1"/>
        <v>0.05</v>
      </c>
      <c r="AC8" s="367">
        <f>AC7</f>
        <v>0.05</v>
      </c>
      <c r="AD8" s="43"/>
      <c r="AE8" s="43"/>
      <c r="AF8" s="43"/>
      <c r="AG8" s="43"/>
      <c r="AH8" s="43"/>
      <c r="AI8" s="43"/>
      <c r="AJ8" s="43"/>
      <c r="AK8" s="43"/>
    </row>
    <row r="9" spans="1:39" ht="37.950000000000003" customHeight="1" thickBot="1" x14ac:dyDescent="0.35">
      <c r="A9" s="754"/>
      <c r="B9" s="744"/>
      <c r="C9" s="745"/>
      <c r="D9" s="698"/>
      <c r="E9" s="113" t="s">
        <v>502</v>
      </c>
      <c r="F9" s="114">
        <v>0.05</v>
      </c>
      <c r="G9" s="114">
        <v>0.05</v>
      </c>
      <c r="H9" s="114">
        <v>0.05</v>
      </c>
      <c r="I9" s="114">
        <v>0.05</v>
      </c>
      <c r="J9" s="114">
        <v>0.05</v>
      </c>
      <c r="K9" s="114">
        <v>0.05</v>
      </c>
      <c r="L9" s="114">
        <v>0.05</v>
      </c>
      <c r="M9" s="114">
        <v>0.05</v>
      </c>
      <c r="N9" s="114">
        <v>0.05</v>
      </c>
      <c r="O9" s="114">
        <v>0.05</v>
      </c>
      <c r="P9" s="114">
        <v>0.05</v>
      </c>
      <c r="Q9" s="114">
        <v>0.05</v>
      </c>
      <c r="R9" s="114">
        <v>0.05</v>
      </c>
      <c r="S9" s="114">
        <v>0.05</v>
      </c>
      <c r="T9" s="114">
        <v>0.05</v>
      </c>
      <c r="U9" s="114">
        <v>0.05</v>
      </c>
      <c r="V9" s="114">
        <v>0.05</v>
      </c>
      <c r="W9" s="114">
        <v>0.05</v>
      </c>
      <c r="X9" s="114">
        <v>0.05</v>
      </c>
      <c r="Y9" s="114">
        <v>0.05</v>
      </c>
      <c r="Z9" s="114">
        <v>0.05</v>
      </c>
      <c r="AA9" s="114">
        <v>0.05</v>
      </c>
      <c r="AB9" s="114">
        <v>0.05</v>
      </c>
      <c r="AC9" s="115">
        <v>0.05</v>
      </c>
      <c r="AD9" s="43"/>
      <c r="AE9" s="43"/>
      <c r="AF9" s="43"/>
      <c r="AG9" s="43"/>
      <c r="AH9" s="43"/>
      <c r="AI9" s="43"/>
      <c r="AJ9" s="43"/>
      <c r="AK9" s="43"/>
    </row>
    <row r="10" spans="1:39" ht="38.700000000000003" customHeight="1" x14ac:dyDescent="0.3">
      <c r="A10" s="714" t="str">
        <f>A4</f>
        <v>Fine storage</v>
      </c>
      <c r="B10" s="717" t="str">
        <f>B4</f>
        <v>FineStorage</v>
      </c>
      <c r="C10" s="720" t="s">
        <v>505</v>
      </c>
      <c r="D10" s="746" t="s">
        <v>506</v>
      </c>
      <c r="E10" s="136" t="s">
        <v>500</v>
      </c>
      <c r="F10" s="212">
        <v>0.05</v>
      </c>
      <c r="G10" s="212">
        <v>0.05</v>
      </c>
      <c r="H10" s="212">
        <v>0.05</v>
      </c>
      <c r="I10" s="212">
        <v>0.05</v>
      </c>
      <c r="J10" s="212">
        <v>0.05</v>
      </c>
      <c r="K10" s="212">
        <v>0.5</v>
      </c>
      <c r="L10" s="212">
        <v>0.9</v>
      </c>
      <c r="M10" s="212">
        <v>0.9</v>
      </c>
      <c r="N10" s="212">
        <v>0.9</v>
      </c>
      <c r="O10" s="212">
        <v>0.9</v>
      </c>
      <c r="P10" s="212">
        <v>0.9</v>
      </c>
      <c r="Q10" s="212">
        <v>0.9</v>
      </c>
      <c r="R10" s="212">
        <v>0.9</v>
      </c>
      <c r="S10" s="212">
        <v>0.9</v>
      </c>
      <c r="T10" s="212">
        <v>0.9</v>
      </c>
      <c r="U10" s="212">
        <v>0.65</v>
      </c>
      <c r="V10" s="212">
        <v>0.25</v>
      </c>
      <c r="W10" s="212">
        <v>0.05</v>
      </c>
      <c r="X10" s="212">
        <v>0.05</v>
      </c>
      <c r="Y10" s="212">
        <v>0.05</v>
      </c>
      <c r="Z10" s="212">
        <v>0.05</v>
      </c>
      <c r="AA10" s="212">
        <v>0.05</v>
      </c>
      <c r="AB10" s="212">
        <v>0.05</v>
      </c>
      <c r="AC10" s="211">
        <v>0.05</v>
      </c>
      <c r="AD10" s="43"/>
      <c r="AE10" s="43"/>
      <c r="AF10" s="43"/>
      <c r="AG10" s="43"/>
      <c r="AH10" s="43"/>
      <c r="AI10" s="43"/>
      <c r="AJ10" s="43"/>
      <c r="AK10" s="43"/>
      <c r="AM10" s="52"/>
    </row>
    <row r="11" spans="1:39" ht="38.700000000000003" customHeight="1" x14ac:dyDescent="0.3">
      <c r="A11" s="715"/>
      <c r="B11" s="718"/>
      <c r="C11" s="721"/>
      <c r="D11" s="747"/>
      <c r="E11" s="110" t="s">
        <v>501</v>
      </c>
      <c r="F11" s="366">
        <f>F10</f>
        <v>0.05</v>
      </c>
      <c r="G11" s="366">
        <f t="shared" ref="G11:AB11" si="2">G10</f>
        <v>0.05</v>
      </c>
      <c r="H11" s="366">
        <f t="shared" si="2"/>
        <v>0.05</v>
      </c>
      <c r="I11" s="366">
        <f t="shared" si="2"/>
        <v>0.05</v>
      </c>
      <c r="J11" s="366">
        <f t="shared" si="2"/>
        <v>0.05</v>
      </c>
      <c r="K11" s="366">
        <f t="shared" si="2"/>
        <v>0.5</v>
      </c>
      <c r="L11" s="366">
        <f t="shared" si="2"/>
        <v>0.9</v>
      </c>
      <c r="M11" s="366">
        <f t="shared" si="2"/>
        <v>0.9</v>
      </c>
      <c r="N11" s="366">
        <f t="shared" si="2"/>
        <v>0.9</v>
      </c>
      <c r="O11" s="366">
        <f t="shared" si="2"/>
        <v>0.9</v>
      </c>
      <c r="P11" s="366">
        <f t="shared" si="2"/>
        <v>0.9</v>
      </c>
      <c r="Q11" s="366">
        <f t="shared" si="2"/>
        <v>0.9</v>
      </c>
      <c r="R11" s="366">
        <f t="shared" si="2"/>
        <v>0.9</v>
      </c>
      <c r="S11" s="366">
        <f t="shared" si="2"/>
        <v>0.9</v>
      </c>
      <c r="T11" s="366">
        <f t="shared" si="2"/>
        <v>0.9</v>
      </c>
      <c r="U11" s="366">
        <f t="shared" si="2"/>
        <v>0.65</v>
      </c>
      <c r="V11" s="366">
        <f t="shared" si="2"/>
        <v>0.25</v>
      </c>
      <c r="W11" s="366">
        <f t="shared" si="2"/>
        <v>0.05</v>
      </c>
      <c r="X11" s="366">
        <f t="shared" si="2"/>
        <v>0.05</v>
      </c>
      <c r="Y11" s="366">
        <f t="shared" si="2"/>
        <v>0.05</v>
      </c>
      <c r="Z11" s="366">
        <f t="shared" si="2"/>
        <v>0.05</v>
      </c>
      <c r="AA11" s="366">
        <f t="shared" si="2"/>
        <v>0.05</v>
      </c>
      <c r="AB11" s="366">
        <f t="shared" si="2"/>
        <v>0.05</v>
      </c>
      <c r="AC11" s="368">
        <f>AC10</f>
        <v>0.05</v>
      </c>
      <c r="AD11" s="43"/>
      <c r="AE11" s="43"/>
      <c r="AF11" s="43"/>
      <c r="AG11" s="43"/>
      <c r="AH11" s="43"/>
      <c r="AI11" s="43"/>
      <c r="AJ11" s="43"/>
      <c r="AK11" s="43"/>
      <c r="AM11" s="52"/>
    </row>
    <row r="12" spans="1:39" ht="38.700000000000003" customHeight="1" thickBot="1" x14ac:dyDescent="0.35">
      <c r="A12" s="716"/>
      <c r="B12" s="719"/>
      <c r="C12" s="722"/>
      <c r="D12" s="748"/>
      <c r="E12" s="137" t="s">
        <v>502</v>
      </c>
      <c r="F12" s="138">
        <v>0.05</v>
      </c>
      <c r="G12" s="138">
        <v>0.05</v>
      </c>
      <c r="H12" s="138">
        <v>0.05</v>
      </c>
      <c r="I12" s="138">
        <v>0.05</v>
      </c>
      <c r="J12" s="138">
        <v>0.05</v>
      </c>
      <c r="K12" s="138">
        <v>0.05</v>
      </c>
      <c r="L12" s="138">
        <v>0.05</v>
      </c>
      <c r="M12" s="138">
        <v>0.05</v>
      </c>
      <c r="N12" s="138">
        <v>0.05</v>
      </c>
      <c r="O12" s="138">
        <v>0.05</v>
      </c>
      <c r="P12" s="138">
        <v>0.05</v>
      </c>
      <c r="Q12" s="138">
        <v>0.05</v>
      </c>
      <c r="R12" s="138">
        <v>0.05</v>
      </c>
      <c r="S12" s="138">
        <v>0.05</v>
      </c>
      <c r="T12" s="138">
        <v>0.05</v>
      </c>
      <c r="U12" s="138">
        <v>0.05</v>
      </c>
      <c r="V12" s="138">
        <v>0.05</v>
      </c>
      <c r="W12" s="138">
        <v>0.05</v>
      </c>
      <c r="X12" s="138">
        <v>0.05</v>
      </c>
      <c r="Y12" s="138">
        <v>0.05</v>
      </c>
      <c r="Z12" s="138">
        <v>0.05</v>
      </c>
      <c r="AA12" s="138">
        <v>0.05</v>
      </c>
      <c r="AB12" s="138">
        <v>0.05</v>
      </c>
      <c r="AC12" s="139">
        <v>0.05</v>
      </c>
      <c r="AD12" s="43"/>
      <c r="AE12" s="43"/>
      <c r="AF12" s="43"/>
      <c r="AG12" s="43"/>
      <c r="AH12" s="43"/>
      <c r="AI12" s="43"/>
      <c r="AJ12" s="43"/>
      <c r="AK12" s="43"/>
      <c r="AM12" s="52"/>
    </row>
    <row r="13" spans="1:39" ht="38.4" customHeight="1" x14ac:dyDescent="0.3">
      <c r="A13" s="714" t="str">
        <f>A4</f>
        <v>Fine storage</v>
      </c>
      <c r="B13" s="726" t="str">
        <f>B4</f>
        <v>FineStorage</v>
      </c>
      <c r="C13" s="726" t="s">
        <v>507</v>
      </c>
      <c r="D13" s="696" t="s">
        <v>508</v>
      </c>
      <c r="E13" s="119" t="s">
        <v>500</v>
      </c>
      <c r="F13" s="120">
        <v>0</v>
      </c>
      <c r="G13" s="120">
        <v>0</v>
      </c>
      <c r="H13" s="120">
        <v>0</v>
      </c>
      <c r="I13" s="120">
        <v>0</v>
      </c>
      <c r="J13" s="205">
        <v>1</v>
      </c>
      <c r="K13" s="205">
        <v>1</v>
      </c>
      <c r="L13" s="120">
        <v>1</v>
      </c>
      <c r="M13" s="120">
        <v>1</v>
      </c>
      <c r="N13" s="120">
        <v>1</v>
      </c>
      <c r="O13" s="120">
        <v>1</v>
      </c>
      <c r="P13" s="120">
        <v>1</v>
      </c>
      <c r="Q13" s="120">
        <v>1</v>
      </c>
      <c r="R13" s="120">
        <v>1</v>
      </c>
      <c r="S13" s="120">
        <v>1</v>
      </c>
      <c r="T13" s="120">
        <v>1</v>
      </c>
      <c r="U13" s="120">
        <v>1</v>
      </c>
      <c r="V13" s="205">
        <v>0</v>
      </c>
      <c r="W13" s="120">
        <v>0</v>
      </c>
      <c r="X13" s="120">
        <v>0</v>
      </c>
      <c r="Y13" s="120">
        <v>0</v>
      </c>
      <c r="Z13" s="120">
        <v>0</v>
      </c>
      <c r="AA13" s="120">
        <v>0</v>
      </c>
      <c r="AB13" s="120">
        <v>0</v>
      </c>
      <c r="AC13" s="121">
        <v>0</v>
      </c>
      <c r="AD13" s="43"/>
      <c r="AE13" s="43"/>
      <c r="AF13" s="43"/>
      <c r="AG13" s="43"/>
      <c r="AH13" s="43"/>
      <c r="AI13" s="43"/>
      <c r="AJ13" s="43"/>
      <c r="AK13" s="43"/>
      <c r="AM13" s="52"/>
    </row>
    <row r="14" spans="1:39" ht="38.700000000000003" customHeight="1" x14ac:dyDescent="0.3">
      <c r="A14" s="715"/>
      <c r="B14" s="700"/>
      <c r="C14" s="700"/>
      <c r="D14" s="697"/>
      <c r="E14" s="110" t="s">
        <v>501</v>
      </c>
      <c r="F14" s="366">
        <f>F13</f>
        <v>0</v>
      </c>
      <c r="G14" s="366">
        <f t="shared" ref="G14:AB14" si="3">G13</f>
        <v>0</v>
      </c>
      <c r="H14" s="366">
        <f t="shared" si="3"/>
        <v>0</v>
      </c>
      <c r="I14" s="366">
        <f t="shared" si="3"/>
        <v>0</v>
      </c>
      <c r="J14" s="366">
        <f t="shared" si="3"/>
        <v>1</v>
      </c>
      <c r="K14" s="366">
        <f t="shared" si="3"/>
        <v>1</v>
      </c>
      <c r="L14" s="366">
        <f t="shared" si="3"/>
        <v>1</v>
      </c>
      <c r="M14" s="366">
        <f t="shared" si="3"/>
        <v>1</v>
      </c>
      <c r="N14" s="366">
        <f t="shared" si="3"/>
        <v>1</v>
      </c>
      <c r="O14" s="366">
        <f t="shared" si="3"/>
        <v>1</v>
      </c>
      <c r="P14" s="366">
        <f t="shared" si="3"/>
        <v>1</v>
      </c>
      <c r="Q14" s="366">
        <f t="shared" si="3"/>
        <v>1</v>
      </c>
      <c r="R14" s="366">
        <f t="shared" si="3"/>
        <v>1</v>
      </c>
      <c r="S14" s="366">
        <f t="shared" si="3"/>
        <v>1</v>
      </c>
      <c r="T14" s="366">
        <f t="shared" si="3"/>
        <v>1</v>
      </c>
      <c r="U14" s="366">
        <f t="shared" si="3"/>
        <v>1</v>
      </c>
      <c r="V14" s="366">
        <f t="shared" si="3"/>
        <v>0</v>
      </c>
      <c r="W14" s="366">
        <f t="shared" si="3"/>
        <v>0</v>
      </c>
      <c r="X14" s="366">
        <f t="shared" si="3"/>
        <v>0</v>
      </c>
      <c r="Y14" s="366">
        <f t="shared" si="3"/>
        <v>0</v>
      </c>
      <c r="Z14" s="366">
        <f t="shared" si="3"/>
        <v>0</v>
      </c>
      <c r="AA14" s="366">
        <f t="shared" si="3"/>
        <v>0</v>
      </c>
      <c r="AB14" s="366">
        <f t="shared" si="3"/>
        <v>0</v>
      </c>
      <c r="AC14" s="367">
        <f>AC13</f>
        <v>0</v>
      </c>
      <c r="AD14" s="43"/>
      <c r="AE14" s="43"/>
      <c r="AF14" s="43"/>
      <c r="AG14" s="43"/>
      <c r="AH14" s="43"/>
      <c r="AI14" s="43"/>
      <c r="AJ14" s="43"/>
      <c r="AK14" s="43"/>
      <c r="AM14" s="52"/>
    </row>
    <row r="15" spans="1:39" ht="38.4" customHeight="1" thickBot="1" x14ac:dyDescent="0.35">
      <c r="A15" s="716"/>
      <c r="B15" s="701"/>
      <c r="C15" s="701"/>
      <c r="D15" s="698"/>
      <c r="E15" s="116" t="s">
        <v>502</v>
      </c>
      <c r="F15" s="117">
        <v>0</v>
      </c>
      <c r="G15" s="117">
        <v>0</v>
      </c>
      <c r="H15" s="117">
        <v>0</v>
      </c>
      <c r="I15" s="117">
        <v>0</v>
      </c>
      <c r="J15" s="117">
        <v>0</v>
      </c>
      <c r="K15" s="117">
        <v>0</v>
      </c>
      <c r="L15" s="117">
        <v>0</v>
      </c>
      <c r="M15" s="117">
        <v>0</v>
      </c>
      <c r="N15" s="117">
        <v>0</v>
      </c>
      <c r="O15" s="117">
        <v>0</v>
      </c>
      <c r="P15" s="117">
        <v>0</v>
      </c>
      <c r="Q15" s="117">
        <v>0</v>
      </c>
      <c r="R15" s="117">
        <v>0</v>
      </c>
      <c r="S15" s="117">
        <v>0</v>
      </c>
      <c r="T15" s="117">
        <v>0</v>
      </c>
      <c r="U15" s="117">
        <v>0</v>
      </c>
      <c r="V15" s="117">
        <v>0</v>
      </c>
      <c r="W15" s="117">
        <v>0</v>
      </c>
      <c r="X15" s="117">
        <v>0</v>
      </c>
      <c r="Y15" s="117">
        <v>0</v>
      </c>
      <c r="Z15" s="117">
        <v>0</v>
      </c>
      <c r="AA15" s="117">
        <v>0</v>
      </c>
      <c r="AB15" s="117">
        <v>0</v>
      </c>
      <c r="AC15" s="118">
        <v>0</v>
      </c>
      <c r="AD15" s="43"/>
      <c r="AE15" s="43"/>
      <c r="AF15" s="43"/>
      <c r="AG15" s="43"/>
      <c r="AH15" s="43"/>
      <c r="AI15" s="43"/>
      <c r="AJ15" s="43"/>
      <c r="AK15" s="43"/>
      <c r="AM15" s="52"/>
    </row>
    <row r="16" spans="1:39" ht="38.700000000000003" customHeight="1" x14ac:dyDescent="0.3">
      <c r="A16" s="714" t="str">
        <f>A4</f>
        <v>Fine storage</v>
      </c>
      <c r="B16" s="726" t="str">
        <f>B4</f>
        <v>FineStorage</v>
      </c>
      <c r="C16" s="726" t="s">
        <v>509</v>
      </c>
      <c r="D16" s="696" t="s">
        <v>504</v>
      </c>
      <c r="E16" s="119" t="s">
        <v>500</v>
      </c>
      <c r="F16" s="120">
        <v>0.02</v>
      </c>
      <c r="G16" s="120">
        <v>0.02</v>
      </c>
      <c r="H16" s="120">
        <v>0.02</v>
      </c>
      <c r="I16" s="205">
        <v>0.05</v>
      </c>
      <c r="J16" s="205">
        <v>7.0000000000000007E-2</v>
      </c>
      <c r="K16" s="205">
        <v>0.1</v>
      </c>
      <c r="L16" s="205">
        <v>0.3</v>
      </c>
      <c r="M16" s="205">
        <v>0.36</v>
      </c>
      <c r="N16" s="205">
        <v>0.36</v>
      </c>
      <c r="O16" s="120">
        <v>0.36</v>
      </c>
      <c r="P16" s="120">
        <v>0.36</v>
      </c>
      <c r="Q16" s="120">
        <v>0.46</v>
      </c>
      <c r="R16" s="120">
        <v>0.56999999999999995</v>
      </c>
      <c r="S16" s="120">
        <v>0.43</v>
      </c>
      <c r="T16" s="205">
        <v>0.4</v>
      </c>
      <c r="U16" s="205">
        <v>0.3</v>
      </c>
      <c r="V16" s="205">
        <v>0.18</v>
      </c>
      <c r="W16" s="120">
        <v>0.18</v>
      </c>
      <c r="X16" s="120">
        <v>0.03</v>
      </c>
      <c r="Y16" s="120">
        <v>0.03</v>
      </c>
      <c r="Z16" s="120">
        <v>0.03</v>
      </c>
      <c r="AA16" s="120">
        <v>0.03</v>
      </c>
      <c r="AB16" s="120">
        <v>0.03</v>
      </c>
      <c r="AC16" s="121">
        <v>0.03</v>
      </c>
      <c r="AD16" s="43"/>
      <c r="AE16" s="43"/>
      <c r="AF16" s="43"/>
      <c r="AG16" s="43"/>
      <c r="AH16" s="43"/>
      <c r="AI16" s="43"/>
      <c r="AJ16" s="43"/>
      <c r="AK16" s="43"/>
      <c r="AM16" s="52"/>
    </row>
    <row r="17" spans="1:39" ht="38.700000000000003" customHeight="1" x14ac:dyDescent="0.3">
      <c r="A17" s="715"/>
      <c r="B17" s="700"/>
      <c r="C17" s="700"/>
      <c r="D17" s="697"/>
      <c r="E17" s="110" t="s">
        <v>501</v>
      </c>
      <c r="F17" s="366">
        <f>F16</f>
        <v>0.02</v>
      </c>
      <c r="G17" s="366">
        <f t="shared" ref="G17:AB17" si="4">G16</f>
        <v>0.02</v>
      </c>
      <c r="H17" s="366">
        <f t="shared" si="4"/>
        <v>0.02</v>
      </c>
      <c r="I17" s="366">
        <f t="shared" si="4"/>
        <v>0.05</v>
      </c>
      <c r="J17" s="366">
        <f t="shared" si="4"/>
        <v>7.0000000000000007E-2</v>
      </c>
      <c r="K17" s="366">
        <f t="shared" si="4"/>
        <v>0.1</v>
      </c>
      <c r="L17" s="366">
        <f t="shared" si="4"/>
        <v>0.3</v>
      </c>
      <c r="M17" s="366">
        <f t="shared" si="4"/>
        <v>0.36</v>
      </c>
      <c r="N17" s="366">
        <f t="shared" si="4"/>
        <v>0.36</v>
      </c>
      <c r="O17" s="366">
        <f t="shared" si="4"/>
        <v>0.36</v>
      </c>
      <c r="P17" s="366">
        <f t="shared" si="4"/>
        <v>0.36</v>
      </c>
      <c r="Q17" s="366">
        <f t="shared" si="4"/>
        <v>0.46</v>
      </c>
      <c r="R17" s="366">
        <f t="shared" si="4"/>
        <v>0.56999999999999995</v>
      </c>
      <c r="S17" s="366">
        <f t="shared" si="4"/>
        <v>0.43</v>
      </c>
      <c r="T17" s="366">
        <f t="shared" si="4"/>
        <v>0.4</v>
      </c>
      <c r="U17" s="366">
        <f t="shared" si="4"/>
        <v>0.3</v>
      </c>
      <c r="V17" s="366">
        <f t="shared" si="4"/>
        <v>0.18</v>
      </c>
      <c r="W17" s="366">
        <f t="shared" si="4"/>
        <v>0.18</v>
      </c>
      <c r="X17" s="366">
        <f t="shared" si="4"/>
        <v>0.03</v>
      </c>
      <c r="Y17" s="366">
        <f t="shared" si="4"/>
        <v>0.03</v>
      </c>
      <c r="Z17" s="366">
        <f t="shared" si="4"/>
        <v>0.03</v>
      </c>
      <c r="AA17" s="366">
        <f t="shared" si="4"/>
        <v>0.03</v>
      </c>
      <c r="AB17" s="366">
        <f t="shared" si="4"/>
        <v>0.03</v>
      </c>
      <c r="AC17" s="367">
        <f>AC16</f>
        <v>0.03</v>
      </c>
      <c r="AD17" s="43"/>
      <c r="AE17" s="43"/>
      <c r="AF17" s="43"/>
      <c r="AG17" s="43"/>
      <c r="AH17" s="43"/>
      <c r="AI17" s="43"/>
      <c r="AJ17" s="43"/>
      <c r="AK17" s="43"/>
      <c r="AM17" s="52"/>
    </row>
    <row r="18" spans="1:39" ht="38.700000000000003" customHeight="1" thickBot="1" x14ac:dyDescent="0.35">
      <c r="A18" s="716"/>
      <c r="B18" s="745"/>
      <c r="C18" s="745"/>
      <c r="D18" s="698"/>
      <c r="E18" s="113" t="s">
        <v>502</v>
      </c>
      <c r="F18" s="114">
        <v>0.02</v>
      </c>
      <c r="G18" s="114">
        <v>0.02</v>
      </c>
      <c r="H18" s="114">
        <v>0.02</v>
      </c>
      <c r="I18" s="114">
        <v>0.02</v>
      </c>
      <c r="J18" s="114">
        <v>0.02</v>
      </c>
      <c r="K18" s="114">
        <v>0.02</v>
      </c>
      <c r="L18" s="114">
        <v>0.02</v>
      </c>
      <c r="M18" s="114">
        <v>0.02</v>
      </c>
      <c r="N18" s="114">
        <v>0.02</v>
      </c>
      <c r="O18" s="114">
        <v>0.02</v>
      </c>
      <c r="P18" s="114">
        <v>0.02</v>
      </c>
      <c r="Q18" s="114">
        <v>0.02</v>
      </c>
      <c r="R18" s="114">
        <v>0.04</v>
      </c>
      <c r="S18" s="114">
        <v>0.04</v>
      </c>
      <c r="T18" s="114">
        <v>0.02</v>
      </c>
      <c r="U18" s="114">
        <v>0.02</v>
      </c>
      <c r="V18" s="114">
        <v>0.02</v>
      </c>
      <c r="W18" s="114">
        <v>0.02</v>
      </c>
      <c r="X18" s="114">
        <v>0.02</v>
      </c>
      <c r="Y18" s="114">
        <v>0.02</v>
      </c>
      <c r="Z18" s="114">
        <v>0.02</v>
      </c>
      <c r="AA18" s="114">
        <v>0.02</v>
      </c>
      <c r="AB18" s="114">
        <v>0.02</v>
      </c>
      <c r="AC18" s="115">
        <v>0.02</v>
      </c>
      <c r="AD18" s="43"/>
      <c r="AE18" s="43"/>
      <c r="AF18" s="43"/>
      <c r="AG18" s="43"/>
      <c r="AH18" s="43"/>
      <c r="AI18" s="43"/>
      <c r="AJ18" s="43"/>
      <c r="AK18" s="43"/>
      <c r="AM18" s="52"/>
    </row>
    <row r="19" spans="1:39" ht="38.700000000000003" customHeight="1" x14ac:dyDescent="0.3">
      <c r="A19" s="714" t="str">
        <f>A4</f>
        <v>Fine storage</v>
      </c>
      <c r="B19" s="699" t="str">
        <f>B4</f>
        <v>FineStorage</v>
      </c>
      <c r="C19" s="699" t="s">
        <v>245</v>
      </c>
      <c r="D19" s="696"/>
      <c r="E19" s="107" t="s">
        <v>500</v>
      </c>
      <c r="F19" s="108">
        <v>1</v>
      </c>
      <c r="G19" s="108">
        <v>1</v>
      </c>
      <c r="H19" s="108">
        <v>1</v>
      </c>
      <c r="I19" s="108">
        <v>1</v>
      </c>
      <c r="J19" s="108">
        <v>1</v>
      </c>
      <c r="K19" s="108">
        <v>1</v>
      </c>
      <c r="L19" s="108">
        <v>1</v>
      </c>
      <c r="M19" s="108">
        <v>1</v>
      </c>
      <c r="N19" s="108">
        <v>1</v>
      </c>
      <c r="O19" s="108">
        <v>1</v>
      </c>
      <c r="P19" s="108">
        <v>1</v>
      </c>
      <c r="Q19" s="108">
        <v>1</v>
      </c>
      <c r="R19" s="108">
        <v>1</v>
      </c>
      <c r="S19" s="108">
        <v>1</v>
      </c>
      <c r="T19" s="108">
        <v>1</v>
      </c>
      <c r="U19" s="108">
        <v>1</v>
      </c>
      <c r="V19" s="108">
        <v>1</v>
      </c>
      <c r="W19" s="108">
        <v>1</v>
      </c>
      <c r="X19" s="108">
        <v>1</v>
      </c>
      <c r="Y19" s="108">
        <v>1</v>
      </c>
      <c r="Z19" s="108">
        <v>1</v>
      </c>
      <c r="AA19" s="108">
        <v>1</v>
      </c>
      <c r="AB19" s="108">
        <v>1</v>
      </c>
      <c r="AC19" s="109">
        <v>1</v>
      </c>
      <c r="AD19" s="43"/>
      <c r="AE19" s="43"/>
      <c r="AF19" s="43"/>
      <c r="AG19" s="43"/>
      <c r="AH19" s="43"/>
      <c r="AI19" s="43"/>
      <c r="AJ19" s="43"/>
      <c r="AK19" s="43"/>
      <c r="AM19" s="52"/>
    </row>
    <row r="20" spans="1:39" ht="38.700000000000003" customHeight="1" x14ac:dyDescent="0.3">
      <c r="A20" s="715"/>
      <c r="B20" s="700"/>
      <c r="C20" s="700"/>
      <c r="D20" s="697"/>
      <c r="E20" s="110" t="s">
        <v>501</v>
      </c>
      <c r="F20" s="111">
        <v>1</v>
      </c>
      <c r="G20" s="111">
        <v>1</v>
      </c>
      <c r="H20" s="111">
        <v>1</v>
      </c>
      <c r="I20" s="111">
        <v>1</v>
      </c>
      <c r="J20" s="111">
        <v>1</v>
      </c>
      <c r="K20" s="111">
        <v>1</v>
      </c>
      <c r="L20" s="111">
        <v>1</v>
      </c>
      <c r="M20" s="111">
        <v>1</v>
      </c>
      <c r="N20" s="111">
        <v>1</v>
      </c>
      <c r="O20" s="111">
        <v>1</v>
      </c>
      <c r="P20" s="111">
        <v>1</v>
      </c>
      <c r="Q20" s="111">
        <v>1</v>
      </c>
      <c r="R20" s="111">
        <v>1</v>
      </c>
      <c r="S20" s="111">
        <v>1</v>
      </c>
      <c r="T20" s="111">
        <v>1</v>
      </c>
      <c r="U20" s="111">
        <v>1</v>
      </c>
      <c r="V20" s="111">
        <v>1</v>
      </c>
      <c r="W20" s="111">
        <v>1</v>
      </c>
      <c r="X20" s="111">
        <v>1</v>
      </c>
      <c r="Y20" s="111">
        <v>1</v>
      </c>
      <c r="Z20" s="111">
        <v>1</v>
      </c>
      <c r="AA20" s="111">
        <v>1</v>
      </c>
      <c r="AB20" s="111">
        <v>1</v>
      </c>
      <c r="AC20" s="112">
        <v>1</v>
      </c>
      <c r="AD20" s="43"/>
      <c r="AE20" s="43"/>
      <c r="AF20" s="43"/>
      <c r="AG20" s="43"/>
      <c r="AH20" s="43"/>
      <c r="AI20" s="43"/>
      <c r="AJ20" s="43"/>
      <c r="AK20" s="43"/>
      <c r="AM20" s="52"/>
    </row>
    <row r="21" spans="1:39" ht="38.700000000000003" customHeight="1" thickBot="1" x14ac:dyDescent="0.35">
      <c r="A21" s="716"/>
      <c r="B21" s="701"/>
      <c r="C21" s="701"/>
      <c r="D21" s="698"/>
      <c r="E21" s="116" t="s">
        <v>502</v>
      </c>
      <c r="F21" s="117">
        <v>1</v>
      </c>
      <c r="G21" s="117">
        <v>1</v>
      </c>
      <c r="H21" s="117">
        <v>1</v>
      </c>
      <c r="I21" s="117">
        <v>1</v>
      </c>
      <c r="J21" s="117">
        <v>1</v>
      </c>
      <c r="K21" s="117">
        <v>1</v>
      </c>
      <c r="L21" s="117">
        <v>1</v>
      </c>
      <c r="M21" s="117">
        <v>1</v>
      </c>
      <c r="N21" s="117">
        <v>1</v>
      </c>
      <c r="O21" s="117">
        <v>1</v>
      </c>
      <c r="P21" s="117">
        <v>1</v>
      </c>
      <c r="Q21" s="117">
        <v>1</v>
      </c>
      <c r="R21" s="117">
        <v>1</v>
      </c>
      <c r="S21" s="117">
        <v>1</v>
      </c>
      <c r="T21" s="117">
        <v>1</v>
      </c>
      <c r="U21" s="117">
        <v>1</v>
      </c>
      <c r="V21" s="117">
        <v>1</v>
      </c>
      <c r="W21" s="117">
        <v>1</v>
      </c>
      <c r="X21" s="117">
        <v>1</v>
      </c>
      <c r="Y21" s="117">
        <v>1</v>
      </c>
      <c r="Z21" s="117">
        <v>1</v>
      </c>
      <c r="AA21" s="117">
        <v>1</v>
      </c>
      <c r="AB21" s="117">
        <v>1</v>
      </c>
      <c r="AC21" s="118">
        <v>1</v>
      </c>
      <c r="AD21" s="43"/>
      <c r="AE21" s="43"/>
      <c r="AF21" s="43"/>
      <c r="AG21" s="43"/>
      <c r="AH21" s="43"/>
      <c r="AI21" s="43"/>
      <c r="AJ21" s="43"/>
      <c r="AK21" s="43"/>
      <c r="AM21" s="52"/>
    </row>
    <row r="22" spans="1:39" ht="38.700000000000003" customHeight="1" x14ac:dyDescent="0.3">
      <c r="A22" s="714" t="str">
        <f>A4</f>
        <v>Fine storage</v>
      </c>
      <c r="B22" s="726" t="str">
        <f>B4</f>
        <v>FineStorage</v>
      </c>
      <c r="C22" s="729" t="s">
        <v>510</v>
      </c>
      <c r="D22" s="702" t="s">
        <v>511</v>
      </c>
      <c r="E22" s="107" t="s">
        <v>500</v>
      </c>
      <c r="F22" s="298">
        <f>IF(F13=1,Thermostat!$C$7,Thermostat!$C$8)</f>
        <v>60</v>
      </c>
      <c r="G22" s="298">
        <f>IF(G13=1,Thermostat!$C$7,Thermostat!$C$8)</f>
        <v>60</v>
      </c>
      <c r="H22" s="298">
        <f>IF(H13=1,Thermostat!$C$7,Thermostat!$C$8)</f>
        <v>60</v>
      </c>
      <c r="I22" s="298">
        <f>IF(I13=1,Thermostat!$C$7,Thermostat!$C$8)</f>
        <v>60</v>
      </c>
      <c r="J22" s="298">
        <f>IF(J13=1,Thermostat!$C$7,Thermostat!$C$8)</f>
        <v>70</v>
      </c>
      <c r="K22" s="298">
        <f>IF(K13=1,Thermostat!$C$7,Thermostat!$C$8)</f>
        <v>70</v>
      </c>
      <c r="L22" s="298">
        <f>IF(L13=1,Thermostat!$C$7,Thermostat!$C$8)</f>
        <v>70</v>
      </c>
      <c r="M22" s="298">
        <f>IF(M13=1,Thermostat!$C$7,Thermostat!$C$8)</f>
        <v>70</v>
      </c>
      <c r="N22" s="298">
        <f>IF(N13=1,Thermostat!$C$7,Thermostat!$C$8)</f>
        <v>70</v>
      </c>
      <c r="O22" s="298">
        <f>IF(O13=1,Thermostat!$C$7,Thermostat!$C$8)</f>
        <v>70</v>
      </c>
      <c r="P22" s="298">
        <f>IF(P13=1,Thermostat!$C$7,Thermostat!$C$8)</f>
        <v>70</v>
      </c>
      <c r="Q22" s="298">
        <f>IF(Q13=1,Thermostat!$C$7,Thermostat!$C$8)</f>
        <v>70</v>
      </c>
      <c r="R22" s="298">
        <f>IF(R13=1,Thermostat!$C$7,Thermostat!$C$8)</f>
        <v>70</v>
      </c>
      <c r="S22" s="298">
        <f>IF(S13=1,Thermostat!$C$7,Thermostat!$C$8)</f>
        <v>70</v>
      </c>
      <c r="T22" s="298">
        <f>IF(T13=1,Thermostat!$C$7,Thermostat!$C$8)</f>
        <v>70</v>
      </c>
      <c r="U22" s="298">
        <f>IF(U13=1,Thermostat!$C$7,Thermostat!$C$8)</f>
        <v>70</v>
      </c>
      <c r="V22" s="298">
        <f>IF(V13=1,Thermostat!$C$7,Thermostat!$C$8)</f>
        <v>60</v>
      </c>
      <c r="W22" s="298">
        <f>IF(W13=1,Thermostat!$C$7,Thermostat!$C$8)</f>
        <v>60</v>
      </c>
      <c r="X22" s="298">
        <f>IF(X13=1,Thermostat!$C$7,Thermostat!$C$8)</f>
        <v>60</v>
      </c>
      <c r="Y22" s="298">
        <f>IF(Y13=1,Thermostat!$C$7,Thermostat!$C$8)</f>
        <v>60</v>
      </c>
      <c r="Z22" s="298">
        <f>IF(Z13=1,Thermostat!$C$7,Thermostat!$C$8)</f>
        <v>60</v>
      </c>
      <c r="AA22" s="298">
        <f>IF(AA13=1,Thermostat!$C$7,Thermostat!$C$8)</f>
        <v>60</v>
      </c>
      <c r="AB22" s="298">
        <f>IF(AB13=1,Thermostat!$C$7,Thermostat!$C$8)</f>
        <v>60</v>
      </c>
      <c r="AC22" s="299">
        <f>IF(AC13=1,Thermostat!$C$7,Thermostat!$C$8)</f>
        <v>60</v>
      </c>
      <c r="AD22" s="43"/>
      <c r="AE22" s="43"/>
      <c r="AF22" s="43"/>
      <c r="AG22" s="43"/>
      <c r="AH22" s="43"/>
      <c r="AI22" s="43"/>
      <c r="AJ22" s="43"/>
      <c r="AK22" s="43"/>
      <c r="AM22" s="52"/>
    </row>
    <row r="23" spans="1:39" ht="38.700000000000003" customHeight="1" x14ac:dyDescent="0.3">
      <c r="A23" s="715"/>
      <c r="B23" s="700"/>
      <c r="C23" s="730"/>
      <c r="D23" s="697"/>
      <c r="E23" s="110" t="s">
        <v>501</v>
      </c>
      <c r="F23" s="300">
        <f>IF(F14=1,Thermostat!$C$7,Thermostat!$C$8)</f>
        <v>60</v>
      </c>
      <c r="G23" s="300">
        <f>IF(G14=1,Thermostat!$C$7,Thermostat!$C$8)</f>
        <v>60</v>
      </c>
      <c r="H23" s="300">
        <f>IF(H14=1,Thermostat!$C$7,Thermostat!$C$8)</f>
        <v>60</v>
      </c>
      <c r="I23" s="300">
        <f>IF(I14=1,Thermostat!$C$7,Thermostat!$C$8)</f>
        <v>60</v>
      </c>
      <c r="J23" s="300">
        <f>IF(J14=1,Thermostat!$C$7,Thermostat!$C$8)</f>
        <v>70</v>
      </c>
      <c r="K23" s="300">
        <f>IF(K14=1,Thermostat!$C$7,Thermostat!$C$8)</f>
        <v>70</v>
      </c>
      <c r="L23" s="300">
        <f>IF(L14=1,Thermostat!$C$7,Thermostat!$C$8)</f>
        <v>70</v>
      </c>
      <c r="M23" s="300">
        <f>IF(M14=1,Thermostat!$C$7,Thermostat!$C$8)</f>
        <v>70</v>
      </c>
      <c r="N23" s="300">
        <f>IF(N14=1,Thermostat!$C$7,Thermostat!$C$8)</f>
        <v>70</v>
      </c>
      <c r="O23" s="300">
        <f>IF(O14=1,Thermostat!$C$7,Thermostat!$C$8)</f>
        <v>70</v>
      </c>
      <c r="P23" s="300">
        <f>IF(P14=1,Thermostat!$C$7,Thermostat!$C$8)</f>
        <v>70</v>
      </c>
      <c r="Q23" s="300">
        <f>IF(Q14=1,Thermostat!$C$7,Thermostat!$C$8)</f>
        <v>70</v>
      </c>
      <c r="R23" s="300">
        <f>IF(R14=1,Thermostat!$C$7,Thermostat!$C$8)</f>
        <v>70</v>
      </c>
      <c r="S23" s="300">
        <f>IF(S14=1,Thermostat!$C$7,Thermostat!$C$8)</f>
        <v>70</v>
      </c>
      <c r="T23" s="300">
        <f>IF(T14=1,Thermostat!$C$7,Thermostat!$C$8)</f>
        <v>70</v>
      </c>
      <c r="U23" s="300">
        <f>IF(U14=1,Thermostat!$C$7,Thermostat!$C$8)</f>
        <v>70</v>
      </c>
      <c r="V23" s="300">
        <f>IF(V14=1,Thermostat!$C$7,Thermostat!$C$8)</f>
        <v>60</v>
      </c>
      <c r="W23" s="300">
        <f>IF(W14=1,Thermostat!$C$7,Thermostat!$C$8)</f>
        <v>60</v>
      </c>
      <c r="X23" s="300">
        <f>IF(X14=1,Thermostat!$C$7,Thermostat!$C$8)</f>
        <v>60</v>
      </c>
      <c r="Y23" s="300">
        <f>IF(Y14=1,Thermostat!$C$7,Thermostat!$C$8)</f>
        <v>60</v>
      </c>
      <c r="Z23" s="300">
        <f>IF(Z14=1,Thermostat!$C$7,Thermostat!$C$8)</f>
        <v>60</v>
      </c>
      <c r="AA23" s="300">
        <f>IF(AA14=1,Thermostat!$C$7,Thermostat!$C$8)</f>
        <v>60</v>
      </c>
      <c r="AB23" s="300">
        <f>IF(AB14=1,Thermostat!$C$7,Thermostat!$C$8)</f>
        <v>60</v>
      </c>
      <c r="AC23" s="301">
        <f>IF(AC14=1,Thermostat!$C$7,Thermostat!$C$8)</f>
        <v>60</v>
      </c>
      <c r="AD23" s="43"/>
      <c r="AE23" s="43"/>
      <c r="AF23" s="43"/>
      <c r="AG23" s="43"/>
      <c r="AH23" s="43"/>
      <c r="AI23" s="43"/>
      <c r="AJ23" s="43"/>
      <c r="AK23" s="43"/>
      <c r="AM23" s="52"/>
    </row>
    <row r="24" spans="1:39" ht="38.700000000000003" customHeight="1" thickBot="1" x14ac:dyDescent="0.35">
      <c r="A24" s="716"/>
      <c r="B24" s="745"/>
      <c r="C24" s="731"/>
      <c r="D24" s="698"/>
      <c r="E24" s="116" t="s">
        <v>502</v>
      </c>
      <c r="F24" s="302">
        <f>IF(F15=1,Thermostat!$C$7,Thermostat!$C$8)</f>
        <v>60</v>
      </c>
      <c r="G24" s="302">
        <f>IF(G15=1,Thermostat!$C$7,Thermostat!$C$8)</f>
        <v>60</v>
      </c>
      <c r="H24" s="302">
        <f>IF(H15=1,Thermostat!$C$7,Thermostat!$C$8)</f>
        <v>60</v>
      </c>
      <c r="I24" s="302">
        <f>IF(I15=1,Thermostat!$C$7,Thermostat!$C$8)</f>
        <v>60</v>
      </c>
      <c r="J24" s="302">
        <f>IF(J15=1,Thermostat!$C$7,Thermostat!$C$8)</f>
        <v>60</v>
      </c>
      <c r="K24" s="302">
        <f>IF(K15=1,Thermostat!$C$7,Thermostat!$C$8)</f>
        <v>60</v>
      </c>
      <c r="L24" s="302">
        <f>IF(L15=1,Thermostat!$C$7,Thermostat!$C$8)</f>
        <v>60</v>
      </c>
      <c r="M24" s="302">
        <f>IF(M15=1,Thermostat!$C$7,Thermostat!$C$8)</f>
        <v>60</v>
      </c>
      <c r="N24" s="302">
        <f>IF(N15=1,Thermostat!$C$7,Thermostat!$C$8)</f>
        <v>60</v>
      </c>
      <c r="O24" s="302">
        <f>IF(O15=1,Thermostat!$C$7,Thermostat!$C$8)</f>
        <v>60</v>
      </c>
      <c r="P24" s="302">
        <f>IF(P15=1,Thermostat!$C$7,Thermostat!$C$8)</f>
        <v>60</v>
      </c>
      <c r="Q24" s="302">
        <f>IF(Q15=1,Thermostat!$C$7,Thermostat!$C$8)</f>
        <v>60</v>
      </c>
      <c r="R24" s="302">
        <f>IF(R15=1,Thermostat!$C$7,Thermostat!$C$8)</f>
        <v>60</v>
      </c>
      <c r="S24" s="302">
        <f>IF(S15=1,Thermostat!$C$7,Thermostat!$C$8)</f>
        <v>60</v>
      </c>
      <c r="T24" s="302">
        <f>IF(T15=1,Thermostat!$C$7,Thermostat!$C$8)</f>
        <v>60</v>
      </c>
      <c r="U24" s="302">
        <f>IF(U15=1,Thermostat!$C$7,Thermostat!$C$8)</f>
        <v>60</v>
      </c>
      <c r="V24" s="302">
        <f>IF(V15=1,Thermostat!$C$7,Thermostat!$C$8)</f>
        <v>60</v>
      </c>
      <c r="W24" s="302">
        <f>IF(W15=1,Thermostat!$C$7,Thermostat!$C$8)</f>
        <v>60</v>
      </c>
      <c r="X24" s="302">
        <f>IF(X15=1,Thermostat!$C$7,Thermostat!$C$8)</f>
        <v>60</v>
      </c>
      <c r="Y24" s="302">
        <f>IF(Y15=1,Thermostat!$C$7,Thermostat!$C$8)</f>
        <v>60</v>
      </c>
      <c r="Z24" s="302">
        <f>IF(Z15=1,Thermostat!$C$7,Thermostat!$C$8)</f>
        <v>60</v>
      </c>
      <c r="AA24" s="302">
        <f>IF(AA15=1,Thermostat!$C$7,Thermostat!$C$8)</f>
        <v>60</v>
      </c>
      <c r="AB24" s="302">
        <f>IF(AB15=1,Thermostat!$C$7,Thermostat!$C$8)</f>
        <v>60</v>
      </c>
      <c r="AC24" s="303">
        <f>IF(AC15=1,Thermostat!$C$7,Thermostat!$C$8)</f>
        <v>60</v>
      </c>
      <c r="AD24" s="43"/>
      <c r="AE24" s="43"/>
      <c r="AF24" s="43"/>
      <c r="AG24" s="43"/>
      <c r="AH24" s="43"/>
      <c r="AI24" s="43"/>
      <c r="AJ24" s="43"/>
      <c r="AK24" s="43"/>
      <c r="AM24" s="52"/>
    </row>
    <row r="25" spans="1:39" ht="38.700000000000003" customHeight="1" x14ac:dyDescent="0.3">
      <c r="A25" s="714" t="str">
        <f>A4</f>
        <v>Fine storage</v>
      </c>
      <c r="B25" s="699" t="str">
        <f>B4</f>
        <v>FineStorage</v>
      </c>
      <c r="C25" s="729" t="s">
        <v>512</v>
      </c>
      <c r="D25" s="702" t="s">
        <v>511</v>
      </c>
      <c r="E25" s="107" t="s">
        <v>500</v>
      </c>
      <c r="F25" s="298">
        <f>IF(F13=1,Thermostat!$C$9,Thermostat!$C$10)</f>
        <v>85</v>
      </c>
      <c r="G25" s="298">
        <f>IF(G13=1,Thermostat!$C$9,Thermostat!$C$10)</f>
        <v>85</v>
      </c>
      <c r="H25" s="298">
        <f>IF(H13=1,Thermostat!$C$9,Thermostat!$C$10)</f>
        <v>85</v>
      </c>
      <c r="I25" s="298">
        <f>IF(I13=1,Thermostat!$C$9,Thermostat!$C$10)</f>
        <v>85</v>
      </c>
      <c r="J25" s="298">
        <f>IF(J13=1,Thermostat!$C$9,Thermostat!$C$10)</f>
        <v>75</v>
      </c>
      <c r="K25" s="298">
        <f>IF(K13=1,Thermostat!$C$9,Thermostat!$C$10)</f>
        <v>75</v>
      </c>
      <c r="L25" s="298">
        <f>IF(L13=1,Thermostat!$C$9,Thermostat!$C$10)</f>
        <v>75</v>
      </c>
      <c r="M25" s="298">
        <f>IF(M13=1,Thermostat!$C$9,Thermostat!$C$10)</f>
        <v>75</v>
      </c>
      <c r="N25" s="298">
        <f>IF(N13=1,Thermostat!$C$9,Thermostat!$C$10)</f>
        <v>75</v>
      </c>
      <c r="O25" s="298">
        <f>IF(O13=1,Thermostat!$C$9,Thermostat!$C$10)</f>
        <v>75</v>
      </c>
      <c r="P25" s="298">
        <f>IF(P13=1,Thermostat!$C$9,Thermostat!$C$10)</f>
        <v>75</v>
      </c>
      <c r="Q25" s="298">
        <f>IF(Q13=1,Thermostat!$C$9,Thermostat!$C$10)</f>
        <v>75</v>
      </c>
      <c r="R25" s="298">
        <f>IF(R13=1,Thermostat!$C$9,Thermostat!$C$10)</f>
        <v>75</v>
      </c>
      <c r="S25" s="298">
        <f>IF(S13=1,Thermostat!$C$9,Thermostat!$C$10)</f>
        <v>75</v>
      </c>
      <c r="T25" s="298">
        <f>IF(T13=1,Thermostat!$C$9,Thermostat!$C$10)</f>
        <v>75</v>
      </c>
      <c r="U25" s="298">
        <f>IF(U13=1,Thermostat!$C$9,Thermostat!$C$10)</f>
        <v>75</v>
      </c>
      <c r="V25" s="298">
        <f>IF(V13=1,Thermostat!$C$9,Thermostat!$C$10)</f>
        <v>85</v>
      </c>
      <c r="W25" s="298">
        <f>IF(W13=1,Thermostat!$C$9,Thermostat!$C$10)</f>
        <v>85</v>
      </c>
      <c r="X25" s="298">
        <f>IF(X13=1,Thermostat!$C$9,Thermostat!$C$10)</f>
        <v>85</v>
      </c>
      <c r="Y25" s="298">
        <f>IF(Y13=1,Thermostat!$C$9,Thermostat!$C$10)</f>
        <v>85</v>
      </c>
      <c r="Z25" s="298">
        <f>IF(Z13=1,Thermostat!$C$9,Thermostat!$C$10)</f>
        <v>85</v>
      </c>
      <c r="AA25" s="298">
        <f>IF(AA13=1,Thermostat!$C$9,Thermostat!$C$10)</f>
        <v>85</v>
      </c>
      <c r="AB25" s="298">
        <f>IF(AB13=1,Thermostat!$C$9,Thermostat!$C$10)</f>
        <v>85</v>
      </c>
      <c r="AC25" s="299">
        <f>IF(AC13=1,Thermostat!$C$9,Thermostat!$C$10)</f>
        <v>85</v>
      </c>
      <c r="AD25" s="43"/>
      <c r="AE25" s="43"/>
      <c r="AF25" s="43"/>
      <c r="AG25" s="43"/>
      <c r="AH25" s="43"/>
      <c r="AI25" s="43"/>
      <c r="AJ25" s="43"/>
      <c r="AK25" s="43"/>
      <c r="AM25" s="52"/>
    </row>
    <row r="26" spans="1:39" ht="38.700000000000003" customHeight="1" x14ac:dyDescent="0.3">
      <c r="A26" s="715"/>
      <c r="B26" s="700"/>
      <c r="C26" s="730"/>
      <c r="D26" s="697"/>
      <c r="E26" s="110" t="s">
        <v>501</v>
      </c>
      <c r="F26" s="300">
        <f>IF(F14=1,Thermostat!$C$9,Thermostat!$C$10)</f>
        <v>85</v>
      </c>
      <c r="G26" s="300">
        <f>IF(G14=1,Thermostat!$C$9,Thermostat!$C$10)</f>
        <v>85</v>
      </c>
      <c r="H26" s="300">
        <f>IF(H14=1,Thermostat!$C$9,Thermostat!$C$10)</f>
        <v>85</v>
      </c>
      <c r="I26" s="300">
        <f>IF(I14=1,Thermostat!$C$9,Thermostat!$C$10)</f>
        <v>85</v>
      </c>
      <c r="J26" s="300">
        <f>IF(J14=1,Thermostat!$C$9,Thermostat!$C$10)</f>
        <v>75</v>
      </c>
      <c r="K26" s="300">
        <f>IF(K14=1,Thermostat!$C$9,Thermostat!$C$10)</f>
        <v>75</v>
      </c>
      <c r="L26" s="300">
        <f>IF(L14=1,Thermostat!$C$9,Thermostat!$C$10)</f>
        <v>75</v>
      </c>
      <c r="M26" s="300">
        <f>IF(M14=1,Thermostat!$C$9,Thermostat!$C$10)</f>
        <v>75</v>
      </c>
      <c r="N26" s="300">
        <f>IF(N14=1,Thermostat!$C$9,Thermostat!$C$10)</f>
        <v>75</v>
      </c>
      <c r="O26" s="300">
        <f>IF(O14=1,Thermostat!$C$9,Thermostat!$C$10)</f>
        <v>75</v>
      </c>
      <c r="P26" s="300">
        <f>IF(P14=1,Thermostat!$C$9,Thermostat!$C$10)</f>
        <v>75</v>
      </c>
      <c r="Q26" s="300">
        <f>IF(Q14=1,Thermostat!$C$9,Thermostat!$C$10)</f>
        <v>75</v>
      </c>
      <c r="R26" s="300">
        <f>IF(R14=1,Thermostat!$C$9,Thermostat!$C$10)</f>
        <v>75</v>
      </c>
      <c r="S26" s="300">
        <f>IF(S14=1,Thermostat!$C$9,Thermostat!$C$10)</f>
        <v>75</v>
      </c>
      <c r="T26" s="300">
        <f>IF(T14=1,Thermostat!$C$9,Thermostat!$C$10)</f>
        <v>75</v>
      </c>
      <c r="U26" s="300">
        <f>IF(U14=1,Thermostat!$C$9,Thermostat!$C$10)</f>
        <v>75</v>
      </c>
      <c r="V26" s="300">
        <f>IF(V14=1,Thermostat!$C$9,Thermostat!$C$10)</f>
        <v>85</v>
      </c>
      <c r="W26" s="300">
        <f>IF(W14=1,Thermostat!$C$9,Thermostat!$C$10)</f>
        <v>85</v>
      </c>
      <c r="X26" s="300">
        <f>IF(X14=1,Thermostat!$C$9,Thermostat!$C$10)</f>
        <v>85</v>
      </c>
      <c r="Y26" s="300">
        <f>IF(Y14=1,Thermostat!$C$9,Thermostat!$C$10)</f>
        <v>85</v>
      </c>
      <c r="Z26" s="300">
        <f>IF(Z14=1,Thermostat!$C$9,Thermostat!$C$10)</f>
        <v>85</v>
      </c>
      <c r="AA26" s="300">
        <f>IF(AA14=1,Thermostat!$C$9,Thermostat!$C$10)</f>
        <v>85</v>
      </c>
      <c r="AB26" s="300">
        <f>IF(AB14=1,Thermostat!$C$9,Thermostat!$C$10)</f>
        <v>85</v>
      </c>
      <c r="AC26" s="301">
        <f>IF(AC14=1,Thermostat!$C$9,Thermostat!$C$10)</f>
        <v>85</v>
      </c>
      <c r="AD26" s="43"/>
      <c r="AE26" s="43"/>
      <c r="AF26" s="43"/>
      <c r="AG26" s="43"/>
      <c r="AH26" s="43"/>
      <c r="AI26" s="43"/>
      <c r="AJ26" s="43"/>
      <c r="AK26" s="43"/>
      <c r="AM26" s="52"/>
    </row>
    <row r="27" spans="1:39" ht="38.700000000000003" customHeight="1" thickBot="1" x14ac:dyDescent="0.35">
      <c r="A27" s="728"/>
      <c r="B27" s="701"/>
      <c r="C27" s="731"/>
      <c r="D27" s="698"/>
      <c r="E27" s="116" t="s">
        <v>502</v>
      </c>
      <c r="F27" s="302">
        <f>IF(F15=1,Thermostat!$C$9,Thermostat!$C$10)</f>
        <v>85</v>
      </c>
      <c r="G27" s="302">
        <f>IF(G15=1,Thermostat!$C$9,Thermostat!$C$10)</f>
        <v>85</v>
      </c>
      <c r="H27" s="302">
        <f>IF(H15=1,Thermostat!$C$9,Thermostat!$C$10)</f>
        <v>85</v>
      </c>
      <c r="I27" s="302">
        <f>IF(I15=1,Thermostat!$C$9,Thermostat!$C$10)</f>
        <v>85</v>
      </c>
      <c r="J27" s="302">
        <f>IF(J15=1,Thermostat!$C$9,Thermostat!$C$10)</f>
        <v>85</v>
      </c>
      <c r="K27" s="302">
        <f>IF(K15=1,Thermostat!$C$9,Thermostat!$C$10)</f>
        <v>85</v>
      </c>
      <c r="L27" s="302">
        <f>IF(L15=1,Thermostat!$C$9,Thermostat!$C$10)</f>
        <v>85</v>
      </c>
      <c r="M27" s="302">
        <f>IF(M15=1,Thermostat!$C$9,Thermostat!$C$10)</f>
        <v>85</v>
      </c>
      <c r="N27" s="302">
        <f>IF(N15=1,Thermostat!$C$9,Thermostat!$C$10)</f>
        <v>85</v>
      </c>
      <c r="O27" s="302">
        <f>IF(O15=1,Thermostat!$C$9,Thermostat!$C$10)</f>
        <v>85</v>
      </c>
      <c r="P27" s="302">
        <f>IF(P15=1,Thermostat!$C$9,Thermostat!$C$10)</f>
        <v>85</v>
      </c>
      <c r="Q27" s="302">
        <f>IF(Q15=1,Thermostat!$C$9,Thermostat!$C$10)</f>
        <v>85</v>
      </c>
      <c r="R27" s="302">
        <f>IF(R15=1,Thermostat!$C$9,Thermostat!$C$10)</f>
        <v>85</v>
      </c>
      <c r="S27" s="302">
        <f>IF(S15=1,Thermostat!$C$9,Thermostat!$C$10)</f>
        <v>85</v>
      </c>
      <c r="T27" s="302">
        <f>IF(T15=1,Thermostat!$C$9,Thermostat!$C$10)</f>
        <v>85</v>
      </c>
      <c r="U27" s="302">
        <f>IF(U15=1,Thermostat!$C$9,Thermostat!$C$10)</f>
        <v>85</v>
      </c>
      <c r="V27" s="302">
        <f>IF(V15=1,Thermostat!$C$9,Thermostat!$C$10)</f>
        <v>85</v>
      </c>
      <c r="W27" s="302">
        <f>IF(W15=1,Thermostat!$C$9,Thermostat!$C$10)</f>
        <v>85</v>
      </c>
      <c r="X27" s="302">
        <f>IF(X15=1,Thermostat!$C$9,Thermostat!$C$10)</f>
        <v>85</v>
      </c>
      <c r="Y27" s="302">
        <f>IF(Y15=1,Thermostat!$C$9,Thermostat!$C$10)</f>
        <v>85</v>
      </c>
      <c r="Z27" s="302">
        <f>IF(Z15=1,Thermostat!$C$9,Thermostat!$C$10)</f>
        <v>85</v>
      </c>
      <c r="AA27" s="302">
        <f>IF(AA15=1,Thermostat!$C$9,Thermostat!$C$10)</f>
        <v>85</v>
      </c>
      <c r="AB27" s="302">
        <f>IF(AB15=1,Thermostat!$C$9,Thermostat!$C$10)</f>
        <v>85</v>
      </c>
      <c r="AC27" s="303">
        <f>IF(AC15=1,Thermostat!$C$9,Thermostat!$C$10)</f>
        <v>85</v>
      </c>
      <c r="AD27" s="43"/>
      <c r="AE27" s="43"/>
      <c r="AF27" s="43"/>
      <c r="AG27" s="43"/>
      <c r="AH27" s="43"/>
      <c r="AI27" s="43"/>
      <c r="AJ27" s="43"/>
      <c r="AK27" s="43"/>
      <c r="AM27" s="52"/>
    </row>
    <row r="28" spans="1:39" ht="38.700000000000003" customHeight="1" thickBot="1" x14ac:dyDescent="0.35">
      <c r="A28" s="703" t="s">
        <v>180</v>
      </c>
      <c r="B28" s="703"/>
      <c r="C28" s="703"/>
      <c r="D28" s="703"/>
      <c r="E28" s="703"/>
      <c r="F28" s="703"/>
      <c r="G28" s="703"/>
      <c r="H28" s="703"/>
      <c r="I28" s="703"/>
      <c r="J28" s="703"/>
      <c r="K28" s="703"/>
      <c r="L28" s="703"/>
      <c r="M28" s="703"/>
      <c r="N28" s="703"/>
      <c r="O28" s="703"/>
      <c r="P28" s="703"/>
      <c r="Q28" s="703"/>
      <c r="R28" s="703"/>
      <c r="S28" s="703"/>
      <c r="T28" s="703"/>
      <c r="U28" s="703"/>
      <c r="V28" s="703"/>
      <c r="W28" s="703"/>
      <c r="X28" s="703"/>
      <c r="Y28" s="703"/>
      <c r="Z28" s="703"/>
      <c r="AA28" s="703"/>
      <c r="AB28" s="703"/>
      <c r="AC28" s="704"/>
      <c r="AD28" s="43"/>
      <c r="AE28" s="43"/>
      <c r="AF28" s="43"/>
      <c r="AG28" s="43"/>
      <c r="AH28" s="43"/>
      <c r="AI28" s="43"/>
      <c r="AJ28" s="43"/>
      <c r="AK28" s="43"/>
      <c r="AM28" s="52"/>
    </row>
    <row r="29" spans="1:39" ht="34.950000000000003" customHeight="1" x14ac:dyDescent="0.3">
      <c r="A29" s="727" t="s">
        <v>513</v>
      </c>
      <c r="B29" s="743" t="s">
        <v>180</v>
      </c>
      <c r="C29" s="699" t="s">
        <v>498</v>
      </c>
      <c r="D29" s="757" t="s">
        <v>504</v>
      </c>
      <c r="E29" s="351" t="s">
        <v>500</v>
      </c>
      <c r="F29" s="123">
        <v>0</v>
      </c>
      <c r="G29" s="123">
        <v>0</v>
      </c>
      <c r="H29" s="123">
        <v>0</v>
      </c>
      <c r="I29" s="123">
        <v>0</v>
      </c>
      <c r="J29" s="123">
        <v>0</v>
      </c>
      <c r="K29" s="352">
        <v>0.15</v>
      </c>
      <c r="L29" s="352">
        <v>0.7</v>
      </c>
      <c r="M29" s="352">
        <v>0.9</v>
      </c>
      <c r="N29" s="352">
        <v>0.9</v>
      </c>
      <c r="O29" s="123">
        <v>0.9</v>
      </c>
      <c r="P29" s="123">
        <v>0.9</v>
      </c>
      <c r="Q29" s="123">
        <v>0.9</v>
      </c>
      <c r="R29" s="123">
        <v>0.5</v>
      </c>
      <c r="S29" s="123">
        <v>0.85</v>
      </c>
      <c r="T29" s="123">
        <v>0.85</v>
      </c>
      <c r="U29" s="352">
        <v>0.2</v>
      </c>
      <c r="V29" s="352">
        <v>0</v>
      </c>
      <c r="W29" s="123">
        <v>0</v>
      </c>
      <c r="X29" s="123">
        <v>0</v>
      </c>
      <c r="Y29" s="123">
        <v>0</v>
      </c>
      <c r="Z29" s="123">
        <v>0</v>
      </c>
      <c r="AA29" s="123">
        <v>0</v>
      </c>
      <c r="AB29" s="123">
        <v>0</v>
      </c>
      <c r="AC29" s="124">
        <v>0</v>
      </c>
      <c r="AD29" s="43"/>
      <c r="AE29" s="43"/>
      <c r="AF29" s="43"/>
      <c r="AG29" s="43"/>
      <c r="AH29" s="43"/>
      <c r="AI29" s="43"/>
      <c r="AJ29" s="43"/>
      <c r="AK29" s="43"/>
    </row>
    <row r="30" spans="1:39" ht="34.950000000000003" customHeight="1" x14ac:dyDescent="0.3">
      <c r="A30" s="715"/>
      <c r="B30" s="718"/>
      <c r="C30" s="700"/>
      <c r="D30" s="758"/>
      <c r="E30" s="316" t="s">
        <v>501</v>
      </c>
      <c r="F30" s="350">
        <v>0</v>
      </c>
      <c r="G30" s="350">
        <v>0</v>
      </c>
      <c r="H30" s="350">
        <v>0</v>
      </c>
      <c r="I30" s="350">
        <v>0</v>
      </c>
      <c r="J30" s="350">
        <v>0</v>
      </c>
      <c r="K30" s="350">
        <v>0.15</v>
      </c>
      <c r="L30" s="350">
        <v>0.7</v>
      </c>
      <c r="M30" s="350">
        <v>0.9</v>
      </c>
      <c r="N30" s="350">
        <v>0.9</v>
      </c>
      <c r="O30" s="350">
        <v>0.9</v>
      </c>
      <c r="P30" s="350">
        <v>0.9</v>
      </c>
      <c r="Q30" s="350">
        <v>0.9</v>
      </c>
      <c r="R30" s="350">
        <v>0.5</v>
      </c>
      <c r="S30" s="350">
        <v>0.85</v>
      </c>
      <c r="T30" s="350">
        <v>0.85</v>
      </c>
      <c r="U30" s="350">
        <v>0.2</v>
      </c>
      <c r="V30" s="350">
        <v>0</v>
      </c>
      <c r="W30" s="350">
        <v>0</v>
      </c>
      <c r="X30" s="350">
        <v>0</v>
      </c>
      <c r="Y30" s="350">
        <v>0</v>
      </c>
      <c r="Z30" s="350">
        <v>0</v>
      </c>
      <c r="AA30" s="350">
        <v>0</v>
      </c>
      <c r="AB30" s="350">
        <v>0</v>
      </c>
      <c r="AC30" s="363">
        <v>0</v>
      </c>
      <c r="AD30" s="43"/>
      <c r="AE30" s="43"/>
      <c r="AF30" s="43"/>
      <c r="AG30" s="43"/>
      <c r="AH30" s="43"/>
      <c r="AI30" s="43"/>
      <c r="AJ30" s="43"/>
      <c r="AK30" s="43"/>
    </row>
    <row r="31" spans="1:39" ht="34.950000000000003" customHeight="1" thickBot="1" x14ac:dyDescent="0.35">
      <c r="A31" s="754"/>
      <c r="B31" s="744"/>
      <c r="C31" s="745"/>
      <c r="D31" s="759"/>
      <c r="E31" s="319" t="s">
        <v>502</v>
      </c>
      <c r="F31" s="131">
        <v>0</v>
      </c>
      <c r="G31" s="131">
        <v>0</v>
      </c>
      <c r="H31" s="131">
        <v>0</v>
      </c>
      <c r="I31" s="131">
        <v>0</v>
      </c>
      <c r="J31" s="131">
        <v>0</v>
      </c>
      <c r="K31" s="131">
        <v>0</v>
      </c>
      <c r="L31" s="131">
        <v>0</v>
      </c>
      <c r="M31" s="131">
        <v>0</v>
      </c>
      <c r="N31" s="131">
        <v>0</v>
      </c>
      <c r="O31" s="131">
        <v>0</v>
      </c>
      <c r="P31" s="131">
        <v>0</v>
      </c>
      <c r="Q31" s="131">
        <v>0</v>
      </c>
      <c r="R31" s="131">
        <v>0</v>
      </c>
      <c r="S31" s="131">
        <v>0</v>
      </c>
      <c r="T31" s="131">
        <v>0</v>
      </c>
      <c r="U31" s="131">
        <v>0</v>
      </c>
      <c r="V31" s="131">
        <v>0</v>
      </c>
      <c r="W31" s="131">
        <v>0</v>
      </c>
      <c r="X31" s="131">
        <v>0</v>
      </c>
      <c r="Y31" s="131">
        <v>0</v>
      </c>
      <c r="Z31" s="131">
        <v>0</v>
      </c>
      <c r="AA31" s="131">
        <v>0</v>
      </c>
      <c r="AB31" s="131">
        <v>0</v>
      </c>
      <c r="AC31" s="132">
        <v>0</v>
      </c>
      <c r="AD31" s="43"/>
      <c r="AE31" s="43"/>
      <c r="AF31" s="43"/>
      <c r="AG31" s="43"/>
      <c r="AH31" s="43"/>
      <c r="AI31" s="43"/>
      <c r="AJ31" s="43"/>
      <c r="AK31" s="43"/>
    </row>
    <row r="32" spans="1:39" ht="37.950000000000003" customHeight="1" x14ac:dyDescent="0.3">
      <c r="A32" s="727" t="str">
        <f>A29</f>
        <v>Bulk storage</v>
      </c>
      <c r="B32" s="743" t="str">
        <f>B29</f>
        <v>BulkStorage</v>
      </c>
      <c r="C32" s="699" t="s">
        <v>503</v>
      </c>
      <c r="D32" s="760" t="s">
        <v>508</v>
      </c>
      <c r="E32" s="322" t="s">
        <v>500</v>
      </c>
      <c r="F32" s="133">
        <v>0.05</v>
      </c>
      <c r="G32" s="133">
        <v>0.05</v>
      </c>
      <c r="H32" s="133">
        <v>0.05</v>
      </c>
      <c r="I32" s="133">
        <v>0.05</v>
      </c>
      <c r="J32" s="133">
        <v>0.05</v>
      </c>
      <c r="K32" s="365">
        <v>0.45</v>
      </c>
      <c r="L32" s="365">
        <v>0.55000000000000004</v>
      </c>
      <c r="M32" s="365">
        <v>0.55000000000000004</v>
      </c>
      <c r="N32" s="133">
        <v>0.55000000000000004</v>
      </c>
      <c r="O32" s="133">
        <v>0.55000000000000004</v>
      </c>
      <c r="P32" s="133">
        <v>0.55000000000000004</v>
      </c>
      <c r="Q32" s="133">
        <v>0.55000000000000004</v>
      </c>
      <c r="R32" s="133">
        <v>0.55000000000000004</v>
      </c>
      <c r="S32" s="133">
        <v>0.55000000000000004</v>
      </c>
      <c r="T32" s="133">
        <v>0.55000000000000004</v>
      </c>
      <c r="U32" s="133">
        <v>0.55000000000000004</v>
      </c>
      <c r="V32" s="365">
        <v>0.3</v>
      </c>
      <c r="W32" s="365">
        <v>0.05</v>
      </c>
      <c r="X32" s="133">
        <v>0.05</v>
      </c>
      <c r="Y32" s="133">
        <v>0.05</v>
      </c>
      <c r="Z32" s="133">
        <v>0.05</v>
      </c>
      <c r="AA32" s="133">
        <v>0.05</v>
      </c>
      <c r="AB32" s="133">
        <v>0.05</v>
      </c>
      <c r="AC32" s="134">
        <v>0.05</v>
      </c>
      <c r="AD32" s="43"/>
      <c r="AE32" s="43"/>
      <c r="AF32" s="43"/>
      <c r="AG32" s="43"/>
      <c r="AH32" s="43"/>
      <c r="AI32" s="43"/>
      <c r="AJ32" s="43"/>
      <c r="AK32" s="43"/>
    </row>
    <row r="33" spans="1:39" ht="37.950000000000003" customHeight="1" x14ac:dyDescent="0.3">
      <c r="A33" s="715"/>
      <c r="B33" s="718"/>
      <c r="C33" s="700"/>
      <c r="D33" s="758"/>
      <c r="E33" s="316" t="s">
        <v>501</v>
      </c>
      <c r="F33" s="350">
        <v>0.05</v>
      </c>
      <c r="G33" s="350">
        <v>0.05</v>
      </c>
      <c r="H33" s="350">
        <v>0.05</v>
      </c>
      <c r="I33" s="350">
        <v>0.05</v>
      </c>
      <c r="J33" s="350">
        <v>0.05</v>
      </c>
      <c r="K33" s="350">
        <v>0.45</v>
      </c>
      <c r="L33" s="350">
        <v>0.55000000000000004</v>
      </c>
      <c r="M33" s="350">
        <v>0.55000000000000004</v>
      </c>
      <c r="N33" s="350">
        <v>0.55000000000000004</v>
      </c>
      <c r="O33" s="350">
        <v>0.55000000000000004</v>
      </c>
      <c r="P33" s="350">
        <v>0.55000000000000004</v>
      </c>
      <c r="Q33" s="350">
        <v>0.55000000000000004</v>
      </c>
      <c r="R33" s="350">
        <v>0.55000000000000004</v>
      </c>
      <c r="S33" s="350">
        <v>0.55000000000000004</v>
      </c>
      <c r="T33" s="350">
        <v>0.55000000000000004</v>
      </c>
      <c r="U33" s="350">
        <v>0.55000000000000004</v>
      </c>
      <c r="V33" s="350">
        <v>0.3</v>
      </c>
      <c r="W33" s="350">
        <v>0.05</v>
      </c>
      <c r="X33" s="350">
        <v>0.05</v>
      </c>
      <c r="Y33" s="350">
        <v>0.05</v>
      </c>
      <c r="Z33" s="350">
        <v>0.05</v>
      </c>
      <c r="AA33" s="350">
        <v>0.05</v>
      </c>
      <c r="AB33" s="350">
        <v>0.05</v>
      </c>
      <c r="AC33" s="363">
        <v>0.05</v>
      </c>
      <c r="AD33" s="43"/>
      <c r="AE33" s="43"/>
      <c r="AF33" s="43"/>
      <c r="AG33" s="43"/>
      <c r="AH33" s="43"/>
      <c r="AI33" s="43"/>
      <c r="AJ33" s="43"/>
      <c r="AK33" s="43"/>
    </row>
    <row r="34" spans="1:39" ht="37.950000000000003" customHeight="1" thickBot="1" x14ac:dyDescent="0.35">
      <c r="A34" s="754"/>
      <c r="B34" s="744"/>
      <c r="C34" s="745"/>
      <c r="D34" s="759"/>
      <c r="E34" s="319" t="s">
        <v>502</v>
      </c>
      <c r="F34" s="131">
        <v>0.05</v>
      </c>
      <c r="G34" s="131">
        <v>0.05</v>
      </c>
      <c r="H34" s="131">
        <v>0.05</v>
      </c>
      <c r="I34" s="131">
        <v>0.05</v>
      </c>
      <c r="J34" s="131">
        <v>0.05</v>
      </c>
      <c r="K34" s="131">
        <v>0.05</v>
      </c>
      <c r="L34" s="131">
        <v>0.05</v>
      </c>
      <c r="M34" s="131">
        <v>0.05</v>
      </c>
      <c r="N34" s="131">
        <v>0.05</v>
      </c>
      <c r="O34" s="131">
        <v>0.05</v>
      </c>
      <c r="P34" s="131">
        <v>0.05</v>
      </c>
      <c r="Q34" s="131">
        <v>0.05</v>
      </c>
      <c r="R34" s="131">
        <v>0.05</v>
      </c>
      <c r="S34" s="131">
        <v>0.05</v>
      </c>
      <c r="T34" s="131">
        <v>0.05</v>
      </c>
      <c r="U34" s="131">
        <v>0.05</v>
      </c>
      <c r="V34" s="131">
        <v>0.05</v>
      </c>
      <c r="W34" s="131">
        <v>0.05</v>
      </c>
      <c r="X34" s="131">
        <v>0.05</v>
      </c>
      <c r="Y34" s="131">
        <v>0.05</v>
      </c>
      <c r="Z34" s="131">
        <v>0.05</v>
      </c>
      <c r="AA34" s="131">
        <v>0.05</v>
      </c>
      <c r="AB34" s="131">
        <v>0.05</v>
      </c>
      <c r="AC34" s="132">
        <v>0.05</v>
      </c>
      <c r="AD34" s="43"/>
      <c r="AE34" s="43"/>
      <c r="AF34" s="43"/>
      <c r="AG34" s="43"/>
      <c r="AH34" s="43"/>
      <c r="AI34" s="43"/>
      <c r="AJ34" s="43"/>
      <c r="AK34" s="43"/>
    </row>
    <row r="35" spans="1:39" ht="38.700000000000003" customHeight="1" x14ac:dyDescent="0.3">
      <c r="A35" s="714" t="str">
        <f>A29</f>
        <v>Bulk storage</v>
      </c>
      <c r="B35" s="717" t="str">
        <f>B29</f>
        <v>BulkStorage</v>
      </c>
      <c r="C35" s="720" t="s">
        <v>505</v>
      </c>
      <c r="D35" s="723" t="s">
        <v>514</v>
      </c>
      <c r="E35" s="322" t="s">
        <v>500</v>
      </c>
      <c r="F35" s="361">
        <v>0.05</v>
      </c>
      <c r="G35" s="361">
        <v>0.05</v>
      </c>
      <c r="H35" s="361">
        <v>0.05</v>
      </c>
      <c r="I35" s="361">
        <v>0.05</v>
      </c>
      <c r="J35" s="361">
        <v>0.05</v>
      </c>
      <c r="K35" s="361">
        <v>0.5</v>
      </c>
      <c r="L35" s="361">
        <v>0.9</v>
      </c>
      <c r="M35" s="361">
        <v>0.9</v>
      </c>
      <c r="N35" s="361">
        <v>0.9</v>
      </c>
      <c r="O35" s="361">
        <v>0.9</v>
      </c>
      <c r="P35" s="361">
        <v>0.9</v>
      </c>
      <c r="Q35" s="361">
        <v>0.9</v>
      </c>
      <c r="R35" s="361">
        <v>0.9</v>
      </c>
      <c r="S35" s="361">
        <v>0.9</v>
      </c>
      <c r="T35" s="361">
        <v>0.9</v>
      </c>
      <c r="U35" s="361">
        <v>0.65</v>
      </c>
      <c r="V35" s="361">
        <v>0.25</v>
      </c>
      <c r="W35" s="361">
        <v>0.05</v>
      </c>
      <c r="X35" s="361">
        <v>0.05</v>
      </c>
      <c r="Y35" s="361">
        <v>0.05</v>
      </c>
      <c r="Z35" s="361">
        <v>0.05</v>
      </c>
      <c r="AA35" s="361">
        <v>0.05</v>
      </c>
      <c r="AB35" s="361">
        <v>0.05</v>
      </c>
      <c r="AC35" s="362">
        <v>0.05</v>
      </c>
      <c r="AD35" s="43"/>
      <c r="AE35" s="43"/>
      <c r="AF35" s="43"/>
      <c r="AG35" s="43"/>
      <c r="AH35" s="43"/>
      <c r="AI35" s="43"/>
      <c r="AJ35" s="43"/>
      <c r="AK35" s="43"/>
      <c r="AM35" s="52"/>
    </row>
    <row r="36" spans="1:39" ht="38.700000000000003" customHeight="1" x14ac:dyDescent="0.3">
      <c r="A36" s="715"/>
      <c r="B36" s="718"/>
      <c r="C36" s="721"/>
      <c r="D36" s="724"/>
      <c r="E36" s="316" t="s">
        <v>501</v>
      </c>
      <c r="F36" s="350">
        <v>0.05</v>
      </c>
      <c r="G36" s="350">
        <v>0.05</v>
      </c>
      <c r="H36" s="350">
        <v>0.05</v>
      </c>
      <c r="I36" s="350">
        <v>0.05</v>
      </c>
      <c r="J36" s="350">
        <v>0.05</v>
      </c>
      <c r="K36" s="350">
        <v>0.5</v>
      </c>
      <c r="L36" s="350">
        <v>0.9</v>
      </c>
      <c r="M36" s="350">
        <v>0.9</v>
      </c>
      <c r="N36" s="350">
        <v>0.9</v>
      </c>
      <c r="O36" s="350">
        <v>0.9</v>
      </c>
      <c r="P36" s="350">
        <v>0.9</v>
      </c>
      <c r="Q36" s="350">
        <v>0.9</v>
      </c>
      <c r="R36" s="350">
        <v>0.9</v>
      </c>
      <c r="S36" s="350">
        <v>0.9</v>
      </c>
      <c r="T36" s="350">
        <v>0.9</v>
      </c>
      <c r="U36" s="350">
        <v>0.65</v>
      </c>
      <c r="V36" s="350">
        <v>0.25</v>
      </c>
      <c r="W36" s="350">
        <v>0.05</v>
      </c>
      <c r="X36" s="350">
        <v>0.05</v>
      </c>
      <c r="Y36" s="350">
        <v>0.05</v>
      </c>
      <c r="Z36" s="350">
        <v>0.05</v>
      </c>
      <c r="AA36" s="350">
        <v>0.05</v>
      </c>
      <c r="AB36" s="350">
        <v>0.05</v>
      </c>
      <c r="AC36" s="363">
        <v>0.05</v>
      </c>
      <c r="AD36" s="43"/>
      <c r="AE36" s="43"/>
      <c r="AF36" s="43"/>
      <c r="AG36" s="43"/>
      <c r="AH36" s="43"/>
      <c r="AI36" s="43"/>
      <c r="AJ36" s="43"/>
      <c r="AK36" s="43"/>
      <c r="AM36" s="52"/>
    </row>
    <row r="37" spans="1:39" ht="38.700000000000003" customHeight="1" thickBot="1" x14ac:dyDescent="0.35">
      <c r="A37" s="716"/>
      <c r="B37" s="719"/>
      <c r="C37" s="722"/>
      <c r="D37" s="725"/>
      <c r="E37" s="319" t="s">
        <v>502</v>
      </c>
      <c r="F37" s="131">
        <v>0.05</v>
      </c>
      <c r="G37" s="131">
        <v>0.05</v>
      </c>
      <c r="H37" s="131">
        <v>0.05</v>
      </c>
      <c r="I37" s="131">
        <v>0.05</v>
      </c>
      <c r="J37" s="131">
        <v>0.05</v>
      </c>
      <c r="K37" s="131">
        <v>0.05</v>
      </c>
      <c r="L37" s="131">
        <v>0.05</v>
      </c>
      <c r="M37" s="131">
        <v>0.05</v>
      </c>
      <c r="N37" s="131">
        <v>0.05</v>
      </c>
      <c r="O37" s="131">
        <v>0.05</v>
      </c>
      <c r="P37" s="131">
        <v>0.05</v>
      </c>
      <c r="Q37" s="131">
        <v>0.05</v>
      </c>
      <c r="R37" s="131">
        <v>0.05</v>
      </c>
      <c r="S37" s="131">
        <v>0.05</v>
      </c>
      <c r="T37" s="131">
        <v>0.05</v>
      </c>
      <c r="U37" s="131">
        <v>0.05</v>
      </c>
      <c r="V37" s="131">
        <v>0.05</v>
      </c>
      <c r="W37" s="131">
        <v>0.05</v>
      </c>
      <c r="X37" s="131">
        <v>0.05</v>
      </c>
      <c r="Y37" s="131">
        <v>0.05</v>
      </c>
      <c r="Z37" s="131">
        <v>0.05</v>
      </c>
      <c r="AA37" s="131">
        <v>0.05</v>
      </c>
      <c r="AB37" s="131">
        <v>0.05</v>
      </c>
      <c r="AC37" s="132">
        <v>0.05</v>
      </c>
      <c r="AD37" s="43"/>
      <c r="AE37" s="43"/>
      <c r="AF37" s="43"/>
      <c r="AG37" s="43"/>
      <c r="AH37" s="43"/>
      <c r="AI37" s="43"/>
      <c r="AJ37" s="43"/>
      <c r="AK37" s="43"/>
      <c r="AM37" s="52"/>
    </row>
    <row r="38" spans="1:39" ht="38.4" customHeight="1" x14ac:dyDescent="0.3">
      <c r="A38" s="714" t="str">
        <f>A29</f>
        <v>Bulk storage</v>
      </c>
      <c r="B38" s="726" t="str">
        <f>B29</f>
        <v>BulkStorage</v>
      </c>
      <c r="C38" s="726" t="s">
        <v>507</v>
      </c>
      <c r="D38" s="696" t="s">
        <v>515</v>
      </c>
      <c r="E38" s="119" t="s">
        <v>500</v>
      </c>
      <c r="F38" s="120">
        <v>1</v>
      </c>
      <c r="G38" s="120">
        <v>1</v>
      </c>
      <c r="H38" s="120">
        <v>1</v>
      </c>
      <c r="I38" s="120">
        <v>1</v>
      </c>
      <c r="J38" s="120">
        <v>1</v>
      </c>
      <c r="K38" s="120">
        <v>1</v>
      </c>
      <c r="L38" s="120">
        <v>1</v>
      </c>
      <c r="M38" s="120">
        <v>1</v>
      </c>
      <c r="N38" s="120">
        <v>1</v>
      </c>
      <c r="O38" s="120">
        <v>1</v>
      </c>
      <c r="P38" s="120">
        <v>1</v>
      </c>
      <c r="Q38" s="120">
        <v>1</v>
      </c>
      <c r="R38" s="120">
        <v>1</v>
      </c>
      <c r="S38" s="120">
        <v>1</v>
      </c>
      <c r="T38" s="120">
        <v>1</v>
      </c>
      <c r="U38" s="120">
        <v>1</v>
      </c>
      <c r="V38" s="120">
        <v>1</v>
      </c>
      <c r="W38" s="120">
        <v>1</v>
      </c>
      <c r="X38" s="120">
        <v>1</v>
      </c>
      <c r="Y38" s="120">
        <v>1</v>
      </c>
      <c r="Z38" s="120">
        <v>1</v>
      </c>
      <c r="AA38" s="120">
        <v>1</v>
      </c>
      <c r="AB38" s="120">
        <v>1</v>
      </c>
      <c r="AC38" s="121">
        <v>1</v>
      </c>
      <c r="AD38" s="43"/>
      <c r="AE38" s="43"/>
      <c r="AF38" s="43"/>
      <c r="AG38" s="43"/>
      <c r="AH38" s="43"/>
      <c r="AI38" s="43"/>
      <c r="AJ38" s="43"/>
      <c r="AK38" s="43"/>
      <c r="AM38" s="52"/>
    </row>
    <row r="39" spans="1:39" ht="38.700000000000003" customHeight="1" x14ac:dyDescent="0.3">
      <c r="A39" s="715"/>
      <c r="B39" s="700"/>
      <c r="C39" s="700"/>
      <c r="D39" s="697"/>
      <c r="E39" s="110" t="s">
        <v>501</v>
      </c>
      <c r="F39" s="111">
        <v>1</v>
      </c>
      <c r="G39" s="111">
        <v>1</v>
      </c>
      <c r="H39" s="111">
        <v>1</v>
      </c>
      <c r="I39" s="111">
        <v>1</v>
      </c>
      <c r="J39" s="111">
        <v>1</v>
      </c>
      <c r="K39" s="111">
        <v>1</v>
      </c>
      <c r="L39" s="111">
        <v>1</v>
      </c>
      <c r="M39" s="111">
        <v>1</v>
      </c>
      <c r="N39" s="111">
        <v>1</v>
      </c>
      <c r="O39" s="111">
        <v>1</v>
      </c>
      <c r="P39" s="111">
        <v>1</v>
      </c>
      <c r="Q39" s="111">
        <v>1</v>
      </c>
      <c r="R39" s="111">
        <v>1</v>
      </c>
      <c r="S39" s="111">
        <v>1</v>
      </c>
      <c r="T39" s="111">
        <v>1</v>
      </c>
      <c r="U39" s="111">
        <v>1</v>
      </c>
      <c r="V39" s="111">
        <v>1</v>
      </c>
      <c r="W39" s="111">
        <v>1</v>
      </c>
      <c r="X39" s="111">
        <v>1</v>
      </c>
      <c r="Y39" s="111">
        <v>1</v>
      </c>
      <c r="Z39" s="111">
        <v>1</v>
      </c>
      <c r="AA39" s="111">
        <v>1</v>
      </c>
      <c r="AB39" s="111">
        <v>1</v>
      </c>
      <c r="AC39" s="112">
        <v>1</v>
      </c>
      <c r="AD39" s="43"/>
      <c r="AE39" s="43"/>
      <c r="AF39" s="43"/>
      <c r="AG39" s="43"/>
      <c r="AH39" s="43"/>
      <c r="AI39" s="43"/>
      <c r="AJ39" s="43"/>
      <c r="AK39" s="43"/>
      <c r="AM39" s="52"/>
    </row>
    <row r="40" spans="1:39" ht="38.4" customHeight="1" thickBot="1" x14ac:dyDescent="0.35">
      <c r="A40" s="716"/>
      <c r="B40" s="701"/>
      <c r="C40" s="701"/>
      <c r="D40" s="698"/>
      <c r="E40" s="116" t="s">
        <v>502</v>
      </c>
      <c r="F40" s="117">
        <v>1</v>
      </c>
      <c r="G40" s="117">
        <v>1</v>
      </c>
      <c r="H40" s="117">
        <v>1</v>
      </c>
      <c r="I40" s="117">
        <v>1</v>
      </c>
      <c r="J40" s="117">
        <v>1</v>
      </c>
      <c r="K40" s="117">
        <v>1</v>
      </c>
      <c r="L40" s="117">
        <v>1</v>
      </c>
      <c r="M40" s="117">
        <v>1</v>
      </c>
      <c r="N40" s="117">
        <v>1</v>
      </c>
      <c r="O40" s="117">
        <v>1</v>
      </c>
      <c r="P40" s="117">
        <v>1</v>
      </c>
      <c r="Q40" s="117">
        <v>1</v>
      </c>
      <c r="R40" s="117">
        <v>1</v>
      </c>
      <c r="S40" s="117">
        <v>1</v>
      </c>
      <c r="T40" s="117">
        <v>1</v>
      </c>
      <c r="U40" s="117">
        <v>1</v>
      </c>
      <c r="V40" s="117">
        <v>1</v>
      </c>
      <c r="W40" s="117">
        <v>1</v>
      </c>
      <c r="X40" s="117">
        <v>1</v>
      </c>
      <c r="Y40" s="117">
        <v>1</v>
      </c>
      <c r="Z40" s="117">
        <v>1</v>
      </c>
      <c r="AA40" s="117">
        <v>1</v>
      </c>
      <c r="AB40" s="117">
        <v>1</v>
      </c>
      <c r="AC40" s="118">
        <v>1</v>
      </c>
      <c r="AD40" s="43"/>
      <c r="AE40" s="43"/>
      <c r="AF40" s="43"/>
      <c r="AG40" s="43"/>
      <c r="AH40" s="43"/>
      <c r="AI40" s="43"/>
      <c r="AJ40" s="43"/>
      <c r="AK40" s="43"/>
      <c r="AM40" s="52"/>
    </row>
    <row r="41" spans="1:39" ht="38.700000000000003" customHeight="1" x14ac:dyDescent="0.3">
      <c r="A41" s="714" t="str">
        <f>A29</f>
        <v>Bulk storage</v>
      </c>
      <c r="B41" s="726" t="str">
        <f>B29</f>
        <v>BulkStorage</v>
      </c>
      <c r="C41" s="726" t="s">
        <v>509</v>
      </c>
      <c r="D41" s="696" t="s">
        <v>516</v>
      </c>
      <c r="E41" s="119" t="s">
        <v>500</v>
      </c>
      <c r="F41" s="120">
        <v>0.02</v>
      </c>
      <c r="G41" s="120">
        <v>0.02</v>
      </c>
      <c r="H41" s="120">
        <v>0.02</v>
      </c>
      <c r="I41" s="205">
        <v>0.05</v>
      </c>
      <c r="J41" s="205">
        <v>7.0000000000000007E-2</v>
      </c>
      <c r="K41" s="205">
        <v>0.1</v>
      </c>
      <c r="L41" s="205">
        <v>0.3</v>
      </c>
      <c r="M41" s="205">
        <v>0.36</v>
      </c>
      <c r="N41" s="205">
        <v>0.36</v>
      </c>
      <c r="O41" s="120">
        <v>0.36</v>
      </c>
      <c r="P41" s="120">
        <v>0.36</v>
      </c>
      <c r="Q41" s="120">
        <v>0.46</v>
      </c>
      <c r="R41" s="120">
        <v>0.56999999999999995</v>
      </c>
      <c r="S41" s="120">
        <v>0.43</v>
      </c>
      <c r="T41" s="205">
        <v>0.4</v>
      </c>
      <c r="U41" s="205">
        <v>0.3</v>
      </c>
      <c r="V41" s="205">
        <v>0.18</v>
      </c>
      <c r="W41" s="120">
        <v>0.18</v>
      </c>
      <c r="X41" s="120">
        <v>0.03</v>
      </c>
      <c r="Y41" s="120">
        <v>0.03</v>
      </c>
      <c r="Z41" s="120">
        <v>0.03</v>
      </c>
      <c r="AA41" s="120">
        <v>0.03</v>
      </c>
      <c r="AB41" s="120">
        <v>0.03</v>
      </c>
      <c r="AC41" s="121">
        <v>0.03</v>
      </c>
      <c r="AD41" s="43"/>
      <c r="AE41" s="43"/>
      <c r="AF41" s="43"/>
      <c r="AG41" s="43"/>
      <c r="AH41" s="43"/>
      <c r="AI41" s="43"/>
      <c r="AJ41" s="43"/>
      <c r="AK41" s="43"/>
      <c r="AM41" s="52"/>
    </row>
    <row r="42" spans="1:39" ht="38.700000000000003" customHeight="1" x14ac:dyDescent="0.3">
      <c r="A42" s="715"/>
      <c r="B42" s="700"/>
      <c r="C42" s="700"/>
      <c r="D42" s="697"/>
      <c r="E42" s="110" t="s">
        <v>501</v>
      </c>
      <c r="F42" s="353">
        <v>0.02</v>
      </c>
      <c r="G42" s="353">
        <v>0.02</v>
      </c>
      <c r="H42" s="353">
        <v>0.02</v>
      </c>
      <c r="I42" s="353">
        <v>0.05</v>
      </c>
      <c r="J42" s="353">
        <v>7.0000000000000007E-2</v>
      </c>
      <c r="K42" s="353">
        <v>0.1</v>
      </c>
      <c r="L42" s="353">
        <v>0.3</v>
      </c>
      <c r="M42" s="353">
        <v>0.36</v>
      </c>
      <c r="N42" s="353">
        <v>0.36</v>
      </c>
      <c r="O42" s="353">
        <v>0.36</v>
      </c>
      <c r="P42" s="353">
        <v>0.36</v>
      </c>
      <c r="Q42" s="353">
        <v>0.46</v>
      </c>
      <c r="R42" s="353">
        <v>0.56999999999999995</v>
      </c>
      <c r="S42" s="353">
        <v>0.43</v>
      </c>
      <c r="T42" s="353">
        <v>0.4</v>
      </c>
      <c r="U42" s="353">
        <v>0.3</v>
      </c>
      <c r="V42" s="353">
        <v>0.18</v>
      </c>
      <c r="W42" s="353">
        <v>0.18</v>
      </c>
      <c r="X42" s="353">
        <v>0.03</v>
      </c>
      <c r="Y42" s="353">
        <v>0.03</v>
      </c>
      <c r="Z42" s="353">
        <v>0.03</v>
      </c>
      <c r="AA42" s="353">
        <v>0.03</v>
      </c>
      <c r="AB42" s="353">
        <v>0.03</v>
      </c>
      <c r="AC42" s="364">
        <v>0.03</v>
      </c>
      <c r="AD42" s="43"/>
      <c r="AE42" s="43"/>
      <c r="AF42" s="43"/>
      <c r="AG42" s="43"/>
      <c r="AH42" s="43"/>
      <c r="AI42" s="43"/>
      <c r="AJ42" s="43"/>
      <c r="AK42" s="43"/>
      <c r="AM42" s="52"/>
    </row>
    <row r="43" spans="1:39" ht="38.700000000000003" customHeight="1" thickBot="1" x14ac:dyDescent="0.35">
      <c r="A43" s="716"/>
      <c r="B43" s="745"/>
      <c r="C43" s="745"/>
      <c r="D43" s="698"/>
      <c r="E43" s="113" t="s">
        <v>502</v>
      </c>
      <c r="F43" s="114">
        <v>0.02</v>
      </c>
      <c r="G43" s="114">
        <v>0.02</v>
      </c>
      <c r="H43" s="114">
        <v>0.02</v>
      </c>
      <c r="I43" s="114">
        <v>0.02</v>
      </c>
      <c r="J43" s="114">
        <v>0.02</v>
      </c>
      <c r="K43" s="114">
        <v>0.02</v>
      </c>
      <c r="L43" s="114">
        <v>0.02</v>
      </c>
      <c r="M43" s="114">
        <v>0.02</v>
      </c>
      <c r="N43" s="114">
        <v>0.02</v>
      </c>
      <c r="O43" s="114">
        <v>0.02</v>
      </c>
      <c r="P43" s="114">
        <v>0.02</v>
      </c>
      <c r="Q43" s="114">
        <v>0.02</v>
      </c>
      <c r="R43" s="114">
        <v>0.04</v>
      </c>
      <c r="S43" s="114">
        <v>0.04</v>
      </c>
      <c r="T43" s="114">
        <v>0.02</v>
      </c>
      <c r="U43" s="114">
        <v>0.02</v>
      </c>
      <c r="V43" s="114">
        <v>0.02</v>
      </c>
      <c r="W43" s="114">
        <v>0.02</v>
      </c>
      <c r="X43" s="114">
        <v>0.02</v>
      </c>
      <c r="Y43" s="114">
        <v>0.02</v>
      </c>
      <c r="Z43" s="114">
        <v>0.02</v>
      </c>
      <c r="AA43" s="114">
        <v>0.02</v>
      </c>
      <c r="AB43" s="114">
        <v>0.02</v>
      </c>
      <c r="AC43" s="115">
        <v>0.02</v>
      </c>
      <c r="AD43" s="43"/>
      <c r="AE43" s="43"/>
      <c r="AF43" s="43"/>
      <c r="AG43" s="43"/>
      <c r="AH43" s="43"/>
      <c r="AI43" s="43"/>
      <c r="AJ43" s="43"/>
      <c r="AK43" s="43"/>
      <c r="AM43" s="52"/>
    </row>
    <row r="44" spans="1:39" ht="38.700000000000003" customHeight="1" x14ac:dyDescent="0.3">
      <c r="A44" s="714" t="str">
        <f>A29</f>
        <v>Bulk storage</v>
      </c>
      <c r="B44" s="699" t="str">
        <f>B29</f>
        <v>BulkStorage</v>
      </c>
      <c r="C44" s="699" t="s">
        <v>245</v>
      </c>
      <c r="D44" s="696"/>
      <c r="E44" s="107" t="s">
        <v>500</v>
      </c>
      <c r="F44" s="108">
        <v>1</v>
      </c>
      <c r="G44" s="108">
        <v>1</v>
      </c>
      <c r="H44" s="108">
        <v>1</v>
      </c>
      <c r="I44" s="108">
        <v>1</v>
      </c>
      <c r="J44" s="108">
        <v>1</v>
      </c>
      <c r="K44" s="108">
        <v>1</v>
      </c>
      <c r="L44" s="108">
        <v>1</v>
      </c>
      <c r="M44" s="108">
        <v>1</v>
      </c>
      <c r="N44" s="108">
        <v>1</v>
      </c>
      <c r="O44" s="108">
        <v>1</v>
      </c>
      <c r="P44" s="108">
        <v>1</v>
      </c>
      <c r="Q44" s="108">
        <v>1</v>
      </c>
      <c r="R44" s="108">
        <v>1</v>
      </c>
      <c r="S44" s="108">
        <v>1</v>
      </c>
      <c r="T44" s="108">
        <v>1</v>
      </c>
      <c r="U44" s="108">
        <v>1</v>
      </c>
      <c r="V44" s="108">
        <v>1</v>
      </c>
      <c r="W44" s="108">
        <v>1</v>
      </c>
      <c r="X44" s="108">
        <v>1</v>
      </c>
      <c r="Y44" s="108">
        <v>1</v>
      </c>
      <c r="Z44" s="108">
        <v>1</v>
      </c>
      <c r="AA44" s="108">
        <v>1</v>
      </c>
      <c r="AB44" s="108">
        <v>1</v>
      </c>
      <c r="AC44" s="109">
        <v>1</v>
      </c>
      <c r="AD44" s="43"/>
      <c r="AE44" s="43"/>
      <c r="AF44" s="43"/>
      <c r="AG44" s="43"/>
      <c r="AH44" s="43"/>
      <c r="AI44" s="43"/>
      <c r="AJ44" s="43"/>
      <c r="AK44" s="43"/>
      <c r="AM44" s="52"/>
    </row>
    <row r="45" spans="1:39" ht="38.700000000000003" customHeight="1" x14ac:dyDescent="0.3">
      <c r="A45" s="715"/>
      <c r="B45" s="700"/>
      <c r="C45" s="700"/>
      <c r="D45" s="697"/>
      <c r="E45" s="110" t="s">
        <v>501</v>
      </c>
      <c r="F45" s="111">
        <v>1</v>
      </c>
      <c r="G45" s="111">
        <v>1</v>
      </c>
      <c r="H45" s="111">
        <v>1</v>
      </c>
      <c r="I45" s="111">
        <v>1</v>
      </c>
      <c r="J45" s="111">
        <v>1</v>
      </c>
      <c r="K45" s="111">
        <v>1</v>
      </c>
      <c r="L45" s="111">
        <v>1</v>
      </c>
      <c r="M45" s="111">
        <v>1</v>
      </c>
      <c r="N45" s="111">
        <v>1</v>
      </c>
      <c r="O45" s="111">
        <v>1</v>
      </c>
      <c r="P45" s="111">
        <v>1</v>
      </c>
      <c r="Q45" s="111">
        <v>1</v>
      </c>
      <c r="R45" s="111">
        <v>1</v>
      </c>
      <c r="S45" s="111">
        <v>1</v>
      </c>
      <c r="T45" s="111">
        <v>1</v>
      </c>
      <c r="U45" s="111">
        <v>1</v>
      </c>
      <c r="V45" s="111">
        <v>1</v>
      </c>
      <c r="W45" s="111">
        <v>1</v>
      </c>
      <c r="X45" s="111">
        <v>1</v>
      </c>
      <c r="Y45" s="111">
        <v>1</v>
      </c>
      <c r="Z45" s="111">
        <v>1</v>
      </c>
      <c r="AA45" s="111">
        <v>1</v>
      </c>
      <c r="AB45" s="111">
        <v>1</v>
      </c>
      <c r="AC45" s="112">
        <v>1</v>
      </c>
      <c r="AD45" s="43"/>
      <c r="AE45" s="43"/>
      <c r="AF45" s="43"/>
      <c r="AG45" s="43"/>
      <c r="AH45" s="43"/>
      <c r="AI45" s="43"/>
      <c r="AJ45" s="43"/>
      <c r="AK45" s="43"/>
      <c r="AM45" s="52"/>
    </row>
    <row r="46" spans="1:39" ht="38.700000000000003" customHeight="1" thickBot="1" x14ac:dyDescent="0.35">
      <c r="A46" s="754"/>
      <c r="B46" s="745"/>
      <c r="C46" s="745"/>
      <c r="D46" s="753"/>
      <c r="E46" s="116" t="s">
        <v>502</v>
      </c>
      <c r="F46" s="117">
        <v>1</v>
      </c>
      <c r="G46" s="117">
        <v>1</v>
      </c>
      <c r="H46" s="117">
        <v>1</v>
      </c>
      <c r="I46" s="117">
        <v>1</v>
      </c>
      <c r="J46" s="117">
        <v>1</v>
      </c>
      <c r="K46" s="117">
        <v>1</v>
      </c>
      <c r="L46" s="117">
        <v>1</v>
      </c>
      <c r="M46" s="117">
        <v>1</v>
      </c>
      <c r="N46" s="117">
        <v>1</v>
      </c>
      <c r="O46" s="117">
        <v>1</v>
      </c>
      <c r="P46" s="117">
        <v>1</v>
      </c>
      <c r="Q46" s="117">
        <v>1</v>
      </c>
      <c r="R46" s="117">
        <v>1</v>
      </c>
      <c r="S46" s="117">
        <v>1</v>
      </c>
      <c r="T46" s="117">
        <v>1</v>
      </c>
      <c r="U46" s="117">
        <v>1</v>
      </c>
      <c r="V46" s="117">
        <v>1</v>
      </c>
      <c r="W46" s="117">
        <v>1</v>
      </c>
      <c r="X46" s="117">
        <v>1</v>
      </c>
      <c r="Y46" s="117">
        <v>1</v>
      </c>
      <c r="Z46" s="117">
        <v>1</v>
      </c>
      <c r="AA46" s="117">
        <v>1</v>
      </c>
      <c r="AB46" s="117">
        <v>1</v>
      </c>
      <c r="AC46" s="118">
        <v>1</v>
      </c>
      <c r="AD46" s="43"/>
      <c r="AE46" s="43"/>
      <c r="AF46" s="43"/>
      <c r="AG46" s="43"/>
      <c r="AH46" s="43"/>
      <c r="AI46" s="43"/>
      <c r="AJ46" s="43"/>
      <c r="AK46" s="43"/>
      <c r="AM46" s="52"/>
    </row>
    <row r="47" spans="1:39" ht="38.700000000000003" customHeight="1" x14ac:dyDescent="0.3">
      <c r="A47" s="727" t="str">
        <f>A29</f>
        <v>Bulk storage</v>
      </c>
      <c r="B47" s="699" t="str">
        <f>B29</f>
        <v>BulkStorage</v>
      </c>
      <c r="C47" s="729" t="s">
        <v>510</v>
      </c>
      <c r="D47" s="702" t="s">
        <v>358</v>
      </c>
      <c r="E47" s="107" t="s">
        <v>500</v>
      </c>
      <c r="F47" s="298">
        <f>Thermostat!$C$11</f>
        <v>50</v>
      </c>
      <c r="G47" s="298">
        <f>Thermostat!$C$11</f>
        <v>50</v>
      </c>
      <c r="H47" s="298">
        <f>Thermostat!$C$11</f>
        <v>50</v>
      </c>
      <c r="I47" s="298">
        <f>Thermostat!$C$11</f>
        <v>50</v>
      </c>
      <c r="J47" s="298">
        <f>Thermostat!$C$11</f>
        <v>50</v>
      </c>
      <c r="K47" s="298">
        <f>Thermostat!$C$11</f>
        <v>50</v>
      </c>
      <c r="L47" s="298">
        <f>Thermostat!$C$11</f>
        <v>50</v>
      </c>
      <c r="M47" s="298">
        <f>Thermostat!$C$11</f>
        <v>50</v>
      </c>
      <c r="N47" s="298">
        <f>Thermostat!$C$11</f>
        <v>50</v>
      </c>
      <c r="O47" s="298">
        <f>Thermostat!$C$11</f>
        <v>50</v>
      </c>
      <c r="P47" s="298">
        <f>Thermostat!$C$11</f>
        <v>50</v>
      </c>
      <c r="Q47" s="298">
        <f>Thermostat!$C$11</f>
        <v>50</v>
      </c>
      <c r="R47" s="298">
        <f>Thermostat!$C$11</f>
        <v>50</v>
      </c>
      <c r="S47" s="298">
        <f>Thermostat!$C$11</f>
        <v>50</v>
      </c>
      <c r="T47" s="298">
        <f>Thermostat!$C$11</f>
        <v>50</v>
      </c>
      <c r="U47" s="298">
        <f>Thermostat!$C$11</f>
        <v>50</v>
      </c>
      <c r="V47" s="298">
        <f>Thermostat!$C$11</f>
        <v>50</v>
      </c>
      <c r="W47" s="298">
        <f>Thermostat!$C$11</f>
        <v>50</v>
      </c>
      <c r="X47" s="298">
        <f>Thermostat!$C$11</f>
        <v>50</v>
      </c>
      <c r="Y47" s="298">
        <f>Thermostat!$C$11</f>
        <v>50</v>
      </c>
      <c r="Z47" s="298">
        <f>Thermostat!$C$11</f>
        <v>50</v>
      </c>
      <c r="AA47" s="298">
        <f>Thermostat!$C$11</f>
        <v>50</v>
      </c>
      <c r="AB47" s="298">
        <f>Thermostat!$C$11</f>
        <v>50</v>
      </c>
      <c r="AC47" s="299">
        <f>Thermostat!$C$11</f>
        <v>50</v>
      </c>
      <c r="AD47" s="43"/>
      <c r="AE47" s="43"/>
      <c r="AF47" s="43"/>
      <c r="AG47" s="43"/>
      <c r="AH47" s="43"/>
      <c r="AI47" s="43"/>
      <c r="AJ47" s="43"/>
      <c r="AK47" s="43"/>
      <c r="AM47" s="52"/>
    </row>
    <row r="48" spans="1:39" ht="38.700000000000003" customHeight="1" x14ac:dyDescent="0.3">
      <c r="A48" s="715"/>
      <c r="B48" s="700"/>
      <c r="C48" s="730"/>
      <c r="D48" s="697"/>
      <c r="E48" s="110" t="s">
        <v>501</v>
      </c>
      <c r="F48" s="300">
        <f>Thermostat!$C$11</f>
        <v>50</v>
      </c>
      <c r="G48" s="300">
        <f>Thermostat!$C$11</f>
        <v>50</v>
      </c>
      <c r="H48" s="300">
        <f>Thermostat!$C$11</f>
        <v>50</v>
      </c>
      <c r="I48" s="300">
        <f>Thermostat!$C$11</f>
        <v>50</v>
      </c>
      <c r="J48" s="300">
        <f>Thermostat!$C$11</f>
        <v>50</v>
      </c>
      <c r="K48" s="300">
        <f>Thermostat!$C$11</f>
        <v>50</v>
      </c>
      <c r="L48" s="300">
        <f>Thermostat!$C$11</f>
        <v>50</v>
      </c>
      <c r="M48" s="300">
        <f>Thermostat!$C$11</f>
        <v>50</v>
      </c>
      <c r="N48" s="300">
        <f>Thermostat!$C$11</f>
        <v>50</v>
      </c>
      <c r="O48" s="300">
        <f>Thermostat!$C$11</f>
        <v>50</v>
      </c>
      <c r="P48" s="300">
        <f>Thermostat!$C$11</f>
        <v>50</v>
      </c>
      <c r="Q48" s="300">
        <f>Thermostat!$C$11</f>
        <v>50</v>
      </c>
      <c r="R48" s="300">
        <f>Thermostat!$C$11</f>
        <v>50</v>
      </c>
      <c r="S48" s="300">
        <f>Thermostat!$C$11</f>
        <v>50</v>
      </c>
      <c r="T48" s="300">
        <f>Thermostat!$C$11</f>
        <v>50</v>
      </c>
      <c r="U48" s="300">
        <f>Thermostat!$C$11</f>
        <v>50</v>
      </c>
      <c r="V48" s="300">
        <f>Thermostat!$C$11</f>
        <v>50</v>
      </c>
      <c r="W48" s="300">
        <f>Thermostat!$C$11</f>
        <v>50</v>
      </c>
      <c r="X48" s="300">
        <f>Thermostat!$C$11</f>
        <v>50</v>
      </c>
      <c r="Y48" s="300">
        <f>Thermostat!$C$11</f>
        <v>50</v>
      </c>
      <c r="Z48" s="300">
        <f>Thermostat!$C$11</f>
        <v>50</v>
      </c>
      <c r="AA48" s="300">
        <f>Thermostat!$C$11</f>
        <v>50</v>
      </c>
      <c r="AB48" s="300">
        <f>Thermostat!$C$11</f>
        <v>50</v>
      </c>
      <c r="AC48" s="301">
        <f>Thermostat!$C$11</f>
        <v>50</v>
      </c>
      <c r="AD48" s="43"/>
      <c r="AE48" s="43"/>
      <c r="AF48" s="43"/>
      <c r="AG48" s="43"/>
      <c r="AH48" s="43"/>
      <c r="AI48" s="43"/>
      <c r="AJ48" s="43"/>
      <c r="AK48" s="43"/>
      <c r="AM48" s="52"/>
    </row>
    <row r="49" spans="1:39" ht="38.700000000000003" customHeight="1" x14ac:dyDescent="0.3">
      <c r="A49" s="728"/>
      <c r="B49" s="701"/>
      <c r="C49" s="731"/>
      <c r="D49" s="698"/>
      <c r="E49" s="116" t="s">
        <v>502</v>
      </c>
      <c r="F49" s="302">
        <f>Thermostat!$C$11</f>
        <v>50</v>
      </c>
      <c r="G49" s="302">
        <f>Thermostat!$C$11</f>
        <v>50</v>
      </c>
      <c r="H49" s="302">
        <f>Thermostat!$C$11</f>
        <v>50</v>
      </c>
      <c r="I49" s="302">
        <f>Thermostat!$C$11</f>
        <v>50</v>
      </c>
      <c r="J49" s="302">
        <f>Thermostat!$C$11</f>
        <v>50</v>
      </c>
      <c r="K49" s="302">
        <f>Thermostat!$C$11</f>
        <v>50</v>
      </c>
      <c r="L49" s="302">
        <f>Thermostat!$C$11</f>
        <v>50</v>
      </c>
      <c r="M49" s="302">
        <f>Thermostat!$C$11</f>
        <v>50</v>
      </c>
      <c r="N49" s="302">
        <f>Thermostat!$C$11</f>
        <v>50</v>
      </c>
      <c r="O49" s="302">
        <f>Thermostat!$C$11</f>
        <v>50</v>
      </c>
      <c r="P49" s="302">
        <f>Thermostat!$C$11</f>
        <v>50</v>
      </c>
      <c r="Q49" s="302">
        <f>Thermostat!$C$11</f>
        <v>50</v>
      </c>
      <c r="R49" s="302">
        <f>Thermostat!$C$11</f>
        <v>50</v>
      </c>
      <c r="S49" s="302">
        <f>Thermostat!$C$11</f>
        <v>50</v>
      </c>
      <c r="T49" s="302">
        <f>Thermostat!$C$11</f>
        <v>50</v>
      </c>
      <c r="U49" s="302">
        <f>Thermostat!$C$11</f>
        <v>50</v>
      </c>
      <c r="V49" s="302">
        <f>Thermostat!$C$11</f>
        <v>50</v>
      </c>
      <c r="W49" s="302">
        <f>Thermostat!$C$11</f>
        <v>50</v>
      </c>
      <c r="X49" s="302">
        <f>Thermostat!$C$11</f>
        <v>50</v>
      </c>
      <c r="Y49" s="302">
        <f>Thermostat!$C$11</f>
        <v>50</v>
      </c>
      <c r="Z49" s="302">
        <f>Thermostat!$C$11</f>
        <v>50</v>
      </c>
      <c r="AA49" s="302">
        <f>Thermostat!$C$11</f>
        <v>50</v>
      </c>
      <c r="AB49" s="302">
        <f>Thermostat!$C$11</f>
        <v>50</v>
      </c>
      <c r="AC49" s="303">
        <f>Thermostat!$C$11</f>
        <v>50</v>
      </c>
      <c r="AD49" s="43"/>
      <c r="AE49" s="43"/>
      <c r="AF49" s="43"/>
      <c r="AG49" s="43"/>
      <c r="AH49" s="43"/>
      <c r="AI49" s="43"/>
      <c r="AJ49" s="43"/>
      <c r="AK49" s="43"/>
      <c r="AM49" s="52"/>
    </row>
    <row r="50" spans="1:39" ht="38.700000000000003" customHeight="1" x14ac:dyDescent="0.3">
      <c r="A50" s="727" t="str">
        <f>A32</f>
        <v>Bulk storage</v>
      </c>
      <c r="B50" s="699" t="str">
        <f>B32</f>
        <v>BulkStorage</v>
      </c>
      <c r="C50" s="729" t="s">
        <v>517</v>
      </c>
      <c r="D50" s="702" t="s">
        <v>518</v>
      </c>
      <c r="E50" s="343" t="s">
        <v>500</v>
      </c>
      <c r="F50" s="344">
        <v>0.2</v>
      </c>
      <c r="G50" s="344">
        <v>0.2</v>
      </c>
      <c r="H50" s="344">
        <v>0.2</v>
      </c>
      <c r="I50" s="344">
        <v>0.2</v>
      </c>
      <c r="J50" s="344">
        <v>0.2</v>
      </c>
      <c r="K50" s="344">
        <v>0.2</v>
      </c>
      <c r="L50" s="344">
        <v>0.2</v>
      </c>
      <c r="M50" s="344">
        <v>0.2</v>
      </c>
      <c r="N50" s="344">
        <v>0.2</v>
      </c>
      <c r="O50" s="344">
        <v>0.2</v>
      </c>
      <c r="P50" s="344">
        <v>0.2</v>
      </c>
      <c r="Q50" s="344">
        <v>0.2</v>
      </c>
      <c r="R50" s="344">
        <v>0.2</v>
      </c>
      <c r="S50" s="344">
        <v>0.2</v>
      </c>
      <c r="T50" s="344">
        <v>0.2</v>
      </c>
      <c r="U50" s="344">
        <v>0.2</v>
      </c>
      <c r="V50" s="344">
        <v>0.5</v>
      </c>
      <c r="W50" s="344">
        <v>0.5</v>
      </c>
      <c r="X50" s="344">
        <v>1</v>
      </c>
      <c r="Y50" s="344">
        <v>1</v>
      </c>
      <c r="Z50" s="344">
        <v>1</v>
      </c>
      <c r="AA50" s="344">
        <v>1</v>
      </c>
      <c r="AB50" s="344">
        <v>1</v>
      </c>
      <c r="AC50" s="345">
        <v>1</v>
      </c>
      <c r="AD50" s="43"/>
      <c r="AE50" s="43"/>
      <c r="AF50" s="43"/>
      <c r="AG50" s="43"/>
      <c r="AH50" s="43"/>
      <c r="AI50" s="43"/>
      <c r="AJ50" s="43"/>
      <c r="AK50" s="43"/>
      <c r="AM50" s="52"/>
    </row>
    <row r="51" spans="1:39" ht="38.700000000000003" customHeight="1" x14ac:dyDescent="0.3">
      <c r="A51" s="715"/>
      <c r="B51" s="700"/>
      <c r="C51" s="730"/>
      <c r="D51" s="697"/>
      <c r="E51" s="110" t="s">
        <v>501</v>
      </c>
      <c r="F51" s="366">
        <v>0.2</v>
      </c>
      <c r="G51" s="366">
        <v>0.2</v>
      </c>
      <c r="H51" s="366">
        <v>0.2</v>
      </c>
      <c r="I51" s="366">
        <v>0.2</v>
      </c>
      <c r="J51" s="366">
        <v>0.2</v>
      </c>
      <c r="K51" s="366">
        <v>0.2</v>
      </c>
      <c r="L51" s="366">
        <v>0.2</v>
      </c>
      <c r="M51" s="366">
        <v>0.2</v>
      </c>
      <c r="N51" s="366">
        <v>0.2</v>
      </c>
      <c r="O51" s="366">
        <v>0.2</v>
      </c>
      <c r="P51" s="366">
        <v>0.2</v>
      </c>
      <c r="Q51" s="366">
        <v>0.2</v>
      </c>
      <c r="R51" s="366">
        <v>0.2</v>
      </c>
      <c r="S51" s="366">
        <v>0.2</v>
      </c>
      <c r="T51" s="366">
        <v>0.2</v>
      </c>
      <c r="U51" s="366">
        <v>0.2</v>
      </c>
      <c r="V51" s="366">
        <v>0.5</v>
      </c>
      <c r="W51" s="366">
        <v>0.5</v>
      </c>
      <c r="X51" s="366">
        <v>1</v>
      </c>
      <c r="Y51" s="366">
        <v>1</v>
      </c>
      <c r="Z51" s="366">
        <v>1</v>
      </c>
      <c r="AA51" s="366">
        <v>1</v>
      </c>
      <c r="AB51" s="366">
        <v>1</v>
      </c>
      <c r="AC51" s="367">
        <v>1</v>
      </c>
      <c r="AD51" s="43"/>
      <c r="AE51" s="43"/>
      <c r="AF51" s="43"/>
      <c r="AG51" s="43"/>
      <c r="AH51" s="43"/>
      <c r="AI51" s="43"/>
      <c r="AJ51" s="43"/>
      <c r="AK51" s="43"/>
      <c r="AM51" s="52"/>
    </row>
    <row r="52" spans="1:39" ht="38.700000000000003" customHeight="1" thickBot="1" x14ac:dyDescent="0.35">
      <c r="A52" s="754"/>
      <c r="B52" s="745"/>
      <c r="C52" s="755"/>
      <c r="D52" s="753"/>
      <c r="E52" s="113" t="s">
        <v>502</v>
      </c>
      <c r="F52" s="347">
        <v>0.05</v>
      </c>
      <c r="G52" s="347">
        <v>0.05</v>
      </c>
      <c r="H52" s="347">
        <v>0.05</v>
      </c>
      <c r="I52" s="347">
        <v>0.05</v>
      </c>
      <c r="J52" s="347">
        <v>0.05</v>
      </c>
      <c r="K52" s="347">
        <v>0.05</v>
      </c>
      <c r="L52" s="347">
        <v>0.05</v>
      </c>
      <c r="M52" s="347">
        <v>0.05</v>
      </c>
      <c r="N52" s="347">
        <v>0.05</v>
      </c>
      <c r="O52" s="347">
        <v>0.05</v>
      </c>
      <c r="P52" s="347">
        <v>0.05</v>
      </c>
      <c r="Q52" s="347">
        <v>0.05</v>
      </c>
      <c r="R52" s="347">
        <v>0.05</v>
      </c>
      <c r="S52" s="347">
        <v>0.05</v>
      </c>
      <c r="T52" s="347">
        <v>0.05</v>
      </c>
      <c r="U52" s="347">
        <v>0.05</v>
      </c>
      <c r="V52" s="347">
        <v>0.05</v>
      </c>
      <c r="W52" s="347">
        <v>0.05</v>
      </c>
      <c r="X52" s="347">
        <v>0.05</v>
      </c>
      <c r="Y52" s="347">
        <v>0.05</v>
      </c>
      <c r="Z52" s="347">
        <v>0.05</v>
      </c>
      <c r="AA52" s="347">
        <v>0.05</v>
      </c>
      <c r="AB52" s="347">
        <v>0.05</v>
      </c>
      <c r="AC52" s="348">
        <v>0.05</v>
      </c>
      <c r="AD52" s="43"/>
      <c r="AE52" s="43"/>
      <c r="AF52" s="43"/>
      <c r="AG52" s="43"/>
      <c r="AH52" s="43"/>
      <c r="AI52" s="43"/>
      <c r="AJ52" s="43"/>
      <c r="AK52" s="43"/>
      <c r="AM52" s="52"/>
    </row>
    <row r="53" spans="1:39" ht="38.700000000000003" customHeight="1" x14ac:dyDescent="0.3">
      <c r="A53" s="732" t="str">
        <f>A35</f>
        <v>Bulk storage</v>
      </c>
      <c r="B53" s="793" t="str">
        <f>B35</f>
        <v>BulkStorage</v>
      </c>
      <c r="C53" s="795" t="s">
        <v>519</v>
      </c>
      <c r="D53" s="797"/>
      <c r="E53" s="355" t="s">
        <v>500</v>
      </c>
      <c r="F53" s="356">
        <f>Envelope!F56</f>
        <v>0.36363636363636365</v>
      </c>
      <c r="G53" s="356">
        <v>0.36</v>
      </c>
      <c r="H53" s="356">
        <v>0.36</v>
      </c>
      <c r="I53" s="356">
        <v>0.36</v>
      </c>
      <c r="J53" s="356">
        <v>0.36</v>
      </c>
      <c r="K53" s="356">
        <v>0.36</v>
      </c>
      <c r="L53" s="356">
        <v>0.36</v>
      </c>
      <c r="M53" s="356">
        <v>1</v>
      </c>
      <c r="N53" s="356">
        <v>1</v>
      </c>
      <c r="O53" s="356">
        <v>1</v>
      </c>
      <c r="P53" s="356">
        <v>1</v>
      </c>
      <c r="Q53" s="356">
        <v>1</v>
      </c>
      <c r="R53" s="356">
        <v>0.36</v>
      </c>
      <c r="S53" s="356">
        <v>0.36</v>
      </c>
      <c r="T53" s="356">
        <v>0.36</v>
      </c>
      <c r="U53" s="356">
        <v>0.36</v>
      </c>
      <c r="V53" s="356">
        <v>0.36</v>
      </c>
      <c r="W53" s="356">
        <v>0.36</v>
      </c>
      <c r="X53" s="356">
        <v>0.36</v>
      </c>
      <c r="Y53" s="356">
        <v>0.36</v>
      </c>
      <c r="Z53" s="356">
        <v>0.36</v>
      </c>
      <c r="AA53" s="356">
        <v>0.36</v>
      </c>
      <c r="AB53" s="356">
        <v>0.36</v>
      </c>
      <c r="AC53" s="357">
        <v>0.36</v>
      </c>
      <c r="AD53" s="43"/>
      <c r="AE53" s="43"/>
      <c r="AF53" s="43"/>
      <c r="AG53" s="43"/>
      <c r="AH53" s="43"/>
      <c r="AI53" s="43"/>
      <c r="AJ53" s="43"/>
      <c r="AK53" s="43"/>
      <c r="AM53" s="52"/>
    </row>
    <row r="54" spans="1:39" ht="38.700000000000003" customHeight="1" x14ac:dyDescent="0.3">
      <c r="A54" s="733"/>
      <c r="B54" s="700"/>
      <c r="C54" s="730"/>
      <c r="D54" s="758"/>
      <c r="E54" s="316" t="s">
        <v>501</v>
      </c>
      <c r="F54" s="354">
        <v>0.36</v>
      </c>
      <c r="G54" s="354">
        <v>0.36</v>
      </c>
      <c r="H54" s="354">
        <v>0.36</v>
      </c>
      <c r="I54" s="354">
        <v>0.36</v>
      </c>
      <c r="J54" s="354">
        <v>0.36</v>
      </c>
      <c r="K54" s="354">
        <v>0.36</v>
      </c>
      <c r="L54" s="354">
        <v>0.36</v>
      </c>
      <c r="M54" s="354">
        <v>1</v>
      </c>
      <c r="N54" s="354">
        <v>1</v>
      </c>
      <c r="O54" s="354">
        <v>1</v>
      </c>
      <c r="P54" s="354">
        <v>1</v>
      </c>
      <c r="Q54" s="354">
        <v>1</v>
      </c>
      <c r="R54" s="354">
        <v>0.36</v>
      </c>
      <c r="S54" s="354">
        <v>0.36</v>
      </c>
      <c r="T54" s="354">
        <v>0.36</v>
      </c>
      <c r="U54" s="354">
        <v>0.36</v>
      </c>
      <c r="V54" s="354">
        <v>0.36</v>
      </c>
      <c r="W54" s="354">
        <v>0.36</v>
      </c>
      <c r="X54" s="354">
        <v>0.36</v>
      </c>
      <c r="Y54" s="354">
        <v>0.36</v>
      </c>
      <c r="Z54" s="354">
        <v>0.36</v>
      </c>
      <c r="AA54" s="354">
        <v>0.36</v>
      </c>
      <c r="AB54" s="354">
        <v>0.36</v>
      </c>
      <c r="AC54" s="358">
        <v>0.36</v>
      </c>
      <c r="AD54" s="43"/>
      <c r="AE54" s="43"/>
      <c r="AF54" s="43"/>
      <c r="AG54" s="43"/>
      <c r="AH54" s="43"/>
      <c r="AI54" s="43"/>
      <c r="AJ54" s="43"/>
      <c r="AK54" s="43"/>
      <c r="AM54" s="52"/>
    </row>
    <row r="55" spans="1:39" ht="38.700000000000003" customHeight="1" thickBot="1" x14ac:dyDescent="0.35">
      <c r="A55" s="734"/>
      <c r="B55" s="794"/>
      <c r="C55" s="796"/>
      <c r="D55" s="798"/>
      <c r="E55" s="319" t="s">
        <v>502</v>
      </c>
      <c r="F55" s="359">
        <v>0.36</v>
      </c>
      <c r="G55" s="359">
        <v>0.36</v>
      </c>
      <c r="H55" s="359">
        <v>0.36</v>
      </c>
      <c r="I55" s="359">
        <v>0.36</v>
      </c>
      <c r="J55" s="359">
        <v>0.36</v>
      </c>
      <c r="K55" s="359">
        <v>0.36</v>
      </c>
      <c r="L55" s="359">
        <v>0.36</v>
      </c>
      <c r="M55" s="359">
        <v>0.36</v>
      </c>
      <c r="N55" s="359">
        <v>0.36</v>
      </c>
      <c r="O55" s="359">
        <v>0.36</v>
      </c>
      <c r="P55" s="359">
        <v>0.36</v>
      </c>
      <c r="Q55" s="359">
        <v>0.36</v>
      </c>
      <c r="R55" s="359">
        <v>0.36</v>
      </c>
      <c r="S55" s="359">
        <v>0.36</v>
      </c>
      <c r="T55" s="359">
        <v>0.36</v>
      </c>
      <c r="U55" s="359">
        <v>0.36</v>
      </c>
      <c r="V55" s="359">
        <v>0.36</v>
      </c>
      <c r="W55" s="359">
        <v>0.36</v>
      </c>
      <c r="X55" s="359">
        <v>0.36</v>
      </c>
      <c r="Y55" s="359">
        <v>0.36</v>
      </c>
      <c r="Z55" s="359">
        <v>0.36</v>
      </c>
      <c r="AA55" s="359">
        <v>0.36</v>
      </c>
      <c r="AB55" s="359">
        <v>0.36</v>
      </c>
      <c r="AC55" s="360">
        <v>0.36</v>
      </c>
      <c r="AD55" s="43"/>
      <c r="AE55" s="43"/>
      <c r="AF55" s="43"/>
      <c r="AG55" s="43"/>
      <c r="AH55" s="43"/>
      <c r="AI55" s="43"/>
      <c r="AJ55" s="43"/>
      <c r="AK55" s="43"/>
      <c r="AM55" s="52"/>
    </row>
    <row r="56" spans="1:39" ht="29.4" customHeight="1" thickBot="1" x14ac:dyDescent="0.35">
      <c r="A56" s="703" t="s">
        <v>173</v>
      </c>
      <c r="B56" s="703"/>
      <c r="C56" s="703"/>
      <c r="D56" s="703"/>
      <c r="E56" s="703"/>
      <c r="F56" s="703"/>
      <c r="G56" s="703"/>
      <c r="H56" s="703"/>
      <c r="I56" s="703"/>
      <c r="J56" s="703"/>
      <c r="K56" s="703"/>
      <c r="L56" s="703"/>
      <c r="M56" s="703"/>
      <c r="N56" s="703"/>
      <c r="O56" s="703"/>
      <c r="P56" s="703"/>
      <c r="Q56" s="703"/>
      <c r="R56" s="703"/>
      <c r="S56" s="703"/>
      <c r="T56" s="703"/>
      <c r="U56" s="703"/>
      <c r="V56" s="703"/>
      <c r="W56" s="703"/>
      <c r="X56" s="703"/>
      <c r="Y56" s="703"/>
      <c r="Z56" s="703"/>
      <c r="AA56" s="703"/>
      <c r="AB56" s="703"/>
      <c r="AC56" s="704"/>
      <c r="AD56" s="44"/>
      <c r="AE56" s="43"/>
      <c r="AF56" s="43"/>
      <c r="AG56" s="43"/>
      <c r="AH56" s="43"/>
      <c r="AI56" s="43"/>
      <c r="AJ56" s="43"/>
      <c r="AK56" s="43"/>
    </row>
    <row r="57" spans="1:39" ht="33" customHeight="1" x14ac:dyDescent="0.3">
      <c r="A57" s="732" t="s">
        <v>173</v>
      </c>
      <c r="B57" s="749" t="s">
        <v>173</v>
      </c>
      <c r="C57" s="751" t="s">
        <v>498</v>
      </c>
      <c r="D57" s="790" t="s">
        <v>520</v>
      </c>
      <c r="E57" s="122" t="s">
        <v>500</v>
      </c>
      <c r="F57" s="123">
        <v>0</v>
      </c>
      <c r="G57" s="123">
        <v>0</v>
      </c>
      <c r="H57" s="123">
        <v>0</v>
      </c>
      <c r="I57" s="123">
        <v>0</v>
      </c>
      <c r="J57" s="123">
        <v>0</v>
      </c>
      <c r="K57" s="123">
        <v>0</v>
      </c>
      <c r="L57" s="123">
        <v>0.1</v>
      </c>
      <c r="M57" s="123">
        <v>0.2</v>
      </c>
      <c r="N57" s="123">
        <v>0.95</v>
      </c>
      <c r="O57" s="123">
        <v>0.95</v>
      </c>
      <c r="P57" s="123">
        <v>0.95</v>
      </c>
      <c r="Q57" s="123">
        <v>0.95</v>
      </c>
      <c r="R57" s="123">
        <v>0.5</v>
      </c>
      <c r="S57" s="123">
        <v>0.95</v>
      </c>
      <c r="T57" s="123">
        <v>0.95</v>
      </c>
      <c r="U57" s="123">
        <v>0.95</v>
      </c>
      <c r="V57" s="123">
        <v>0.95</v>
      </c>
      <c r="W57" s="123">
        <v>0.3</v>
      </c>
      <c r="X57" s="123">
        <v>0.1</v>
      </c>
      <c r="Y57" s="123">
        <v>0.1</v>
      </c>
      <c r="Z57" s="123">
        <v>0.1</v>
      </c>
      <c r="AA57" s="123">
        <v>0.1</v>
      </c>
      <c r="AB57" s="123">
        <v>0.05</v>
      </c>
      <c r="AC57" s="124">
        <v>0.05</v>
      </c>
      <c r="AD57" s="43"/>
      <c r="AE57" s="43"/>
      <c r="AF57" s="43"/>
      <c r="AG57" s="43"/>
      <c r="AH57" s="43"/>
      <c r="AI57" s="43"/>
      <c r="AJ57" s="43"/>
      <c r="AK57" s="43"/>
    </row>
    <row r="58" spans="1:39" ht="33" customHeight="1" x14ac:dyDescent="0.3">
      <c r="A58" s="733"/>
      <c r="B58" s="706"/>
      <c r="C58" s="709"/>
      <c r="D58" s="791"/>
      <c r="E58" s="125" t="s">
        <v>501</v>
      </c>
      <c r="F58" s="126">
        <v>0</v>
      </c>
      <c r="G58" s="126">
        <v>0</v>
      </c>
      <c r="H58" s="126">
        <v>0</v>
      </c>
      <c r="I58" s="126">
        <v>0</v>
      </c>
      <c r="J58" s="126">
        <v>0</v>
      </c>
      <c r="K58" s="126">
        <v>0</v>
      </c>
      <c r="L58" s="304">
        <v>0.05</v>
      </c>
      <c r="M58" s="304">
        <v>0.05</v>
      </c>
      <c r="N58" s="304">
        <v>0.05</v>
      </c>
      <c r="O58" s="304">
        <v>0.05</v>
      </c>
      <c r="P58" s="304">
        <v>0.05</v>
      </c>
      <c r="Q58" s="304">
        <v>0.05</v>
      </c>
      <c r="R58" s="304">
        <v>0.05</v>
      </c>
      <c r="S58" s="304">
        <v>0.05</v>
      </c>
      <c r="T58" s="304">
        <v>0.05</v>
      </c>
      <c r="U58" s="304">
        <v>0.05</v>
      </c>
      <c r="V58" s="304">
        <v>0.05</v>
      </c>
      <c r="W58" s="304">
        <v>0.05</v>
      </c>
      <c r="X58" s="305">
        <v>0</v>
      </c>
      <c r="Y58" s="126">
        <v>0</v>
      </c>
      <c r="Z58" s="126">
        <v>0</v>
      </c>
      <c r="AA58" s="126">
        <v>0</v>
      </c>
      <c r="AB58" s="126">
        <v>0</v>
      </c>
      <c r="AC58" s="127">
        <v>0</v>
      </c>
      <c r="AD58" s="43"/>
      <c r="AE58" s="43"/>
      <c r="AF58" s="43"/>
      <c r="AG58" s="43"/>
      <c r="AH58" s="43"/>
      <c r="AI58" s="43"/>
      <c r="AJ58" s="43"/>
      <c r="AK58" s="43"/>
    </row>
    <row r="59" spans="1:39" ht="33" customHeight="1" thickBot="1" x14ac:dyDescent="0.35">
      <c r="A59" s="734"/>
      <c r="B59" s="750"/>
      <c r="C59" s="752"/>
      <c r="D59" s="792"/>
      <c r="E59" s="128" t="s">
        <v>502</v>
      </c>
      <c r="F59" s="129">
        <v>0</v>
      </c>
      <c r="G59" s="129">
        <v>0</v>
      </c>
      <c r="H59" s="129">
        <v>0</v>
      </c>
      <c r="I59" s="129">
        <v>0</v>
      </c>
      <c r="J59" s="129">
        <v>0</v>
      </c>
      <c r="K59" s="129">
        <v>0</v>
      </c>
      <c r="L59" s="129">
        <v>0.05</v>
      </c>
      <c r="M59" s="129">
        <v>0.05</v>
      </c>
      <c r="N59" s="129">
        <v>0.05</v>
      </c>
      <c r="O59" s="129">
        <v>0.05</v>
      </c>
      <c r="P59" s="129">
        <v>0.05</v>
      </c>
      <c r="Q59" s="129">
        <v>0.05</v>
      </c>
      <c r="R59" s="129">
        <v>0.05</v>
      </c>
      <c r="S59" s="129">
        <v>0.05</v>
      </c>
      <c r="T59" s="129">
        <v>0.05</v>
      </c>
      <c r="U59" s="129">
        <v>0.05</v>
      </c>
      <c r="V59" s="129">
        <v>0.05</v>
      </c>
      <c r="W59" s="129">
        <v>0.05</v>
      </c>
      <c r="X59" s="129">
        <v>0</v>
      </c>
      <c r="Y59" s="129">
        <v>0</v>
      </c>
      <c r="Z59" s="129">
        <v>0</v>
      </c>
      <c r="AA59" s="129">
        <v>0</v>
      </c>
      <c r="AB59" s="129">
        <v>0</v>
      </c>
      <c r="AC59" s="130">
        <v>0</v>
      </c>
      <c r="AD59" s="43"/>
      <c r="AE59" s="43"/>
      <c r="AF59" s="43"/>
      <c r="AG59" s="43"/>
      <c r="AH59" s="43"/>
      <c r="AI59" s="43"/>
      <c r="AJ59" s="43"/>
      <c r="AK59" s="43"/>
    </row>
    <row r="60" spans="1:39" ht="34.950000000000003" customHeight="1" x14ac:dyDescent="0.3">
      <c r="A60" s="770" t="str">
        <f>A57</f>
        <v>Office</v>
      </c>
      <c r="B60" s="706" t="s">
        <v>173</v>
      </c>
      <c r="C60" s="739" t="s">
        <v>503</v>
      </c>
      <c r="D60" s="741" t="s">
        <v>521</v>
      </c>
      <c r="E60" s="306" t="s">
        <v>500</v>
      </c>
      <c r="F60" s="123">
        <v>0.05</v>
      </c>
      <c r="G60" s="123">
        <v>0.05</v>
      </c>
      <c r="H60" s="123">
        <v>0.05</v>
      </c>
      <c r="I60" s="123">
        <v>0.05</v>
      </c>
      <c r="J60" s="123">
        <v>0.05</v>
      </c>
      <c r="K60" s="307">
        <v>0.1</v>
      </c>
      <c r="L60" s="307">
        <v>0.1</v>
      </c>
      <c r="M60" s="307">
        <v>0.3</v>
      </c>
      <c r="N60" s="307">
        <v>0.65</v>
      </c>
      <c r="O60" s="307">
        <v>0.65</v>
      </c>
      <c r="P60" s="307">
        <v>0.65</v>
      </c>
      <c r="Q60" s="307">
        <v>0.65</v>
      </c>
      <c r="R60" s="307">
        <v>0.65</v>
      </c>
      <c r="S60" s="307">
        <v>0.65</v>
      </c>
      <c r="T60" s="307">
        <v>0.65</v>
      </c>
      <c r="U60" s="307">
        <v>0.65</v>
      </c>
      <c r="V60" s="307">
        <v>0.65</v>
      </c>
      <c r="W60" s="307">
        <v>0.35</v>
      </c>
      <c r="X60" s="307">
        <v>0.3</v>
      </c>
      <c r="Y60" s="307">
        <v>0.3</v>
      </c>
      <c r="Z60" s="123">
        <v>0.2</v>
      </c>
      <c r="AA60" s="123">
        <v>0.2</v>
      </c>
      <c r="AB60" s="123">
        <v>0.1</v>
      </c>
      <c r="AC60" s="124">
        <v>0.05</v>
      </c>
      <c r="AD60" s="43"/>
      <c r="AE60" s="43"/>
      <c r="AF60" s="43"/>
      <c r="AG60" s="43"/>
      <c r="AH60" s="43"/>
      <c r="AI60" s="43"/>
      <c r="AJ60" s="43"/>
      <c r="AK60" s="43"/>
      <c r="AM60" s="52"/>
    </row>
    <row r="61" spans="1:39" ht="36" customHeight="1" x14ac:dyDescent="0.3">
      <c r="A61" s="767"/>
      <c r="B61" s="706"/>
      <c r="C61" s="709"/>
      <c r="D61" s="741"/>
      <c r="E61" s="308" t="s">
        <v>501</v>
      </c>
      <c r="F61" s="126">
        <v>0.05</v>
      </c>
      <c r="G61" s="126">
        <v>0.05</v>
      </c>
      <c r="H61" s="126">
        <v>0.05</v>
      </c>
      <c r="I61" s="126">
        <v>0.05</v>
      </c>
      <c r="J61" s="126">
        <v>0.05</v>
      </c>
      <c r="K61" s="305">
        <v>0.05</v>
      </c>
      <c r="L61" s="305">
        <v>0.05</v>
      </c>
      <c r="M61" s="305">
        <v>0.05</v>
      </c>
      <c r="N61" s="305">
        <v>0.05</v>
      </c>
      <c r="O61" s="305">
        <v>0.05</v>
      </c>
      <c r="P61" s="305">
        <v>0.05</v>
      </c>
      <c r="Q61" s="305">
        <v>0.05</v>
      </c>
      <c r="R61" s="305">
        <v>0.05</v>
      </c>
      <c r="S61" s="305">
        <v>0.05</v>
      </c>
      <c r="T61" s="305">
        <v>0.05</v>
      </c>
      <c r="U61" s="305">
        <v>0.05</v>
      </c>
      <c r="V61" s="305">
        <v>0.05</v>
      </c>
      <c r="W61" s="126">
        <v>0.05</v>
      </c>
      <c r="X61" s="126">
        <v>0.05</v>
      </c>
      <c r="Y61" s="126">
        <v>0.05</v>
      </c>
      <c r="Z61" s="126">
        <v>0.05</v>
      </c>
      <c r="AA61" s="126">
        <v>0.05</v>
      </c>
      <c r="AB61" s="126">
        <v>0.05</v>
      </c>
      <c r="AC61" s="127">
        <v>0.05</v>
      </c>
      <c r="AD61" s="43"/>
      <c r="AE61" s="43"/>
      <c r="AF61" s="43"/>
      <c r="AG61" s="43"/>
      <c r="AH61" s="43"/>
      <c r="AI61" s="43"/>
      <c r="AJ61" s="43"/>
      <c r="AK61" s="43"/>
      <c r="AM61" s="52"/>
    </row>
    <row r="62" spans="1:39" ht="32.4" customHeight="1" thickBot="1" x14ac:dyDescent="0.35">
      <c r="A62" s="768"/>
      <c r="B62" s="707"/>
      <c r="C62" s="740"/>
      <c r="D62" s="742"/>
      <c r="E62" s="309" t="s">
        <v>502</v>
      </c>
      <c r="F62" s="131">
        <v>0.05</v>
      </c>
      <c r="G62" s="131">
        <v>0.05</v>
      </c>
      <c r="H62" s="131">
        <v>0.05</v>
      </c>
      <c r="I62" s="131">
        <v>0.05</v>
      </c>
      <c r="J62" s="131">
        <v>0.05</v>
      </c>
      <c r="K62" s="131">
        <v>0.05</v>
      </c>
      <c r="L62" s="131">
        <v>0.05</v>
      </c>
      <c r="M62" s="131">
        <v>0.05</v>
      </c>
      <c r="N62" s="131">
        <v>0.05</v>
      </c>
      <c r="O62" s="131">
        <v>0.05</v>
      </c>
      <c r="P62" s="131">
        <v>0.05</v>
      </c>
      <c r="Q62" s="131">
        <v>0.05</v>
      </c>
      <c r="R62" s="131">
        <v>0.05</v>
      </c>
      <c r="S62" s="131">
        <v>0.05</v>
      </c>
      <c r="T62" s="131">
        <v>0.05</v>
      </c>
      <c r="U62" s="131">
        <v>0.05</v>
      </c>
      <c r="V62" s="131">
        <v>0.05</v>
      </c>
      <c r="W62" s="131">
        <v>0.05</v>
      </c>
      <c r="X62" s="131">
        <v>0.05</v>
      </c>
      <c r="Y62" s="131">
        <v>0.05</v>
      </c>
      <c r="Z62" s="131">
        <v>0.05</v>
      </c>
      <c r="AA62" s="131">
        <v>0.05</v>
      </c>
      <c r="AB62" s="131">
        <v>0.05</v>
      </c>
      <c r="AC62" s="132">
        <v>0.05</v>
      </c>
      <c r="AD62" s="43"/>
      <c r="AE62" s="43"/>
      <c r="AF62" s="43"/>
      <c r="AG62" s="43"/>
      <c r="AH62" s="43"/>
      <c r="AI62" s="43"/>
      <c r="AJ62" s="43"/>
      <c r="AK62" s="43"/>
      <c r="AM62" s="52"/>
    </row>
    <row r="63" spans="1:39" ht="38.700000000000003" customHeight="1" x14ac:dyDescent="0.3">
      <c r="A63" s="766" t="str">
        <f>A57</f>
        <v>Office</v>
      </c>
      <c r="B63" s="705" t="s">
        <v>173</v>
      </c>
      <c r="C63" s="708" t="s">
        <v>522</v>
      </c>
      <c r="D63" s="711" t="s">
        <v>523</v>
      </c>
      <c r="E63" s="306" t="s">
        <v>500</v>
      </c>
      <c r="F63" s="202">
        <v>0.45</v>
      </c>
      <c r="G63" s="202">
        <v>0.45</v>
      </c>
      <c r="H63" s="202">
        <v>0.45</v>
      </c>
      <c r="I63" s="202">
        <v>0.45</v>
      </c>
      <c r="J63" s="202">
        <v>0.45</v>
      </c>
      <c r="K63" s="202">
        <v>0.45</v>
      </c>
      <c r="L63" s="202">
        <v>0.45</v>
      </c>
      <c r="M63" s="202">
        <v>0.74</v>
      </c>
      <c r="N63" s="202">
        <v>0.87</v>
      </c>
      <c r="O63" s="202">
        <v>0.9</v>
      </c>
      <c r="P63" s="202">
        <v>0.9</v>
      </c>
      <c r="Q63" s="202">
        <v>0.9</v>
      </c>
      <c r="R63" s="202">
        <v>0.9</v>
      </c>
      <c r="S63" s="202">
        <v>0.9</v>
      </c>
      <c r="T63" s="202">
        <v>0.9</v>
      </c>
      <c r="U63" s="202">
        <v>0.9</v>
      </c>
      <c r="V63" s="202">
        <v>0.9</v>
      </c>
      <c r="W63" s="202">
        <v>0.7</v>
      </c>
      <c r="X63" s="202">
        <v>0.5</v>
      </c>
      <c r="Y63" s="202">
        <v>0.5</v>
      </c>
      <c r="Z63" s="202">
        <v>0.5</v>
      </c>
      <c r="AA63" s="202">
        <v>0.45</v>
      </c>
      <c r="AB63" s="202">
        <v>0.45</v>
      </c>
      <c r="AC63" s="206">
        <v>0.45</v>
      </c>
      <c r="AD63" s="43"/>
      <c r="AE63" s="43"/>
      <c r="AF63" s="43"/>
      <c r="AG63" s="43"/>
      <c r="AH63" s="43"/>
      <c r="AI63" s="43"/>
      <c r="AJ63" s="43"/>
      <c r="AK63" s="43"/>
      <c r="AM63" s="52"/>
    </row>
    <row r="64" spans="1:39" ht="33" customHeight="1" x14ac:dyDescent="0.3">
      <c r="A64" s="767"/>
      <c r="B64" s="706"/>
      <c r="C64" s="709"/>
      <c r="D64" s="712"/>
      <c r="E64" s="308" t="s">
        <v>501</v>
      </c>
      <c r="F64" s="210">
        <v>0.43</v>
      </c>
      <c r="G64" s="210">
        <v>0.43</v>
      </c>
      <c r="H64" s="210">
        <v>0.43</v>
      </c>
      <c r="I64" s="210">
        <v>0.43</v>
      </c>
      <c r="J64" s="210">
        <v>0.43</v>
      </c>
      <c r="K64" s="210">
        <v>0.43</v>
      </c>
      <c r="L64" s="210">
        <v>0.43</v>
      </c>
      <c r="M64" s="210">
        <v>0.43</v>
      </c>
      <c r="N64" s="210">
        <v>0.43</v>
      </c>
      <c r="O64" s="210">
        <v>0.43</v>
      </c>
      <c r="P64" s="210">
        <v>0.43</v>
      </c>
      <c r="Q64" s="210">
        <v>0.43</v>
      </c>
      <c r="R64" s="210">
        <v>0.43</v>
      </c>
      <c r="S64" s="210">
        <v>0.43</v>
      </c>
      <c r="T64" s="210">
        <v>0.43</v>
      </c>
      <c r="U64" s="210">
        <v>0.43</v>
      </c>
      <c r="V64" s="210">
        <v>0.43</v>
      </c>
      <c r="W64" s="210">
        <v>0.43</v>
      </c>
      <c r="X64" s="210">
        <v>0.43</v>
      </c>
      <c r="Y64" s="210">
        <v>0.43</v>
      </c>
      <c r="Z64" s="210">
        <v>0.43</v>
      </c>
      <c r="AA64" s="210">
        <v>0.43</v>
      </c>
      <c r="AB64" s="210">
        <v>0.43</v>
      </c>
      <c r="AC64" s="208">
        <v>0.43</v>
      </c>
      <c r="AD64" s="43"/>
      <c r="AE64" s="43"/>
      <c r="AF64" s="43"/>
      <c r="AG64" s="43"/>
      <c r="AH64" s="43"/>
      <c r="AI64" s="43"/>
      <c r="AJ64" s="43"/>
      <c r="AK64" s="43"/>
      <c r="AM64" s="52"/>
    </row>
    <row r="65" spans="1:41" ht="38.700000000000003" customHeight="1" thickBot="1" x14ac:dyDescent="0.35">
      <c r="A65" s="768"/>
      <c r="B65" s="707"/>
      <c r="C65" s="710"/>
      <c r="D65" s="713"/>
      <c r="E65" s="310" t="s">
        <v>502</v>
      </c>
      <c r="F65" s="204">
        <v>0.43</v>
      </c>
      <c r="G65" s="204">
        <v>0.43</v>
      </c>
      <c r="H65" s="204">
        <v>0.43</v>
      </c>
      <c r="I65" s="204">
        <v>0.43</v>
      </c>
      <c r="J65" s="204">
        <v>0.43</v>
      </c>
      <c r="K65" s="204">
        <v>0.43</v>
      </c>
      <c r="L65" s="204">
        <v>0.43</v>
      </c>
      <c r="M65" s="204">
        <v>0.43</v>
      </c>
      <c r="N65" s="204">
        <v>0.43</v>
      </c>
      <c r="O65" s="204">
        <v>0.43</v>
      </c>
      <c r="P65" s="204">
        <v>0.43</v>
      </c>
      <c r="Q65" s="204">
        <v>0.43</v>
      </c>
      <c r="R65" s="204">
        <v>0.43</v>
      </c>
      <c r="S65" s="204">
        <v>0.43</v>
      </c>
      <c r="T65" s="204">
        <v>0.43</v>
      </c>
      <c r="U65" s="204">
        <v>0.43</v>
      </c>
      <c r="V65" s="204">
        <v>0.43</v>
      </c>
      <c r="W65" s="204">
        <v>0.43</v>
      </c>
      <c r="X65" s="204">
        <v>0.43</v>
      </c>
      <c r="Y65" s="204">
        <v>0.43</v>
      </c>
      <c r="Z65" s="204">
        <v>0.43</v>
      </c>
      <c r="AA65" s="204">
        <v>0.43</v>
      </c>
      <c r="AB65" s="204">
        <v>0.43</v>
      </c>
      <c r="AC65" s="201">
        <v>0.43</v>
      </c>
      <c r="AD65" s="43"/>
      <c r="AE65" s="43"/>
      <c r="AF65" s="43"/>
      <c r="AG65" s="43"/>
      <c r="AH65" s="43"/>
      <c r="AI65" s="43"/>
      <c r="AJ65" s="43"/>
      <c r="AK65" s="43"/>
      <c r="AM65" s="52"/>
    </row>
    <row r="66" spans="1:41" ht="38.700000000000003" customHeight="1" x14ac:dyDescent="0.3">
      <c r="A66" s="766" t="str">
        <f>A57</f>
        <v>Office</v>
      </c>
      <c r="B66" s="705" t="s">
        <v>173</v>
      </c>
      <c r="C66" s="739" t="s">
        <v>507</v>
      </c>
      <c r="D66" s="810" t="s">
        <v>524</v>
      </c>
      <c r="E66" s="311" t="s">
        <v>500</v>
      </c>
      <c r="F66" s="133">
        <v>0</v>
      </c>
      <c r="G66" s="133">
        <v>0</v>
      </c>
      <c r="H66" s="133">
        <v>0</v>
      </c>
      <c r="I66" s="133">
        <v>0</v>
      </c>
      <c r="J66" s="133">
        <v>0</v>
      </c>
      <c r="K66" s="133">
        <v>1</v>
      </c>
      <c r="L66" s="133">
        <v>1</v>
      </c>
      <c r="M66" s="133">
        <v>1</v>
      </c>
      <c r="N66" s="133">
        <v>1</v>
      </c>
      <c r="O66" s="133">
        <v>1</v>
      </c>
      <c r="P66" s="133">
        <v>1</v>
      </c>
      <c r="Q66" s="133">
        <v>1</v>
      </c>
      <c r="R66" s="133">
        <v>1</v>
      </c>
      <c r="S66" s="133">
        <v>1</v>
      </c>
      <c r="T66" s="133">
        <v>1</v>
      </c>
      <c r="U66" s="133">
        <v>1</v>
      </c>
      <c r="V66" s="133">
        <v>1</v>
      </c>
      <c r="W66" s="133">
        <v>1</v>
      </c>
      <c r="X66" s="133">
        <v>1</v>
      </c>
      <c r="Y66" s="133">
        <v>1</v>
      </c>
      <c r="Z66" s="133">
        <v>1</v>
      </c>
      <c r="AA66" s="133">
        <v>1</v>
      </c>
      <c r="AB66" s="133">
        <v>1</v>
      </c>
      <c r="AC66" s="134">
        <v>1</v>
      </c>
      <c r="AD66" s="43"/>
      <c r="AE66" s="43"/>
      <c r="AF66" s="43"/>
      <c r="AG66" s="43"/>
      <c r="AH66" s="43"/>
      <c r="AI66" s="43"/>
      <c r="AJ66" s="43"/>
      <c r="AK66" s="43"/>
      <c r="AM66" s="52"/>
    </row>
    <row r="67" spans="1:41" ht="38.700000000000003" customHeight="1" x14ac:dyDescent="0.3">
      <c r="A67" s="767"/>
      <c r="B67" s="706"/>
      <c r="C67" s="709"/>
      <c r="D67" s="741"/>
      <c r="E67" s="308" t="s">
        <v>501</v>
      </c>
      <c r="F67" s="126">
        <v>0</v>
      </c>
      <c r="G67" s="126">
        <v>0</v>
      </c>
      <c r="H67" s="126">
        <v>0</v>
      </c>
      <c r="I67" s="126">
        <v>0</v>
      </c>
      <c r="J67" s="126">
        <v>0</v>
      </c>
      <c r="K67" s="305">
        <v>0</v>
      </c>
      <c r="L67" s="305">
        <v>0</v>
      </c>
      <c r="M67" s="305">
        <v>0</v>
      </c>
      <c r="N67" s="305">
        <v>0</v>
      </c>
      <c r="O67" s="305">
        <v>0</v>
      </c>
      <c r="P67" s="305">
        <v>0</v>
      </c>
      <c r="Q67" s="305">
        <v>0</v>
      </c>
      <c r="R67" s="305">
        <v>0</v>
      </c>
      <c r="S67" s="305">
        <v>0</v>
      </c>
      <c r="T67" s="305">
        <v>0</v>
      </c>
      <c r="U67" s="305">
        <v>0</v>
      </c>
      <c r="V67" s="305">
        <v>0</v>
      </c>
      <c r="W67" s="305">
        <v>0</v>
      </c>
      <c r="X67" s="305">
        <v>0</v>
      </c>
      <c r="Y67" s="126">
        <v>0</v>
      </c>
      <c r="Z67" s="126">
        <v>0</v>
      </c>
      <c r="AA67" s="126">
        <v>0</v>
      </c>
      <c r="AB67" s="126">
        <v>0</v>
      </c>
      <c r="AC67" s="127">
        <v>0</v>
      </c>
      <c r="AD67" s="43"/>
      <c r="AE67" s="43"/>
      <c r="AF67" s="43"/>
      <c r="AG67" s="43"/>
      <c r="AH67" s="43"/>
      <c r="AI67" s="43"/>
      <c r="AJ67" s="43"/>
      <c r="AK67" s="43"/>
      <c r="AM67" s="52"/>
    </row>
    <row r="68" spans="1:41" ht="38.700000000000003" customHeight="1" thickBot="1" x14ac:dyDescent="0.35">
      <c r="A68" s="768"/>
      <c r="B68" s="707"/>
      <c r="C68" s="710"/>
      <c r="D68" s="811"/>
      <c r="E68" s="310" t="s">
        <v>502</v>
      </c>
      <c r="F68" s="131">
        <v>0</v>
      </c>
      <c r="G68" s="131">
        <v>0</v>
      </c>
      <c r="H68" s="131">
        <v>0</v>
      </c>
      <c r="I68" s="131">
        <v>0</v>
      </c>
      <c r="J68" s="131">
        <v>0</v>
      </c>
      <c r="K68" s="131">
        <v>0</v>
      </c>
      <c r="L68" s="131">
        <v>0</v>
      </c>
      <c r="M68" s="131">
        <v>0</v>
      </c>
      <c r="N68" s="131">
        <v>0</v>
      </c>
      <c r="O68" s="131">
        <v>0</v>
      </c>
      <c r="P68" s="131">
        <v>0</v>
      </c>
      <c r="Q68" s="131">
        <v>0</v>
      </c>
      <c r="R68" s="131">
        <v>0</v>
      </c>
      <c r="S68" s="131">
        <v>0</v>
      </c>
      <c r="T68" s="131">
        <v>0</v>
      </c>
      <c r="U68" s="131">
        <v>0</v>
      </c>
      <c r="V68" s="131">
        <v>0</v>
      </c>
      <c r="W68" s="131">
        <v>0</v>
      </c>
      <c r="X68" s="131">
        <v>0</v>
      </c>
      <c r="Y68" s="131">
        <v>0</v>
      </c>
      <c r="Z68" s="131">
        <v>0</v>
      </c>
      <c r="AA68" s="131">
        <v>0</v>
      </c>
      <c r="AB68" s="131">
        <v>0</v>
      </c>
      <c r="AC68" s="132">
        <v>0</v>
      </c>
      <c r="AD68" s="43"/>
      <c r="AE68" s="43"/>
      <c r="AF68" s="43"/>
      <c r="AG68" s="43"/>
      <c r="AH68" s="43"/>
      <c r="AI68" s="43"/>
      <c r="AJ68" s="43"/>
      <c r="AK68" s="43"/>
      <c r="AM68" s="52"/>
    </row>
    <row r="69" spans="1:41" ht="33.6" customHeight="1" x14ac:dyDescent="0.3">
      <c r="A69" s="766" t="str">
        <f>A57</f>
        <v>Office</v>
      </c>
      <c r="B69" s="705" t="s">
        <v>173</v>
      </c>
      <c r="C69" s="739" t="s">
        <v>509</v>
      </c>
      <c r="D69" s="761" t="s">
        <v>521</v>
      </c>
      <c r="E69" s="311" t="s">
        <v>500</v>
      </c>
      <c r="F69" s="312">
        <v>0.05</v>
      </c>
      <c r="G69" s="312">
        <v>0.05</v>
      </c>
      <c r="H69" s="312">
        <v>0.05</v>
      </c>
      <c r="I69" s="312">
        <v>0.05</v>
      </c>
      <c r="J69" s="312">
        <v>0.05</v>
      </c>
      <c r="K69" s="312">
        <v>0.08</v>
      </c>
      <c r="L69" s="312">
        <v>7.0000000000000007E-2</v>
      </c>
      <c r="M69" s="312">
        <v>0.19</v>
      </c>
      <c r="N69" s="312">
        <v>0.35</v>
      </c>
      <c r="O69" s="312">
        <v>0.38</v>
      </c>
      <c r="P69" s="312">
        <v>0.39</v>
      </c>
      <c r="Q69" s="312">
        <v>0.47</v>
      </c>
      <c r="R69" s="312">
        <v>0.56999999999999995</v>
      </c>
      <c r="S69" s="312">
        <v>0.54</v>
      </c>
      <c r="T69" s="312">
        <v>0.34</v>
      </c>
      <c r="U69" s="312">
        <v>0.33</v>
      </c>
      <c r="V69" s="312">
        <v>0.44</v>
      </c>
      <c r="W69" s="312">
        <v>0.26</v>
      </c>
      <c r="X69" s="312">
        <v>0.21</v>
      </c>
      <c r="Y69" s="312">
        <v>0.15</v>
      </c>
      <c r="Z69" s="312">
        <v>0.17</v>
      </c>
      <c r="AA69" s="312">
        <v>0.08</v>
      </c>
      <c r="AB69" s="312">
        <v>0.05</v>
      </c>
      <c r="AC69" s="313">
        <v>0.05</v>
      </c>
      <c r="AD69" s="43"/>
      <c r="AE69" s="43"/>
      <c r="AF69" s="43"/>
      <c r="AG69" s="43"/>
      <c r="AH69" s="43"/>
      <c r="AI69" s="43"/>
      <c r="AJ69" s="43"/>
      <c r="AK69" s="43"/>
    </row>
    <row r="70" spans="1:41" ht="33.6" customHeight="1" x14ac:dyDescent="0.3">
      <c r="A70" s="767"/>
      <c r="B70" s="706"/>
      <c r="C70" s="709"/>
      <c r="D70" s="762"/>
      <c r="E70" s="308" t="s">
        <v>501</v>
      </c>
      <c r="F70" s="314">
        <v>0.05</v>
      </c>
      <c r="G70" s="314">
        <v>0.05</v>
      </c>
      <c r="H70" s="314">
        <v>0.05</v>
      </c>
      <c r="I70" s="314">
        <v>0.05</v>
      </c>
      <c r="J70" s="314">
        <v>0.05</v>
      </c>
      <c r="K70" s="314">
        <v>0.08</v>
      </c>
      <c r="L70" s="314">
        <v>7.0000000000000007E-2</v>
      </c>
      <c r="M70" s="314">
        <v>0.11</v>
      </c>
      <c r="N70" s="314">
        <v>0.15</v>
      </c>
      <c r="O70" s="314">
        <v>0.21</v>
      </c>
      <c r="P70" s="314">
        <v>0.19</v>
      </c>
      <c r="Q70" s="314">
        <v>0.23</v>
      </c>
      <c r="R70" s="314">
        <v>0.2</v>
      </c>
      <c r="S70" s="314">
        <v>0.19</v>
      </c>
      <c r="T70" s="314">
        <v>0.15</v>
      </c>
      <c r="U70" s="314">
        <v>0.12</v>
      </c>
      <c r="V70" s="314">
        <v>0.14000000000000001</v>
      </c>
      <c r="W70" s="314">
        <v>7.0000000000000007E-2</v>
      </c>
      <c r="X70" s="314">
        <v>7.0000000000000007E-2</v>
      </c>
      <c r="Y70" s="314">
        <v>7.0000000000000007E-2</v>
      </c>
      <c r="Z70" s="314">
        <v>7.0000000000000007E-2</v>
      </c>
      <c r="AA70" s="314">
        <v>0.09</v>
      </c>
      <c r="AB70" s="314">
        <v>0.05</v>
      </c>
      <c r="AC70" s="315">
        <v>0.05</v>
      </c>
      <c r="AD70" s="43"/>
      <c r="AE70" s="43"/>
      <c r="AF70" s="43"/>
      <c r="AG70" s="43"/>
      <c r="AH70" s="43"/>
      <c r="AI70" s="43"/>
      <c r="AJ70" s="43"/>
      <c r="AK70" s="43"/>
    </row>
    <row r="71" spans="1:41" ht="33.6" customHeight="1" thickBot="1" x14ac:dyDescent="0.35">
      <c r="A71" s="768"/>
      <c r="B71" s="707"/>
      <c r="C71" s="710"/>
      <c r="D71" s="763"/>
      <c r="E71" s="309" t="s">
        <v>502</v>
      </c>
      <c r="F71" s="340">
        <v>0.04</v>
      </c>
      <c r="G71" s="340">
        <v>0.04</v>
      </c>
      <c r="H71" s="340">
        <v>0.04</v>
      </c>
      <c r="I71" s="340">
        <v>0.04</v>
      </c>
      <c r="J71" s="340">
        <v>0.04</v>
      </c>
      <c r="K71" s="340">
        <v>7.0000000000000007E-2</v>
      </c>
      <c r="L71" s="340">
        <v>0.04</v>
      </c>
      <c r="M71" s="340">
        <v>0.04</v>
      </c>
      <c r="N71" s="340">
        <v>0.04</v>
      </c>
      <c r="O71" s="340">
        <v>0.04</v>
      </c>
      <c r="P71" s="340">
        <v>0.04</v>
      </c>
      <c r="Q71" s="340">
        <v>0.06</v>
      </c>
      <c r="R71" s="340">
        <v>0.06</v>
      </c>
      <c r="S71" s="340">
        <v>0.09</v>
      </c>
      <c r="T71" s="340">
        <v>0.06</v>
      </c>
      <c r="U71" s="340">
        <v>0.04</v>
      </c>
      <c r="V71" s="340">
        <v>0.04</v>
      </c>
      <c r="W71" s="340">
        <v>0.04</v>
      </c>
      <c r="X71" s="340">
        <v>0.04</v>
      </c>
      <c r="Y71" s="340">
        <v>0.04</v>
      </c>
      <c r="Z71" s="340">
        <v>0.04</v>
      </c>
      <c r="AA71" s="340">
        <v>7.0000000000000007E-2</v>
      </c>
      <c r="AB71" s="340">
        <v>0.04</v>
      </c>
      <c r="AC71" s="341">
        <v>0.04</v>
      </c>
      <c r="AD71" s="43"/>
      <c r="AE71" s="43"/>
      <c r="AF71" s="43"/>
      <c r="AG71" s="43"/>
      <c r="AH71" s="43"/>
      <c r="AI71" s="43"/>
      <c r="AJ71" s="43"/>
      <c r="AK71" s="43"/>
    </row>
    <row r="72" spans="1:41" ht="38.700000000000003" customHeight="1" x14ac:dyDescent="0.3">
      <c r="A72" s="766" t="str">
        <f>A57</f>
        <v>Office</v>
      </c>
      <c r="B72" s="705" t="s">
        <v>173</v>
      </c>
      <c r="C72" s="708" t="s">
        <v>245</v>
      </c>
      <c r="D72" s="807"/>
      <c r="E72" s="332" t="s">
        <v>500</v>
      </c>
      <c r="F72" s="333">
        <v>1</v>
      </c>
      <c r="G72" s="333">
        <v>1</v>
      </c>
      <c r="H72" s="333">
        <v>1</v>
      </c>
      <c r="I72" s="333">
        <v>1</v>
      </c>
      <c r="J72" s="333">
        <v>1</v>
      </c>
      <c r="K72" s="333">
        <v>1</v>
      </c>
      <c r="L72" s="333">
        <v>1</v>
      </c>
      <c r="M72" s="333">
        <v>1</v>
      </c>
      <c r="N72" s="333">
        <v>1</v>
      </c>
      <c r="O72" s="333">
        <v>1</v>
      </c>
      <c r="P72" s="333">
        <v>1</v>
      </c>
      <c r="Q72" s="333">
        <v>1</v>
      </c>
      <c r="R72" s="333">
        <v>1</v>
      </c>
      <c r="S72" s="333">
        <v>1</v>
      </c>
      <c r="T72" s="333">
        <v>1</v>
      </c>
      <c r="U72" s="333">
        <v>1</v>
      </c>
      <c r="V72" s="333">
        <v>1</v>
      </c>
      <c r="W72" s="333">
        <v>1</v>
      </c>
      <c r="X72" s="333">
        <v>1</v>
      </c>
      <c r="Y72" s="333">
        <v>1</v>
      </c>
      <c r="Z72" s="333">
        <v>1</v>
      </c>
      <c r="AA72" s="333">
        <v>1</v>
      </c>
      <c r="AB72" s="333">
        <v>1</v>
      </c>
      <c r="AC72" s="334">
        <v>1</v>
      </c>
      <c r="AD72" s="43"/>
      <c r="AE72" s="43"/>
      <c r="AF72" s="43"/>
      <c r="AG72" s="43"/>
      <c r="AH72" s="43"/>
      <c r="AI72" s="43"/>
      <c r="AJ72" s="43"/>
      <c r="AK72" s="43"/>
      <c r="AM72" s="52"/>
    </row>
    <row r="73" spans="1:41" ht="38.700000000000003" customHeight="1" x14ac:dyDescent="0.3">
      <c r="A73" s="767"/>
      <c r="B73" s="706"/>
      <c r="C73" s="709"/>
      <c r="D73" s="808"/>
      <c r="E73" s="335" t="s">
        <v>501</v>
      </c>
      <c r="F73" s="126">
        <v>1</v>
      </c>
      <c r="G73" s="126">
        <v>1</v>
      </c>
      <c r="H73" s="126">
        <v>1</v>
      </c>
      <c r="I73" s="126">
        <v>1</v>
      </c>
      <c r="J73" s="126">
        <v>1</v>
      </c>
      <c r="K73" s="305">
        <v>1</v>
      </c>
      <c r="L73" s="305">
        <v>1</v>
      </c>
      <c r="M73" s="305">
        <v>1</v>
      </c>
      <c r="N73" s="305">
        <v>1</v>
      </c>
      <c r="O73" s="305">
        <v>1</v>
      </c>
      <c r="P73" s="305">
        <v>1</v>
      </c>
      <c r="Q73" s="305">
        <v>1</v>
      </c>
      <c r="R73" s="305">
        <v>1</v>
      </c>
      <c r="S73" s="305">
        <v>1</v>
      </c>
      <c r="T73" s="305">
        <v>1</v>
      </c>
      <c r="U73" s="305">
        <v>1</v>
      </c>
      <c r="V73" s="305">
        <v>1</v>
      </c>
      <c r="W73" s="305">
        <v>1</v>
      </c>
      <c r="X73" s="305">
        <v>1</v>
      </c>
      <c r="Y73" s="126">
        <v>1</v>
      </c>
      <c r="Z73" s="126">
        <v>1</v>
      </c>
      <c r="AA73" s="126">
        <v>1</v>
      </c>
      <c r="AB73" s="126">
        <v>1</v>
      </c>
      <c r="AC73" s="336">
        <v>1</v>
      </c>
      <c r="AD73" s="43"/>
      <c r="AE73" s="43"/>
      <c r="AF73" s="43"/>
      <c r="AG73" s="43"/>
      <c r="AH73" s="43"/>
      <c r="AI73" s="43"/>
      <c r="AJ73" s="43"/>
      <c r="AK73" s="43"/>
      <c r="AM73" s="52"/>
    </row>
    <row r="74" spans="1:41" ht="38.700000000000003" customHeight="1" thickBot="1" x14ac:dyDescent="0.35">
      <c r="A74" s="768"/>
      <c r="B74" s="707"/>
      <c r="C74" s="740"/>
      <c r="D74" s="809"/>
      <c r="E74" s="337" t="s">
        <v>502</v>
      </c>
      <c r="F74" s="338">
        <v>1</v>
      </c>
      <c r="G74" s="338">
        <v>1</v>
      </c>
      <c r="H74" s="338">
        <v>1</v>
      </c>
      <c r="I74" s="338">
        <v>1</v>
      </c>
      <c r="J74" s="338">
        <v>1</v>
      </c>
      <c r="K74" s="338">
        <v>1</v>
      </c>
      <c r="L74" s="338">
        <v>1</v>
      </c>
      <c r="M74" s="338">
        <v>1</v>
      </c>
      <c r="N74" s="338">
        <v>1</v>
      </c>
      <c r="O74" s="338">
        <v>1</v>
      </c>
      <c r="P74" s="338">
        <v>1</v>
      </c>
      <c r="Q74" s="338">
        <v>1</v>
      </c>
      <c r="R74" s="338">
        <v>1</v>
      </c>
      <c r="S74" s="338">
        <v>1</v>
      </c>
      <c r="T74" s="338">
        <v>1</v>
      </c>
      <c r="U74" s="338">
        <v>1</v>
      </c>
      <c r="V74" s="338">
        <v>1</v>
      </c>
      <c r="W74" s="338">
        <v>1</v>
      </c>
      <c r="X74" s="338">
        <v>1</v>
      </c>
      <c r="Y74" s="338">
        <v>1</v>
      </c>
      <c r="Z74" s="338">
        <v>1</v>
      </c>
      <c r="AA74" s="338">
        <v>1</v>
      </c>
      <c r="AB74" s="338">
        <v>1</v>
      </c>
      <c r="AC74" s="339">
        <v>1</v>
      </c>
      <c r="AD74" s="43"/>
      <c r="AE74" s="43"/>
      <c r="AF74" s="43"/>
      <c r="AG74" s="43"/>
      <c r="AH74" s="43"/>
      <c r="AI74" s="43"/>
      <c r="AJ74" s="43"/>
      <c r="AK74" s="43"/>
      <c r="AM74" s="52"/>
      <c r="AO74" s="135"/>
    </row>
    <row r="75" spans="1:41" ht="38.700000000000003" customHeight="1" x14ac:dyDescent="0.3">
      <c r="A75" s="766" t="str">
        <f>A57</f>
        <v>Office</v>
      </c>
      <c r="B75" s="705" t="s">
        <v>173</v>
      </c>
      <c r="C75" s="729" t="s">
        <v>510</v>
      </c>
      <c r="D75" s="761" t="s">
        <v>525</v>
      </c>
      <c r="E75" s="322" t="s">
        <v>500</v>
      </c>
      <c r="F75" s="323">
        <f>IF((F66=1),Thermostat!$C$3,Thermostat!$C$4)</f>
        <v>60</v>
      </c>
      <c r="G75" s="323">
        <f>IF((G66=1),Thermostat!$C$3,Thermostat!$C$4)</f>
        <v>60</v>
      </c>
      <c r="H75" s="323">
        <f>IF((H66=1),Thermostat!$C$3,Thermostat!$C$4)</f>
        <v>60</v>
      </c>
      <c r="I75" s="323">
        <f>IF((I66=1),Thermostat!$C$3,Thermostat!$C$4)</f>
        <v>60</v>
      </c>
      <c r="J75" s="323">
        <f>IF((J66=1),Thermostat!$C$3,Thermostat!$C$4)</f>
        <v>60</v>
      </c>
      <c r="K75" s="323">
        <f>IF((K66=1),Thermostat!$C$3,Thermostat!$C$4)</f>
        <v>70</v>
      </c>
      <c r="L75" s="323">
        <f>IF((L66=1),Thermostat!$C$3,Thermostat!$C$4)</f>
        <v>70</v>
      </c>
      <c r="M75" s="323">
        <f>IF((M66=1),Thermostat!$C$3,Thermostat!$C$4)</f>
        <v>70</v>
      </c>
      <c r="N75" s="323">
        <f>IF((N66=1),Thermostat!$C$3,Thermostat!$C$4)</f>
        <v>70</v>
      </c>
      <c r="O75" s="323">
        <f>IF((O66=1),Thermostat!$C$3,Thermostat!$C$4)</f>
        <v>70</v>
      </c>
      <c r="P75" s="323">
        <f>IF((P66=1),Thermostat!$C$3,Thermostat!$C$4)</f>
        <v>70</v>
      </c>
      <c r="Q75" s="323">
        <f>IF((Q66=1),Thermostat!$C$3,Thermostat!$C$4)</f>
        <v>70</v>
      </c>
      <c r="R75" s="323">
        <f>IF((R66=1),Thermostat!$C$3,Thermostat!$C$4)</f>
        <v>70</v>
      </c>
      <c r="S75" s="323">
        <f>IF((S66=1),Thermostat!$C$3,Thermostat!$C$4)</f>
        <v>70</v>
      </c>
      <c r="T75" s="323">
        <f>IF((T66=1),Thermostat!$C$3,Thermostat!$C$4)</f>
        <v>70</v>
      </c>
      <c r="U75" s="323">
        <f>IF((U66=1),Thermostat!$C$3,Thermostat!$C$4)</f>
        <v>70</v>
      </c>
      <c r="V75" s="323">
        <f>IF((V66=1),Thermostat!$C$3,Thermostat!$C$4)</f>
        <v>70</v>
      </c>
      <c r="W75" s="323">
        <f>IF((W66=1),Thermostat!$C$3,Thermostat!$C$4)</f>
        <v>70</v>
      </c>
      <c r="X75" s="323">
        <f>IF((X66=1),Thermostat!$C$3,Thermostat!$C$4)</f>
        <v>70</v>
      </c>
      <c r="Y75" s="323">
        <f>IF((Y66=1),Thermostat!$C$3,Thermostat!$C$4)</f>
        <v>70</v>
      </c>
      <c r="Z75" s="323">
        <f>IF((Z66=1),Thermostat!$C$3,Thermostat!$C$4)</f>
        <v>70</v>
      </c>
      <c r="AA75" s="323">
        <f>IF((AA66=1),Thermostat!$C$3,Thermostat!$C$4)</f>
        <v>70</v>
      </c>
      <c r="AB75" s="323">
        <f>IF((AB66=1),Thermostat!$C$3,Thermostat!$C$4)</f>
        <v>70</v>
      </c>
      <c r="AC75" s="324">
        <f>IF((AC66=1),Thermostat!$C$3,Thermostat!$C$4)</f>
        <v>70</v>
      </c>
      <c r="AD75" s="43"/>
      <c r="AE75" s="43"/>
      <c r="AF75" s="43"/>
      <c r="AG75" s="43"/>
      <c r="AH75" s="43"/>
      <c r="AI75" s="43"/>
      <c r="AJ75" s="43"/>
      <c r="AK75" s="43"/>
      <c r="AM75" s="52"/>
      <c r="AO75" s="135"/>
    </row>
    <row r="76" spans="1:41" ht="38.700000000000003" customHeight="1" x14ac:dyDescent="0.3">
      <c r="A76" s="767"/>
      <c r="B76" s="706"/>
      <c r="C76" s="730"/>
      <c r="D76" s="762"/>
      <c r="E76" s="316" t="s">
        <v>501</v>
      </c>
      <c r="F76" s="317">
        <f>IF((F67=1),Thermostat!$C$3,Thermostat!$C$4)</f>
        <v>60</v>
      </c>
      <c r="G76" s="317">
        <f>IF((G67=1),Thermostat!$C$3,Thermostat!$C$4)</f>
        <v>60</v>
      </c>
      <c r="H76" s="317">
        <f>IF((H67=1),Thermostat!$C$3,Thermostat!$C$4)</f>
        <v>60</v>
      </c>
      <c r="I76" s="317">
        <f>IF((I67=1),Thermostat!$C$3,Thermostat!$C$4)</f>
        <v>60</v>
      </c>
      <c r="J76" s="317">
        <f>IF((J67=1),Thermostat!$C$3,Thermostat!$C$4)</f>
        <v>60</v>
      </c>
      <c r="K76" s="317">
        <f>IF((K67=1),Thermostat!$C$3,Thermostat!$C$4)</f>
        <v>60</v>
      </c>
      <c r="L76" s="317">
        <f>IF((L67=1),Thermostat!$C$3,Thermostat!$C$4)</f>
        <v>60</v>
      </c>
      <c r="M76" s="317">
        <f>IF((M67=1),Thermostat!$C$3,Thermostat!$C$4)</f>
        <v>60</v>
      </c>
      <c r="N76" s="317">
        <f>IF((N67=1),Thermostat!$C$3,Thermostat!$C$4)</f>
        <v>60</v>
      </c>
      <c r="O76" s="317">
        <f>IF((O67=1),Thermostat!$C$3,Thermostat!$C$4)</f>
        <v>60</v>
      </c>
      <c r="P76" s="317">
        <f>IF((P67=1),Thermostat!$C$3,Thermostat!$C$4)</f>
        <v>60</v>
      </c>
      <c r="Q76" s="317">
        <f>IF((Q67=1),Thermostat!$C$3,Thermostat!$C$4)</f>
        <v>60</v>
      </c>
      <c r="R76" s="317">
        <f>IF((R67=1),Thermostat!$C$3,Thermostat!$C$4)</f>
        <v>60</v>
      </c>
      <c r="S76" s="317">
        <f>IF((S67=1),Thermostat!$C$3,Thermostat!$C$4)</f>
        <v>60</v>
      </c>
      <c r="T76" s="317">
        <f>IF((T67=1),Thermostat!$C$3,Thermostat!$C$4)</f>
        <v>60</v>
      </c>
      <c r="U76" s="317">
        <f>IF((U67=1),Thermostat!$C$3,Thermostat!$C$4)</f>
        <v>60</v>
      </c>
      <c r="V76" s="317">
        <f>IF((V67=1),Thermostat!$C$3,Thermostat!$C$4)</f>
        <v>60</v>
      </c>
      <c r="W76" s="317">
        <f>IF((W67=1),Thermostat!$C$3,Thermostat!$C$4)</f>
        <v>60</v>
      </c>
      <c r="X76" s="317">
        <f>IF((X67=1),Thermostat!$C$3,Thermostat!$C$4)</f>
        <v>60</v>
      </c>
      <c r="Y76" s="317">
        <f>IF((Y67=1),Thermostat!$C$3,Thermostat!$C$4)</f>
        <v>60</v>
      </c>
      <c r="Z76" s="317">
        <f>IF((Z67=1),Thermostat!$C$3,Thermostat!$C$4)</f>
        <v>60</v>
      </c>
      <c r="AA76" s="317">
        <f>IF((AA67=1),Thermostat!$C$3,Thermostat!$C$4)</f>
        <v>60</v>
      </c>
      <c r="AB76" s="317">
        <f>IF((AB67=1),Thermostat!$C$3,Thermostat!$C$4)</f>
        <v>60</v>
      </c>
      <c r="AC76" s="318">
        <f>IF((AC67=1),Thermostat!$C$3,Thermostat!$C$4)</f>
        <v>60</v>
      </c>
      <c r="AD76" s="43"/>
      <c r="AE76" s="43"/>
      <c r="AF76" s="43"/>
      <c r="AG76" s="43"/>
      <c r="AH76" s="43"/>
      <c r="AI76" s="43"/>
      <c r="AJ76" s="43"/>
      <c r="AK76" s="43"/>
      <c r="AM76" s="52"/>
      <c r="AO76" s="135"/>
    </row>
    <row r="77" spans="1:41" ht="38.700000000000003" customHeight="1" thickBot="1" x14ac:dyDescent="0.35">
      <c r="A77" s="769"/>
      <c r="B77" s="706"/>
      <c r="C77" s="755"/>
      <c r="D77" s="763"/>
      <c r="E77" s="319" t="s">
        <v>502</v>
      </c>
      <c r="F77" s="320">
        <f>IF((F68=1),Thermostat!$C$3,Thermostat!$C$4)</f>
        <v>60</v>
      </c>
      <c r="G77" s="320">
        <f>IF((G68=1),Thermostat!$C$3,Thermostat!$C$4)</f>
        <v>60</v>
      </c>
      <c r="H77" s="320">
        <f>IF((H68=1),Thermostat!$C$3,Thermostat!$C$4)</f>
        <v>60</v>
      </c>
      <c r="I77" s="320">
        <f>IF((I68=1),Thermostat!$C$3,Thermostat!$C$4)</f>
        <v>60</v>
      </c>
      <c r="J77" s="320">
        <f>IF((J68=1),Thermostat!$C$3,Thermostat!$C$4)</f>
        <v>60</v>
      </c>
      <c r="K77" s="320">
        <f>IF((K68=1),Thermostat!$C$3,Thermostat!$C$4)</f>
        <v>60</v>
      </c>
      <c r="L77" s="320">
        <f>IF((L68=1),Thermostat!$C$3,Thermostat!$C$4)</f>
        <v>60</v>
      </c>
      <c r="M77" s="320">
        <f>IF((M68=1),Thermostat!$C$3,Thermostat!$C$4)</f>
        <v>60</v>
      </c>
      <c r="N77" s="320">
        <f>IF((N68=1),Thermostat!$C$3,Thermostat!$C$4)</f>
        <v>60</v>
      </c>
      <c r="O77" s="320">
        <f>IF((O68=1),Thermostat!$C$3,Thermostat!$C$4)</f>
        <v>60</v>
      </c>
      <c r="P77" s="320">
        <f>IF((P68=1),Thermostat!$C$3,Thermostat!$C$4)</f>
        <v>60</v>
      </c>
      <c r="Q77" s="320">
        <f>IF((Q68=1),Thermostat!$C$3,Thermostat!$C$4)</f>
        <v>60</v>
      </c>
      <c r="R77" s="320">
        <f>IF((R68=1),Thermostat!$C$3,Thermostat!$C$4)</f>
        <v>60</v>
      </c>
      <c r="S77" s="320">
        <f>IF((S68=1),Thermostat!$C$3,Thermostat!$C$4)</f>
        <v>60</v>
      </c>
      <c r="T77" s="320">
        <f>IF((T68=1),Thermostat!$C$3,Thermostat!$C$4)</f>
        <v>60</v>
      </c>
      <c r="U77" s="320">
        <f>IF((U68=1),Thermostat!$C$3,Thermostat!$C$4)</f>
        <v>60</v>
      </c>
      <c r="V77" s="320">
        <f>IF((V68=1),Thermostat!$C$3,Thermostat!$C$4)</f>
        <v>60</v>
      </c>
      <c r="W77" s="320">
        <f>IF((W68=1),Thermostat!$C$3,Thermostat!$C$4)</f>
        <v>60</v>
      </c>
      <c r="X77" s="320">
        <f>IF((X68=1),Thermostat!$C$3,Thermostat!$C$4)</f>
        <v>60</v>
      </c>
      <c r="Y77" s="320">
        <f>IF((Y68=1),Thermostat!$C$3,Thermostat!$C$4)</f>
        <v>60</v>
      </c>
      <c r="Z77" s="320">
        <f>IF((Z68=1),Thermostat!$C$3,Thermostat!$C$4)</f>
        <v>60</v>
      </c>
      <c r="AA77" s="320">
        <f>IF((AA68=1),Thermostat!$C$3,Thermostat!$C$4)</f>
        <v>60</v>
      </c>
      <c r="AB77" s="320">
        <f>IF((AB68=1),Thermostat!$C$3,Thermostat!$C$4)</f>
        <v>60</v>
      </c>
      <c r="AC77" s="321">
        <f>IF((AC68=1),Thermostat!$C$3,Thermostat!$C$4)</f>
        <v>60</v>
      </c>
      <c r="AD77" s="43"/>
      <c r="AE77" s="43"/>
      <c r="AF77" s="43"/>
      <c r="AG77" s="43"/>
      <c r="AH77" s="43"/>
      <c r="AI77" s="43"/>
      <c r="AJ77" s="43"/>
      <c r="AK77" s="43"/>
      <c r="AM77" s="52"/>
      <c r="AO77" s="135"/>
    </row>
    <row r="78" spans="1:41" ht="38.700000000000003" customHeight="1" x14ac:dyDescent="0.3">
      <c r="A78" s="727" t="str">
        <f>A57</f>
        <v>Office</v>
      </c>
      <c r="B78" s="705" t="s">
        <v>173</v>
      </c>
      <c r="C78" s="729" t="s">
        <v>512</v>
      </c>
      <c r="D78" s="761" t="s">
        <v>525</v>
      </c>
      <c r="E78" s="322" t="s">
        <v>500</v>
      </c>
      <c r="F78" s="323">
        <f>IF((F66=1),Thermostat!$C$5,Thermostat!$C$6)</f>
        <v>85</v>
      </c>
      <c r="G78" s="323">
        <f>IF((G66=1),Thermostat!$C$5,Thermostat!$C$6)</f>
        <v>85</v>
      </c>
      <c r="H78" s="323">
        <f>IF((H66=1),Thermostat!$C$5,Thermostat!$C$6)</f>
        <v>85</v>
      </c>
      <c r="I78" s="323">
        <f>IF((I66=1),Thermostat!$C$5,Thermostat!$C$6)</f>
        <v>85</v>
      </c>
      <c r="J78" s="323">
        <f>IF((J66=1),Thermostat!$C$5,Thermostat!$C$6)</f>
        <v>85</v>
      </c>
      <c r="K78" s="323">
        <f>IF((K66=1),Thermostat!$C$5,Thermostat!$C$6)</f>
        <v>75</v>
      </c>
      <c r="L78" s="323">
        <f>IF((L66=1),Thermostat!$C$5,Thermostat!$C$6)</f>
        <v>75</v>
      </c>
      <c r="M78" s="323">
        <f>IF((M66=1),Thermostat!$C$5,Thermostat!$C$6)</f>
        <v>75</v>
      </c>
      <c r="N78" s="323">
        <f>IF((N66=1),Thermostat!$C$5,Thermostat!$C$6)</f>
        <v>75</v>
      </c>
      <c r="O78" s="323">
        <f>IF((O66=1),Thermostat!$C$5,Thermostat!$C$6)</f>
        <v>75</v>
      </c>
      <c r="P78" s="323">
        <f>IF((P66=1),Thermostat!$C$5,Thermostat!$C$6)</f>
        <v>75</v>
      </c>
      <c r="Q78" s="323">
        <f>IF((Q66=1),Thermostat!$C$5,Thermostat!$C$6)</f>
        <v>75</v>
      </c>
      <c r="R78" s="323">
        <f>IF((R66=1),Thermostat!$C$5,Thermostat!$C$6)</f>
        <v>75</v>
      </c>
      <c r="S78" s="323">
        <f>IF((S66=1),Thermostat!$C$5,Thermostat!$C$6)</f>
        <v>75</v>
      </c>
      <c r="T78" s="323">
        <f>IF((T66=1),Thermostat!$C$5,Thermostat!$C$6)</f>
        <v>75</v>
      </c>
      <c r="U78" s="323">
        <f>IF((U66=1),Thermostat!$C$5,Thermostat!$C$6)</f>
        <v>75</v>
      </c>
      <c r="V78" s="323">
        <f>IF((V66=1),Thermostat!$C$5,Thermostat!$C$6)</f>
        <v>75</v>
      </c>
      <c r="W78" s="323">
        <f>IF((W66=1),Thermostat!$C$5,Thermostat!$C$6)</f>
        <v>75</v>
      </c>
      <c r="X78" s="323">
        <f>IF((X66=1),Thermostat!$C$5,Thermostat!$C$6)</f>
        <v>75</v>
      </c>
      <c r="Y78" s="323">
        <f>IF((Y66=1),Thermostat!$C$5,Thermostat!$C$6)</f>
        <v>75</v>
      </c>
      <c r="Z78" s="323">
        <f>IF((Z66=1),Thermostat!$C$5,Thermostat!$C$6)</f>
        <v>75</v>
      </c>
      <c r="AA78" s="323">
        <f>IF((AA66=1),Thermostat!$C$5,Thermostat!$C$6)</f>
        <v>75</v>
      </c>
      <c r="AB78" s="323">
        <f>IF((AB66=1),Thermostat!$C$5,Thermostat!$C$6)</f>
        <v>75</v>
      </c>
      <c r="AC78" s="324">
        <f>IF((AC66=1),Thermostat!$C$5,Thermostat!$C$6)</f>
        <v>75</v>
      </c>
      <c r="AD78" s="43"/>
      <c r="AE78" s="43"/>
      <c r="AF78" s="43"/>
      <c r="AG78" s="43"/>
      <c r="AH78" s="43"/>
      <c r="AI78" s="43"/>
      <c r="AJ78" s="43"/>
      <c r="AK78" s="43"/>
      <c r="AM78" s="52"/>
      <c r="AO78" s="135"/>
    </row>
    <row r="79" spans="1:41" ht="38.700000000000003" customHeight="1" x14ac:dyDescent="0.3">
      <c r="A79" s="715"/>
      <c r="B79" s="706"/>
      <c r="C79" s="730"/>
      <c r="D79" s="762"/>
      <c r="E79" s="316" t="s">
        <v>501</v>
      </c>
      <c r="F79" s="317">
        <f>IF((F67=1),Thermostat!$C$5,Thermostat!$C$6)</f>
        <v>85</v>
      </c>
      <c r="G79" s="317">
        <f>IF((G67=1),Thermostat!$C$5,Thermostat!$C$6)</f>
        <v>85</v>
      </c>
      <c r="H79" s="317">
        <f>IF((H67=1),Thermostat!$C$5,Thermostat!$C$6)</f>
        <v>85</v>
      </c>
      <c r="I79" s="317">
        <f>IF((I67=1),Thermostat!$C$5,Thermostat!$C$6)</f>
        <v>85</v>
      </c>
      <c r="J79" s="317">
        <f>IF((J67=1),Thermostat!$C$5,Thermostat!$C$6)</f>
        <v>85</v>
      </c>
      <c r="K79" s="317">
        <f>IF((K67=1),Thermostat!$C$5,Thermostat!$C$6)</f>
        <v>85</v>
      </c>
      <c r="L79" s="317">
        <f>IF((L67=1),Thermostat!$C$5,Thermostat!$C$6)</f>
        <v>85</v>
      </c>
      <c r="M79" s="317">
        <f>IF((M67=1),Thermostat!$C$5,Thermostat!$C$6)</f>
        <v>85</v>
      </c>
      <c r="N79" s="317">
        <f>IF((N67=1),Thermostat!$C$5,Thermostat!$C$6)</f>
        <v>85</v>
      </c>
      <c r="O79" s="317">
        <f>IF((O67=1),Thermostat!$C$5,Thermostat!$C$6)</f>
        <v>85</v>
      </c>
      <c r="P79" s="317">
        <f>IF((P67=1),Thermostat!$C$5,Thermostat!$C$6)</f>
        <v>85</v>
      </c>
      <c r="Q79" s="317">
        <f>IF((Q67=1),Thermostat!$C$5,Thermostat!$C$6)</f>
        <v>85</v>
      </c>
      <c r="R79" s="317">
        <f>IF((R67=1),Thermostat!$C$5,Thermostat!$C$6)</f>
        <v>85</v>
      </c>
      <c r="S79" s="317">
        <f>IF((S67=1),Thermostat!$C$5,Thermostat!$C$6)</f>
        <v>85</v>
      </c>
      <c r="T79" s="317">
        <f>IF((T67=1),Thermostat!$C$5,Thermostat!$C$6)</f>
        <v>85</v>
      </c>
      <c r="U79" s="317">
        <f>IF((U67=1),Thermostat!$C$5,Thermostat!$C$6)</f>
        <v>85</v>
      </c>
      <c r="V79" s="317">
        <f>IF((V67=1),Thermostat!$C$5,Thermostat!$C$6)</f>
        <v>85</v>
      </c>
      <c r="W79" s="317">
        <f>IF((W67=1),Thermostat!$C$5,Thermostat!$C$6)</f>
        <v>85</v>
      </c>
      <c r="X79" s="317">
        <f>IF((X67=1),Thermostat!$C$5,Thermostat!$C$6)</f>
        <v>85</v>
      </c>
      <c r="Y79" s="317">
        <f>IF((Y67=1),Thermostat!$C$5,Thermostat!$C$6)</f>
        <v>85</v>
      </c>
      <c r="Z79" s="317">
        <f>IF((Z67=1),Thermostat!$C$5,Thermostat!$C$6)</f>
        <v>85</v>
      </c>
      <c r="AA79" s="317">
        <f>IF((AA67=1),Thermostat!$C$5,Thermostat!$C$6)</f>
        <v>85</v>
      </c>
      <c r="AB79" s="317">
        <f>IF((AB67=1),Thermostat!$C$5,Thermostat!$C$6)</f>
        <v>85</v>
      </c>
      <c r="AC79" s="318">
        <f>IF((AC67=1),Thermostat!$C$5,Thermostat!$C$6)</f>
        <v>85</v>
      </c>
      <c r="AD79" s="43"/>
      <c r="AE79" s="43"/>
      <c r="AF79" s="43"/>
      <c r="AG79" s="43"/>
      <c r="AH79" s="43"/>
      <c r="AI79" s="43"/>
      <c r="AJ79" s="43"/>
      <c r="AK79" s="43"/>
      <c r="AM79" s="52"/>
      <c r="AO79" s="135"/>
    </row>
    <row r="80" spans="1:41" ht="38.700000000000003" customHeight="1" thickBot="1" x14ac:dyDescent="0.35">
      <c r="A80" s="728"/>
      <c r="B80" s="764"/>
      <c r="C80" s="731"/>
      <c r="D80" s="765"/>
      <c r="E80" s="319" t="s">
        <v>502</v>
      </c>
      <c r="F80" s="320">
        <f>IF((F68=1),Thermostat!$C$5,Thermostat!$C$6)</f>
        <v>85</v>
      </c>
      <c r="G80" s="320">
        <f>IF((G68=1),Thermostat!$C$5,Thermostat!$C$6)</f>
        <v>85</v>
      </c>
      <c r="H80" s="320">
        <f>IF((H68=1),Thermostat!$C$5,Thermostat!$C$6)</f>
        <v>85</v>
      </c>
      <c r="I80" s="320">
        <f>IF((I68=1),Thermostat!$C$5,Thermostat!$C$6)</f>
        <v>85</v>
      </c>
      <c r="J80" s="320">
        <f>IF((J68=1),Thermostat!$C$5,Thermostat!$C$6)</f>
        <v>85</v>
      </c>
      <c r="K80" s="320">
        <f>IF((K68=1),Thermostat!$C$5,Thermostat!$C$6)</f>
        <v>85</v>
      </c>
      <c r="L80" s="320">
        <f>IF((L68=1),Thermostat!$C$5,Thermostat!$C$6)</f>
        <v>85</v>
      </c>
      <c r="M80" s="320">
        <f>IF((M68=1),Thermostat!$C$5,Thermostat!$C$6)</f>
        <v>85</v>
      </c>
      <c r="N80" s="320">
        <f>IF((N68=1),Thermostat!$C$5,Thermostat!$C$6)</f>
        <v>85</v>
      </c>
      <c r="O80" s="320">
        <f>IF((O68=1),Thermostat!$C$5,Thermostat!$C$6)</f>
        <v>85</v>
      </c>
      <c r="P80" s="320">
        <f>IF((P68=1),Thermostat!$C$5,Thermostat!$C$6)</f>
        <v>85</v>
      </c>
      <c r="Q80" s="320">
        <f>IF((Q68=1),Thermostat!$C$5,Thermostat!$C$6)</f>
        <v>85</v>
      </c>
      <c r="R80" s="320">
        <f>IF((R68=1),Thermostat!$C$5,Thermostat!$C$6)</f>
        <v>85</v>
      </c>
      <c r="S80" s="320">
        <f>IF((S68=1),Thermostat!$C$5,Thermostat!$C$6)</f>
        <v>85</v>
      </c>
      <c r="T80" s="320">
        <f>IF((T68=1),Thermostat!$C$5,Thermostat!$C$6)</f>
        <v>85</v>
      </c>
      <c r="U80" s="320">
        <f>IF((U68=1),Thermostat!$C$5,Thermostat!$C$6)</f>
        <v>85</v>
      </c>
      <c r="V80" s="320">
        <f>IF((V68=1),Thermostat!$C$5,Thermostat!$C$6)</f>
        <v>85</v>
      </c>
      <c r="W80" s="320">
        <f>IF((W68=1),Thermostat!$C$5,Thermostat!$C$6)</f>
        <v>85</v>
      </c>
      <c r="X80" s="320">
        <f>IF((X68=1),Thermostat!$C$5,Thermostat!$C$6)</f>
        <v>85</v>
      </c>
      <c r="Y80" s="320">
        <f>IF((Y68=1),Thermostat!$C$5,Thermostat!$C$6)</f>
        <v>85</v>
      </c>
      <c r="Z80" s="320">
        <f>IF((Z68=1),Thermostat!$C$5,Thermostat!$C$6)</f>
        <v>85</v>
      </c>
      <c r="AA80" s="320">
        <f>IF((AA68=1),Thermostat!$C$5,Thermostat!$C$6)</f>
        <v>85</v>
      </c>
      <c r="AB80" s="320">
        <f>IF((AB68=1),Thermostat!$C$5,Thermostat!$C$6)</f>
        <v>85</v>
      </c>
      <c r="AC80" s="321">
        <f>IF((AC68=1),Thermostat!$C$5,Thermostat!$C$6)</f>
        <v>85</v>
      </c>
      <c r="AD80" s="43"/>
      <c r="AE80" s="43"/>
      <c r="AF80" s="43"/>
      <c r="AG80" s="43"/>
      <c r="AH80" s="43"/>
      <c r="AI80" s="43"/>
      <c r="AJ80" s="43"/>
      <c r="AK80" s="43"/>
      <c r="AM80" s="52"/>
      <c r="AO80" s="135"/>
    </row>
    <row r="81" spans="1:41" ht="38.700000000000003" customHeight="1" x14ac:dyDescent="0.3">
      <c r="A81" s="727" t="str">
        <f>A60</f>
        <v>Office</v>
      </c>
      <c r="B81" s="705" t="s">
        <v>173</v>
      </c>
      <c r="C81" s="729" t="s">
        <v>519</v>
      </c>
      <c r="D81" s="761" t="s">
        <v>358</v>
      </c>
      <c r="E81" s="322" t="s">
        <v>500</v>
      </c>
      <c r="F81" s="323">
        <v>0</v>
      </c>
      <c r="G81" s="323">
        <v>0</v>
      </c>
      <c r="H81" s="323">
        <v>0</v>
      </c>
      <c r="I81" s="323">
        <v>0</v>
      </c>
      <c r="J81" s="323">
        <v>0</v>
      </c>
      <c r="K81" s="323">
        <v>0</v>
      </c>
      <c r="L81" s="133">
        <v>0.13100000000000001</v>
      </c>
      <c r="M81" s="133">
        <v>1</v>
      </c>
      <c r="N81" s="133">
        <v>0.13100000000000001</v>
      </c>
      <c r="O81" s="133">
        <v>0.13100000000000001</v>
      </c>
      <c r="P81" s="133">
        <v>0.13100000000000001</v>
      </c>
      <c r="Q81" s="133">
        <v>0.13100000000000001</v>
      </c>
      <c r="R81" s="133">
        <v>1</v>
      </c>
      <c r="S81" s="133">
        <v>0.13100000000000001</v>
      </c>
      <c r="T81" s="133">
        <v>0.13100000000000001</v>
      </c>
      <c r="U81" s="133">
        <v>0.13100000000000001</v>
      </c>
      <c r="V81" s="133">
        <v>0.13100000000000001</v>
      </c>
      <c r="W81" s="133">
        <v>1</v>
      </c>
      <c r="X81" s="133">
        <v>0.13100000000000001</v>
      </c>
      <c r="Y81" s="323">
        <v>0</v>
      </c>
      <c r="Z81" s="323">
        <v>0</v>
      </c>
      <c r="AA81" s="323">
        <v>0</v>
      </c>
      <c r="AB81" s="323">
        <v>0</v>
      </c>
      <c r="AC81" s="324">
        <v>0</v>
      </c>
      <c r="AD81" s="43"/>
      <c r="AE81" s="43"/>
      <c r="AF81" s="43"/>
      <c r="AG81" s="43"/>
      <c r="AH81" s="43"/>
      <c r="AI81" s="43"/>
      <c r="AJ81" s="43"/>
      <c r="AK81" s="43"/>
      <c r="AM81" s="52"/>
      <c r="AO81" s="135"/>
    </row>
    <row r="82" spans="1:41" ht="38.700000000000003" customHeight="1" x14ac:dyDescent="0.3">
      <c r="A82" s="715"/>
      <c r="B82" s="706"/>
      <c r="C82" s="730"/>
      <c r="D82" s="762"/>
      <c r="E82" s="316" t="s">
        <v>501</v>
      </c>
      <c r="F82" s="317">
        <v>0</v>
      </c>
      <c r="G82" s="317">
        <v>0</v>
      </c>
      <c r="H82" s="317">
        <v>0</v>
      </c>
      <c r="I82" s="317">
        <v>0</v>
      </c>
      <c r="J82" s="317">
        <v>0</v>
      </c>
      <c r="K82" s="317">
        <v>0</v>
      </c>
      <c r="L82" s="317">
        <v>0</v>
      </c>
      <c r="M82" s="317">
        <v>0</v>
      </c>
      <c r="N82" s="317">
        <v>0</v>
      </c>
      <c r="O82" s="317">
        <v>0</v>
      </c>
      <c r="P82" s="317">
        <v>0</v>
      </c>
      <c r="Q82" s="317">
        <v>0</v>
      </c>
      <c r="R82" s="317">
        <v>0</v>
      </c>
      <c r="S82" s="317">
        <v>0</v>
      </c>
      <c r="T82" s="317">
        <v>0</v>
      </c>
      <c r="U82" s="317">
        <v>0</v>
      </c>
      <c r="V82" s="317">
        <v>0</v>
      </c>
      <c r="W82" s="317">
        <v>0</v>
      </c>
      <c r="X82" s="317">
        <v>0</v>
      </c>
      <c r="Y82" s="317">
        <v>0</v>
      </c>
      <c r="Z82" s="317">
        <v>0</v>
      </c>
      <c r="AA82" s="317">
        <v>0</v>
      </c>
      <c r="AB82" s="317">
        <v>0</v>
      </c>
      <c r="AC82" s="318">
        <v>0</v>
      </c>
      <c r="AD82" s="43"/>
      <c r="AE82" s="43"/>
      <c r="AF82" s="43"/>
      <c r="AG82" s="43"/>
      <c r="AH82" s="43"/>
      <c r="AI82" s="43"/>
      <c r="AJ82" s="43"/>
      <c r="AK82" s="43"/>
      <c r="AM82" s="52"/>
      <c r="AO82" s="135"/>
    </row>
    <row r="83" spans="1:41" ht="38.700000000000003" customHeight="1" thickBot="1" x14ac:dyDescent="0.35">
      <c r="A83" s="728"/>
      <c r="B83" s="764"/>
      <c r="C83" s="731"/>
      <c r="D83" s="765"/>
      <c r="E83" s="319" t="s">
        <v>502</v>
      </c>
      <c r="F83" s="320">
        <v>0</v>
      </c>
      <c r="G83" s="320">
        <v>0</v>
      </c>
      <c r="H83" s="320">
        <v>0</v>
      </c>
      <c r="I83" s="320">
        <v>0</v>
      </c>
      <c r="J83" s="320">
        <v>0</v>
      </c>
      <c r="K83" s="320">
        <v>0</v>
      </c>
      <c r="L83" s="320">
        <v>0</v>
      </c>
      <c r="M83" s="320">
        <v>0</v>
      </c>
      <c r="N83" s="320">
        <v>0</v>
      </c>
      <c r="O83" s="320">
        <v>0</v>
      </c>
      <c r="P83" s="320">
        <v>0</v>
      </c>
      <c r="Q83" s="320">
        <v>0</v>
      </c>
      <c r="R83" s="320">
        <v>0</v>
      </c>
      <c r="S83" s="320">
        <v>0</v>
      </c>
      <c r="T83" s="320">
        <v>0</v>
      </c>
      <c r="U83" s="320">
        <v>0</v>
      </c>
      <c r="V83" s="320">
        <v>0</v>
      </c>
      <c r="W83" s="320">
        <v>0</v>
      </c>
      <c r="X83" s="320">
        <v>0</v>
      </c>
      <c r="Y83" s="320">
        <v>0</v>
      </c>
      <c r="Z83" s="320">
        <v>0</v>
      </c>
      <c r="AA83" s="320">
        <v>0</v>
      </c>
      <c r="AB83" s="320">
        <v>0</v>
      </c>
      <c r="AC83" s="321">
        <v>0</v>
      </c>
      <c r="AD83" s="43"/>
      <c r="AE83" s="43"/>
      <c r="AF83" s="43"/>
      <c r="AG83" s="43"/>
      <c r="AH83" s="43"/>
      <c r="AI83" s="43"/>
      <c r="AJ83" s="43"/>
      <c r="AK83" s="43"/>
      <c r="AM83" s="52"/>
      <c r="AO83" s="135"/>
    </row>
    <row r="84" spans="1:41" ht="27.6" customHeight="1" thickBot="1" x14ac:dyDescent="0.35">
      <c r="A84" s="703" t="s">
        <v>526</v>
      </c>
      <c r="B84" s="703"/>
      <c r="C84" s="703"/>
      <c r="D84" s="703"/>
      <c r="E84" s="703"/>
      <c r="F84" s="703"/>
      <c r="G84" s="703"/>
      <c r="H84" s="703"/>
      <c r="I84" s="703"/>
      <c r="J84" s="703"/>
      <c r="K84" s="703"/>
      <c r="L84" s="703"/>
      <c r="M84" s="703"/>
      <c r="N84" s="703"/>
      <c r="O84" s="703"/>
      <c r="P84" s="703"/>
      <c r="Q84" s="703"/>
      <c r="R84" s="703"/>
      <c r="S84" s="703"/>
      <c r="T84" s="703"/>
      <c r="U84" s="703"/>
      <c r="V84" s="703"/>
      <c r="W84" s="703"/>
      <c r="X84" s="703"/>
      <c r="Y84" s="703"/>
      <c r="Z84" s="703"/>
      <c r="AA84" s="703"/>
      <c r="AB84" s="703"/>
      <c r="AC84" s="704"/>
      <c r="AD84" s="43"/>
      <c r="AE84" s="43"/>
      <c r="AF84" s="43"/>
      <c r="AG84" s="43"/>
      <c r="AH84" s="43"/>
      <c r="AI84" s="43"/>
      <c r="AJ84" s="43"/>
      <c r="AK84" s="43"/>
      <c r="AM84" s="52"/>
      <c r="AO84" s="135"/>
    </row>
    <row r="85" spans="1:41" ht="33" customHeight="1" x14ac:dyDescent="0.3">
      <c r="A85" s="799"/>
      <c r="B85" s="802" t="s">
        <v>161</v>
      </c>
      <c r="C85" s="804" t="s">
        <v>527</v>
      </c>
      <c r="D85" s="805"/>
      <c r="E85" s="387" t="s">
        <v>500</v>
      </c>
      <c r="F85" s="388">
        <v>1</v>
      </c>
      <c r="G85" s="388">
        <v>1</v>
      </c>
      <c r="H85" s="388">
        <v>1</v>
      </c>
      <c r="I85" s="388">
        <v>1</v>
      </c>
      <c r="J85" s="388">
        <v>1</v>
      </c>
      <c r="K85" s="388">
        <v>1</v>
      </c>
      <c r="L85" s="388">
        <v>1</v>
      </c>
      <c r="M85" s="388">
        <v>1</v>
      </c>
      <c r="N85" s="388">
        <v>1</v>
      </c>
      <c r="O85" s="388">
        <v>1</v>
      </c>
      <c r="P85" s="388">
        <v>1</v>
      </c>
      <c r="Q85" s="388">
        <v>1</v>
      </c>
      <c r="R85" s="388">
        <v>1</v>
      </c>
      <c r="S85" s="388">
        <v>1</v>
      </c>
      <c r="T85" s="388">
        <v>1</v>
      </c>
      <c r="U85" s="388">
        <v>1</v>
      </c>
      <c r="V85" s="388">
        <v>1</v>
      </c>
      <c r="W85" s="388">
        <v>1</v>
      </c>
      <c r="X85" s="388">
        <v>1</v>
      </c>
      <c r="Y85" s="388">
        <v>1</v>
      </c>
      <c r="Z85" s="388">
        <v>1</v>
      </c>
      <c r="AA85" s="388">
        <v>1</v>
      </c>
      <c r="AB85" s="388">
        <v>1</v>
      </c>
      <c r="AC85" s="389">
        <v>1</v>
      </c>
      <c r="AD85" s="43"/>
      <c r="AE85" s="43"/>
      <c r="AF85" s="43"/>
      <c r="AG85" s="43"/>
      <c r="AH85" s="43"/>
      <c r="AI85" s="43"/>
      <c r="AJ85" s="43"/>
      <c r="AK85" s="43"/>
      <c r="AM85" s="52"/>
      <c r="AO85" s="135"/>
    </row>
    <row r="86" spans="1:41" ht="33" customHeight="1" x14ac:dyDescent="0.3">
      <c r="A86" s="800"/>
      <c r="B86" s="785"/>
      <c r="C86" s="772"/>
      <c r="D86" s="788"/>
      <c r="E86" s="308" t="s">
        <v>501</v>
      </c>
      <c r="F86" s="327">
        <v>1</v>
      </c>
      <c r="G86" s="327">
        <v>1</v>
      </c>
      <c r="H86" s="327">
        <v>1</v>
      </c>
      <c r="I86" s="327">
        <v>1</v>
      </c>
      <c r="J86" s="327">
        <v>1</v>
      </c>
      <c r="K86" s="327">
        <v>1</v>
      </c>
      <c r="L86" s="327">
        <v>1</v>
      </c>
      <c r="M86" s="327">
        <v>1</v>
      </c>
      <c r="N86" s="327">
        <v>1</v>
      </c>
      <c r="O86" s="327">
        <v>1</v>
      </c>
      <c r="P86" s="327">
        <v>1</v>
      </c>
      <c r="Q86" s="327">
        <v>1</v>
      </c>
      <c r="R86" s="327">
        <v>1</v>
      </c>
      <c r="S86" s="327">
        <v>1</v>
      </c>
      <c r="T86" s="327">
        <v>1</v>
      </c>
      <c r="U86" s="327">
        <v>1</v>
      </c>
      <c r="V86" s="327">
        <v>1</v>
      </c>
      <c r="W86" s="327">
        <v>1</v>
      </c>
      <c r="X86" s="327">
        <v>1</v>
      </c>
      <c r="Y86" s="327">
        <v>1</v>
      </c>
      <c r="Z86" s="327">
        <v>1</v>
      </c>
      <c r="AA86" s="327">
        <v>1</v>
      </c>
      <c r="AB86" s="327">
        <v>1</v>
      </c>
      <c r="AC86" s="390">
        <v>1</v>
      </c>
      <c r="AD86" s="43"/>
      <c r="AE86" s="43"/>
      <c r="AF86" s="43"/>
      <c r="AG86" s="43"/>
      <c r="AH86" s="43"/>
      <c r="AI86" s="43"/>
      <c r="AJ86" s="43"/>
      <c r="AK86" s="43"/>
      <c r="AM86" s="52"/>
      <c r="AO86" s="135"/>
    </row>
    <row r="87" spans="1:41" ht="33" customHeight="1" thickBot="1" x14ac:dyDescent="0.35">
      <c r="A87" s="801"/>
      <c r="B87" s="803"/>
      <c r="C87" s="773"/>
      <c r="D87" s="806"/>
      <c r="E87" s="391" t="s">
        <v>502</v>
      </c>
      <c r="F87" s="392">
        <v>1</v>
      </c>
      <c r="G87" s="392">
        <v>1</v>
      </c>
      <c r="H87" s="392">
        <v>1</v>
      </c>
      <c r="I87" s="392">
        <v>1</v>
      </c>
      <c r="J87" s="392">
        <v>1</v>
      </c>
      <c r="K87" s="392">
        <v>1</v>
      </c>
      <c r="L87" s="392">
        <v>1</v>
      </c>
      <c r="M87" s="392">
        <v>1</v>
      </c>
      <c r="N87" s="392">
        <v>1</v>
      </c>
      <c r="O87" s="392">
        <v>1</v>
      </c>
      <c r="P87" s="392">
        <v>1</v>
      </c>
      <c r="Q87" s="392">
        <v>1</v>
      </c>
      <c r="R87" s="392">
        <v>1</v>
      </c>
      <c r="S87" s="392">
        <v>1</v>
      </c>
      <c r="T87" s="392">
        <v>1</v>
      </c>
      <c r="U87" s="392">
        <v>1</v>
      </c>
      <c r="V87" s="392">
        <v>1</v>
      </c>
      <c r="W87" s="392">
        <v>1</v>
      </c>
      <c r="X87" s="392">
        <v>1</v>
      </c>
      <c r="Y87" s="392">
        <v>1</v>
      </c>
      <c r="Z87" s="392">
        <v>1</v>
      </c>
      <c r="AA87" s="392">
        <v>1</v>
      </c>
      <c r="AB87" s="392">
        <v>1</v>
      </c>
      <c r="AC87" s="393">
        <v>1</v>
      </c>
      <c r="AD87" s="43"/>
      <c r="AE87" s="43"/>
      <c r="AF87" s="43"/>
      <c r="AG87" s="43"/>
      <c r="AH87" s="43"/>
      <c r="AI87" s="43"/>
      <c r="AJ87" s="43"/>
      <c r="AK87" s="43"/>
      <c r="AM87" s="52"/>
      <c r="AO87" s="135"/>
    </row>
    <row r="88" spans="1:41" ht="33" customHeight="1" x14ac:dyDescent="0.3">
      <c r="A88" s="781"/>
      <c r="B88" s="784" t="s">
        <v>161</v>
      </c>
      <c r="C88" s="787" t="s">
        <v>528</v>
      </c>
      <c r="D88" s="788"/>
      <c r="E88" s="311" t="s">
        <v>500</v>
      </c>
      <c r="F88" s="394">
        <v>0</v>
      </c>
      <c r="G88" s="394">
        <v>0</v>
      </c>
      <c r="H88" s="394">
        <v>0</v>
      </c>
      <c r="I88" s="394">
        <v>0</v>
      </c>
      <c r="J88" s="394">
        <v>0</v>
      </c>
      <c r="K88" s="394">
        <v>1</v>
      </c>
      <c r="L88" s="394">
        <v>1</v>
      </c>
      <c r="M88" s="394">
        <v>1</v>
      </c>
      <c r="N88" s="394">
        <v>1</v>
      </c>
      <c r="O88" s="394">
        <v>1</v>
      </c>
      <c r="P88" s="394">
        <v>1</v>
      </c>
      <c r="Q88" s="394">
        <v>1</v>
      </c>
      <c r="R88" s="394">
        <v>1</v>
      </c>
      <c r="S88" s="394">
        <v>1</v>
      </c>
      <c r="T88" s="394">
        <v>1</v>
      </c>
      <c r="U88" s="394">
        <v>1</v>
      </c>
      <c r="V88" s="394">
        <v>1</v>
      </c>
      <c r="W88" s="394">
        <v>1</v>
      </c>
      <c r="X88" s="394">
        <v>1</v>
      </c>
      <c r="Y88" s="394">
        <v>1</v>
      </c>
      <c r="Z88" s="394">
        <v>1</v>
      </c>
      <c r="AA88" s="394">
        <v>1</v>
      </c>
      <c r="AB88" s="394">
        <v>0</v>
      </c>
      <c r="AC88" s="395">
        <v>0</v>
      </c>
      <c r="AD88" s="43"/>
      <c r="AE88" s="43"/>
      <c r="AF88" s="43"/>
      <c r="AG88" s="43"/>
      <c r="AH88" s="43"/>
      <c r="AI88" s="43"/>
      <c r="AJ88" s="43"/>
      <c r="AK88" s="43"/>
      <c r="AM88" s="52"/>
      <c r="AO88" s="135"/>
    </row>
    <row r="89" spans="1:41" ht="33" customHeight="1" x14ac:dyDescent="0.3">
      <c r="A89" s="782"/>
      <c r="B89" s="785"/>
      <c r="C89" s="772"/>
      <c r="D89" s="788"/>
      <c r="E89" s="308" t="s">
        <v>501</v>
      </c>
      <c r="F89" s="327">
        <v>0</v>
      </c>
      <c r="G89" s="327">
        <v>0</v>
      </c>
      <c r="H89" s="327">
        <v>0</v>
      </c>
      <c r="I89" s="327">
        <v>0</v>
      </c>
      <c r="J89" s="327">
        <v>0</v>
      </c>
      <c r="K89" s="327">
        <v>1</v>
      </c>
      <c r="L89" s="327">
        <v>1</v>
      </c>
      <c r="M89" s="327">
        <v>1</v>
      </c>
      <c r="N89" s="327">
        <v>1</v>
      </c>
      <c r="O89" s="327">
        <v>1</v>
      </c>
      <c r="P89" s="327">
        <v>1</v>
      </c>
      <c r="Q89" s="327">
        <v>1</v>
      </c>
      <c r="R89" s="327">
        <v>1</v>
      </c>
      <c r="S89" s="327">
        <v>1</v>
      </c>
      <c r="T89" s="327">
        <v>1</v>
      </c>
      <c r="U89" s="327">
        <v>1</v>
      </c>
      <c r="V89" s="327">
        <v>1</v>
      </c>
      <c r="W89" s="327">
        <v>1</v>
      </c>
      <c r="X89" s="327">
        <v>1</v>
      </c>
      <c r="Y89" s="327">
        <v>1</v>
      </c>
      <c r="Z89" s="327">
        <v>1</v>
      </c>
      <c r="AA89" s="327">
        <v>1</v>
      </c>
      <c r="AB89" s="327">
        <v>1</v>
      </c>
      <c r="AC89" s="328">
        <v>1</v>
      </c>
      <c r="AD89" s="43"/>
      <c r="AE89" s="43"/>
      <c r="AF89" s="43"/>
      <c r="AG89" s="43"/>
      <c r="AH89" s="43"/>
      <c r="AI89" s="43"/>
      <c r="AJ89" s="43"/>
      <c r="AK89" s="43"/>
      <c r="AM89" s="52"/>
      <c r="AO89" s="135"/>
    </row>
    <row r="90" spans="1:41" ht="33" customHeight="1" thickBot="1" x14ac:dyDescent="0.35">
      <c r="A90" s="783"/>
      <c r="B90" s="786"/>
      <c r="C90" s="780"/>
      <c r="D90" s="789"/>
      <c r="E90" s="310" t="s">
        <v>502</v>
      </c>
      <c r="F90" s="329">
        <v>0</v>
      </c>
      <c r="G90" s="329">
        <v>0</v>
      </c>
      <c r="H90" s="329">
        <v>0</v>
      </c>
      <c r="I90" s="329">
        <v>0</v>
      </c>
      <c r="J90" s="329">
        <v>0</v>
      </c>
      <c r="K90" s="329">
        <v>1</v>
      </c>
      <c r="L90" s="329">
        <v>1</v>
      </c>
      <c r="M90" s="329">
        <v>1</v>
      </c>
      <c r="N90" s="329">
        <v>1</v>
      </c>
      <c r="O90" s="329">
        <v>1</v>
      </c>
      <c r="P90" s="329">
        <v>1</v>
      </c>
      <c r="Q90" s="329">
        <v>1</v>
      </c>
      <c r="R90" s="329">
        <v>1</v>
      </c>
      <c r="S90" s="329">
        <v>1</v>
      </c>
      <c r="T90" s="329">
        <v>1</v>
      </c>
      <c r="U90" s="329">
        <v>1</v>
      </c>
      <c r="V90" s="329">
        <v>1</v>
      </c>
      <c r="W90" s="329">
        <v>1</v>
      </c>
      <c r="X90" s="329">
        <v>1</v>
      </c>
      <c r="Y90" s="329">
        <v>1</v>
      </c>
      <c r="Z90" s="329">
        <v>1</v>
      </c>
      <c r="AA90" s="329">
        <v>1</v>
      </c>
      <c r="AB90" s="329">
        <v>1</v>
      </c>
      <c r="AC90" s="330">
        <v>1</v>
      </c>
      <c r="AD90" s="43"/>
      <c r="AE90" s="43"/>
      <c r="AF90" s="43"/>
      <c r="AG90" s="43"/>
      <c r="AH90" s="43"/>
      <c r="AI90" s="43"/>
      <c r="AJ90" s="43"/>
      <c r="AK90" s="43"/>
      <c r="AM90" s="52"/>
      <c r="AO90" s="135"/>
    </row>
    <row r="91" spans="1:41" ht="33" customHeight="1" x14ac:dyDescent="0.3">
      <c r="A91" s="777" t="s">
        <v>173</v>
      </c>
      <c r="B91" s="771" t="s">
        <v>161</v>
      </c>
      <c r="C91" s="771" t="s">
        <v>529</v>
      </c>
      <c r="D91" s="774" t="s">
        <v>530</v>
      </c>
      <c r="E91" s="306" t="s">
        <v>500</v>
      </c>
      <c r="F91" s="325">
        <v>131.9</v>
      </c>
      <c r="G91" s="325">
        <v>131.9</v>
      </c>
      <c r="H91" s="325">
        <v>131.9</v>
      </c>
      <c r="I91" s="325">
        <v>131.9</v>
      </c>
      <c r="J91" s="325">
        <v>131.9</v>
      </c>
      <c r="K91" s="325">
        <v>131.9</v>
      </c>
      <c r="L91" s="325">
        <v>131.9</v>
      </c>
      <c r="M91" s="325">
        <v>131.9</v>
      </c>
      <c r="N91" s="325">
        <v>131.9</v>
      </c>
      <c r="O91" s="325">
        <v>131.9</v>
      </c>
      <c r="P91" s="325">
        <v>131.9</v>
      </c>
      <c r="Q91" s="325">
        <v>131.9</v>
      </c>
      <c r="R91" s="325">
        <v>131.9</v>
      </c>
      <c r="S91" s="325">
        <v>131.9</v>
      </c>
      <c r="T91" s="325">
        <v>131.9</v>
      </c>
      <c r="U91" s="325">
        <v>131.9</v>
      </c>
      <c r="V91" s="325">
        <v>131.9</v>
      </c>
      <c r="W91" s="325">
        <v>131.9</v>
      </c>
      <c r="X91" s="325">
        <v>131.9</v>
      </c>
      <c r="Y91" s="325">
        <v>131.9</v>
      </c>
      <c r="Z91" s="325">
        <v>131.9</v>
      </c>
      <c r="AA91" s="325">
        <v>131.9</v>
      </c>
      <c r="AB91" s="325">
        <v>131.9</v>
      </c>
      <c r="AC91" s="326">
        <v>131.9</v>
      </c>
      <c r="AD91" s="43"/>
      <c r="AE91" s="43"/>
      <c r="AF91" s="43"/>
      <c r="AG91" s="43"/>
      <c r="AH91" s="43"/>
      <c r="AI91" s="43"/>
      <c r="AJ91" s="43"/>
      <c r="AK91" s="43"/>
      <c r="AM91" s="52"/>
      <c r="AO91" s="135"/>
    </row>
    <row r="92" spans="1:41" ht="33" customHeight="1" x14ac:dyDescent="0.3">
      <c r="A92" s="778"/>
      <c r="B92" s="772"/>
      <c r="C92" s="772"/>
      <c r="D92" s="775"/>
      <c r="E92" s="308" t="s">
        <v>501</v>
      </c>
      <c r="F92" s="327">
        <v>131.9</v>
      </c>
      <c r="G92" s="327">
        <v>131.9</v>
      </c>
      <c r="H92" s="327">
        <v>131.9</v>
      </c>
      <c r="I92" s="327">
        <v>131.9</v>
      </c>
      <c r="J92" s="327">
        <v>131.9</v>
      </c>
      <c r="K92" s="327">
        <v>131.9</v>
      </c>
      <c r="L92" s="327">
        <v>131.9</v>
      </c>
      <c r="M92" s="327">
        <v>131.9</v>
      </c>
      <c r="N92" s="327">
        <v>131.9</v>
      </c>
      <c r="O92" s="327">
        <v>131.9</v>
      </c>
      <c r="P92" s="327">
        <v>131.9</v>
      </c>
      <c r="Q92" s="327">
        <v>131.9</v>
      </c>
      <c r="R92" s="327">
        <v>131.9</v>
      </c>
      <c r="S92" s="327">
        <v>131.9</v>
      </c>
      <c r="T92" s="327">
        <v>131.9</v>
      </c>
      <c r="U92" s="327">
        <v>131.9</v>
      </c>
      <c r="V92" s="327">
        <v>131.9</v>
      </c>
      <c r="W92" s="327">
        <v>131.9</v>
      </c>
      <c r="X92" s="327">
        <v>131.9</v>
      </c>
      <c r="Y92" s="327">
        <v>131.9</v>
      </c>
      <c r="Z92" s="327">
        <v>131.9</v>
      </c>
      <c r="AA92" s="327">
        <v>131.9</v>
      </c>
      <c r="AB92" s="327">
        <v>131.9</v>
      </c>
      <c r="AC92" s="328">
        <v>131.9</v>
      </c>
      <c r="AD92" s="43"/>
      <c r="AE92" s="43"/>
      <c r="AF92" s="43"/>
      <c r="AG92" s="43"/>
      <c r="AH92" s="43"/>
      <c r="AI92" s="43"/>
      <c r="AJ92" s="43"/>
      <c r="AK92" s="43"/>
      <c r="AM92" s="52"/>
      <c r="AO92" s="135"/>
    </row>
    <row r="93" spans="1:41" ht="33" customHeight="1" thickBot="1" x14ac:dyDescent="0.35">
      <c r="A93" s="779"/>
      <c r="B93" s="780"/>
      <c r="C93" s="773"/>
      <c r="D93" s="776"/>
      <c r="E93" s="310" t="s">
        <v>502</v>
      </c>
      <c r="F93" s="329">
        <v>131.9</v>
      </c>
      <c r="G93" s="329">
        <v>131.9</v>
      </c>
      <c r="H93" s="329">
        <v>131.9</v>
      </c>
      <c r="I93" s="329">
        <v>131.9</v>
      </c>
      <c r="J93" s="329">
        <v>131.9</v>
      </c>
      <c r="K93" s="329">
        <v>131.9</v>
      </c>
      <c r="L93" s="329">
        <v>131.9</v>
      </c>
      <c r="M93" s="329">
        <v>131.9</v>
      </c>
      <c r="N93" s="329">
        <v>131.9</v>
      </c>
      <c r="O93" s="329">
        <v>131.9</v>
      </c>
      <c r="P93" s="329">
        <v>131.9</v>
      </c>
      <c r="Q93" s="329">
        <v>131.9</v>
      </c>
      <c r="R93" s="329">
        <v>131.9</v>
      </c>
      <c r="S93" s="329">
        <v>131.9</v>
      </c>
      <c r="T93" s="329">
        <v>131.9</v>
      </c>
      <c r="U93" s="329">
        <v>131.9</v>
      </c>
      <c r="V93" s="329">
        <v>131.9</v>
      </c>
      <c r="W93" s="329">
        <v>131.9</v>
      </c>
      <c r="X93" s="329">
        <v>131.9</v>
      </c>
      <c r="Y93" s="329">
        <v>131.9</v>
      </c>
      <c r="Z93" s="329">
        <v>131.9</v>
      </c>
      <c r="AA93" s="329">
        <v>131.9</v>
      </c>
      <c r="AB93" s="329">
        <v>131.9</v>
      </c>
      <c r="AC93" s="330">
        <v>131.9</v>
      </c>
    </row>
    <row r="94" spans="1:41" ht="25.2" customHeight="1" x14ac:dyDescent="0.3">
      <c r="A94" s="777" t="s">
        <v>531</v>
      </c>
      <c r="B94" s="771" t="s">
        <v>161</v>
      </c>
      <c r="C94" s="771" t="s">
        <v>532</v>
      </c>
      <c r="D94" s="774" t="s">
        <v>530</v>
      </c>
      <c r="E94" s="306" t="s">
        <v>500</v>
      </c>
      <c r="F94" s="325">
        <v>219.8</v>
      </c>
      <c r="G94" s="325">
        <v>219.8</v>
      </c>
      <c r="H94" s="325">
        <v>219.8</v>
      </c>
      <c r="I94" s="325">
        <v>219.8</v>
      </c>
      <c r="J94" s="325">
        <v>219.8</v>
      </c>
      <c r="K94" s="325">
        <v>219.8</v>
      </c>
      <c r="L94" s="325">
        <v>219.8</v>
      </c>
      <c r="M94" s="325">
        <v>219.8</v>
      </c>
      <c r="N94" s="325">
        <v>219.8</v>
      </c>
      <c r="O94" s="325">
        <v>219.8</v>
      </c>
      <c r="P94" s="325">
        <v>219.8</v>
      </c>
      <c r="Q94" s="325">
        <v>219.8</v>
      </c>
      <c r="R94" s="325">
        <v>219.8</v>
      </c>
      <c r="S94" s="325">
        <v>219.8</v>
      </c>
      <c r="T94" s="325">
        <v>219.8</v>
      </c>
      <c r="U94" s="325">
        <v>219.8</v>
      </c>
      <c r="V94" s="325">
        <v>219.8</v>
      </c>
      <c r="W94" s="325">
        <v>219.8</v>
      </c>
      <c r="X94" s="325">
        <v>219.8</v>
      </c>
      <c r="Y94" s="325">
        <v>219.8</v>
      </c>
      <c r="Z94" s="325">
        <v>219.8</v>
      </c>
      <c r="AA94" s="325">
        <v>219.8</v>
      </c>
      <c r="AB94" s="325">
        <v>219.8</v>
      </c>
      <c r="AC94" s="326">
        <v>219.8</v>
      </c>
    </row>
    <row r="95" spans="1:41" ht="25.2" customHeight="1" x14ac:dyDescent="0.3">
      <c r="A95" s="778"/>
      <c r="B95" s="772"/>
      <c r="C95" s="772"/>
      <c r="D95" s="775"/>
      <c r="E95" s="308" t="s">
        <v>501</v>
      </c>
      <c r="F95" s="327">
        <v>219.8</v>
      </c>
      <c r="G95" s="327">
        <v>219.8</v>
      </c>
      <c r="H95" s="327">
        <v>219.8</v>
      </c>
      <c r="I95" s="327">
        <v>219.8</v>
      </c>
      <c r="J95" s="327">
        <v>219.8</v>
      </c>
      <c r="K95" s="327">
        <v>219.8</v>
      </c>
      <c r="L95" s="327">
        <v>219.8</v>
      </c>
      <c r="M95" s="327">
        <v>219.8</v>
      </c>
      <c r="N95" s="327">
        <v>219.8</v>
      </c>
      <c r="O95" s="327">
        <v>219.8</v>
      </c>
      <c r="P95" s="327">
        <v>219.8</v>
      </c>
      <c r="Q95" s="327">
        <v>219.8</v>
      </c>
      <c r="R95" s="327">
        <v>219.8</v>
      </c>
      <c r="S95" s="327">
        <v>219.8</v>
      </c>
      <c r="T95" s="327">
        <v>219.8</v>
      </c>
      <c r="U95" s="327">
        <v>219.8</v>
      </c>
      <c r="V95" s="327">
        <v>219.8</v>
      </c>
      <c r="W95" s="327">
        <v>219.8</v>
      </c>
      <c r="X95" s="327">
        <v>219.8</v>
      </c>
      <c r="Y95" s="327">
        <v>219.8</v>
      </c>
      <c r="Z95" s="327">
        <v>219.8</v>
      </c>
      <c r="AA95" s="327">
        <v>219.8</v>
      </c>
      <c r="AB95" s="327">
        <v>219.8</v>
      </c>
      <c r="AC95" s="328">
        <v>219.8</v>
      </c>
    </row>
    <row r="96" spans="1:41" ht="25.2" customHeight="1" thickBot="1" x14ac:dyDescent="0.35">
      <c r="A96" s="779"/>
      <c r="B96" s="780"/>
      <c r="C96" s="773"/>
      <c r="D96" s="776"/>
      <c r="E96" s="310" t="s">
        <v>502</v>
      </c>
      <c r="F96" s="329">
        <v>219.8</v>
      </c>
      <c r="G96" s="329">
        <v>219.8</v>
      </c>
      <c r="H96" s="329">
        <v>219.8</v>
      </c>
      <c r="I96" s="329">
        <v>219.8</v>
      </c>
      <c r="J96" s="329">
        <v>219.8</v>
      </c>
      <c r="K96" s="329">
        <v>219.8</v>
      </c>
      <c r="L96" s="329">
        <v>219.8</v>
      </c>
      <c r="M96" s="329">
        <v>219.8</v>
      </c>
      <c r="N96" s="329">
        <v>219.8</v>
      </c>
      <c r="O96" s="329">
        <v>219.8</v>
      </c>
      <c r="P96" s="329">
        <v>219.8</v>
      </c>
      <c r="Q96" s="329">
        <v>219.8</v>
      </c>
      <c r="R96" s="329">
        <v>219.8</v>
      </c>
      <c r="S96" s="329">
        <v>219.8</v>
      </c>
      <c r="T96" s="329">
        <v>219.8</v>
      </c>
      <c r="U96" s="329">
        <v>219.8</v>
      </c>
      <c r="V96" s="329">
        <v>219.8</v>
      </c>
      <c r="W96" s="329">
        <v>219.8</v>
      </c>
      <c r="X96" s="329">
        <v>219.8</v>
      </c>
      <c r="Y96" s="329">
        <v>219.8</v>
      </c>
      <c r="Z96" s="329">
        <v>219.8</v>
      </c>
      <c r="AA96" s="329">
        <v>219.8</v>
      </c>
      <c r="AB96" s="329">
        <v>219.8</v>
      </c>
      <c r="AC96" s="330">
        <v>219.8</v>
      </c>
    </row>
    <row r="97" spans="1:29" x14ac:dyDescent="0.3">
      <c r="A97" s="294"/>
      <c r="B97" s="294"/>
      <c r="C97" s="294"/>
      <c r="D97" s="294"/>
      <c r="F97" s="297"/>
      <c r="G97" s="297"/>
      <c r="H97" s="297"/>
      <c r="I97" s="297"/>
      <c r="J97" s="297"/>
      <c r="K97" s="297"/>
      <c r="L97" s="297"/>
      <c r="M97" s="297"/>
      <c r="N97" s="297"/>
      <c r="O97" s="297"/>
      <c r="P97" s="297"/>
      <c r="Q97" s="297"/>
      <c r="R97" s="297"/>
      <c r="S97" s="297"/>
      <c r="T97" s="297"/>
      <c r="U97" s="297"/>
      <c r="V97" s="297"/>
      <c r="W97" s="297"/>
      <c r="X97" s="297"/>
      <c r="Y97" s="297"/>
      <c r="Z97" s="297"/>
      <c r="AA97" s="297"/>
      <c r="AB97" s="297"/>
      <c r="AC97" s="297"/>
    </row>
    <row r="98" spans="1:29" x14ac:dyDescent="0.3">
      <c r="A98" s="294"/>
      <c r="B98" s="294"/>
      <c r="C98" s="294"/>
      <c r="D98" s="294"/>
      <c r="F98" s="297"/>
      <c r="G98" s="297"/>
      <c r="H98" s="297"/>
      <c r="I98" s="297"/>
      <c r="J98" s="297"/>
      <c r="K98" s="297"/>
      <c r="L98" s="297"/>
      <c r="M98" s="297"/>
      <c r="N98" s="297"/>
      <c r="O98" s="297"/>
      <c r="P98" s="297"/>
      <c r="Q98" s="297"/>
      <c r="R98" s="297"/>
      <c r="S98" s="297"/>
      <c r="T98" s="297"/>
      <c r="U98" s="297"/>
      <c r="V98" s="297"/>
      <c r="W98" s="297"/>
      <c r="X98" s="297"/>
      <c r="Y98" s="297"/>
      <c r="Z98" s="297"/>
      <c r="AA98" s="297"/>
      <c r="AB98" s="297"/>
      <c r="AC98" s="297"/>
    </row>
    <row r="99" spans="1:29" x14ac:dyDescent="0.3">
      <c r="A99" s="294"/>
      <c r="B99" s="294"/>
      <c r="C99" s="294"/>
      <c r="D99" s="294"/>
      <c r="F99" s="297"/>
      <c r="G99" s="297"/>
      <c r="H99" s="297"/>
      <c r="I99" s="297"/>
      <c r="J99" s="297"/>
      <c r="K99" s="297"/>
      <c r="L99" s="297"/>
      <c r="M99" s="297"/>
      <c r="N99" s="297"/>
      <c r="O99" s="297"/>
      <c r="P99" s="297"/>
      <c r="Q99" s="297"/>
      <c r="R99" s="297"/>
      <c r="S99" s="297"/>
      <c r="T99" s="297"/>
      <c r="U99" s="297"/>
      <c r="V99" s="297"/>
      <c r="W99" s="297"/>
      <c r="X99" s="297"/>
      <c r="Y99" s="297"/>
      <c r="Z99" s="297"/>
      <c r="AA99" s="297"/>
      <c r="AB99" s="297"/>
      <c r="AC99" s="297"/>
    </row>
    <row r="100" spans="1:29" x14ac:dyDescent="0.3">
      <c r="A100" s="294"/>
      <c r="B100" s="294"/>
      <c r="C100" s="294"/>
      <c r="D100" s="294"/>
      <c r="F100" s="297"/>
      <c r="G100" s="297"/>
      <c r="H100" s="297"/>
      <c r="I100" s="297"/>
      <c r="J100" s="297"/>
      <c r="K100" s="297"/>
      <c r="L100" s="297"/>
      <c r="M100" s="297"/>
      <c r="N100" s="297"/>
      <c r="O100" s="297"/>
      <c r="P100" s="297"/>
      <c r="Q100" s="297"/>
      <c r="R100" s="297"/>
      <c r="S100" s="297"/>
      <c r="T100" s="297"/>
      <c r="U100" s="297"/>
      <c r="V100" s="297"/>
      <c r="W100" s="297"/>
      <c r="X100" s="297"/>
      <c r="Y100" s="297"/>
      <c r="Z100" s="297"/>
      <c r="AA100" s="297"/>
      <c r="AB100" s="297"/>
      <c r="AC100" s="297"/>
    </row>
    <row r="101" spans="1:29" x14ac:dyDescent="0.3">
      <c r="A101" s="294"/>
      <c r="B101" s="294"/>
      <c r="C101" s="294"/>
      <c r="D101" s="294"/>
      <c r="F101" s="297"/>
      <c r="G101" s="297"/>
      <c r="H101" s="297"/>
      <c r="I101" s="297"/>
      <c r="J101" s="297"/>
      <c r="K101" s="297"/>
      <c r="L101" s="297"/>
      <c r="M101" s="297"/>
      <c r="N101" s="297"/>
      <c r="O101" s="297"/>
      <c r="P101" s="297"/>
      <c r="Q101" s="297"/>
      <c r="R101" s="297"/>
      <c r="S101" s="297"/>
      <c r="T101" s="297"/>
      <c r="U101" s="297"/>
      <c r="V101" s="297"/>
      <c r="W101" s="297"/>
      <c r="X101" s="297"/>
      <c r="Y101" s="297"/>
      <c r="Z101" s="297"/>
      <c r="AA101" s="297"/>
      <c r="AB101" s="297"/>
      <c r="AC101" s="297"/>
    </row>
    <row r="102" spans="1:29" x14ac:dyDescent="0.3">
      <c r="A102" s="294"/>
      <c r="B102" s="294"/>
      <c r="C102" s="294"/>
      <c r="D102" s="294"/>
      <c r="F102" s="297"/>
      <c r="G102" s="297"/>
      <c r="H102" s="297"/>
      <c r="I102" s="297"/>
      <c r="J102" s="297"/>
      <c r="K102" s="297"/>
      <c r="L102" s="297"/>
      <c r="M102" s="297"/>
      <c r="N102" s="297"/>
      <c r="O102" s="297"/>
      <c r="P102" s="297"/>
      <c r="Q102" s="297"/>
      <c r="R102" s="297"/>
      <c r="S102" s="297"/>
      <c r="T102" s="297"/>
      <c r="U102" s="297"/>
      <c r="V102" s="297"/>
      <c r="W102" s="297"/>
      <c r="X102" s="297"/>
      <c r="Y102" s="297"/>
      <c r="Z102" s="297"/>
      <c r="AA102" s="297"/>
      <c r="AB102" s="297"/>
      <c r="AC102" s="297"/>
    </row>
    <row r="103" spans="1:29" x14ac:dyDescent="0.3">
      <c r="A103" s="294"/>
      <c r="B103" s="294"/>
      <c r="C103" s="294"/>
      <c r="D103" s="294"/>
      <c r="F103" s="297"/>
      <c r="G103" s="297"/>
      <c r="H103" s="297"/>
      <c r="I103" s="297"/>
      <c r="J103" s="297"/>
      <c r="K103" s="297"/>
      <c r="L103" s="297"/>
      <c r="M103" s="297"/>
      <c r="N103" s="297"/>
      <c r="O103" s="297"/>
      <c r="P103" s="297"/>
      <c r="Q103" s="297"/>
      <c r="R103" s="297"/>
      <c r="S103" s="297"/>
      <c r="T103" s="297"/>
      <c r="U103" s="297"/>
      <c r="V103" s="297"/>
      <c r="W103" s="297"/>
      <c r="X103" s="297"/>
      <c r="Y103" s="297"/>
      <c r="Z103" s="297"/>
      <c r="AA103" s="297"/>
      <c r="AB103" s="297"/>
      <c r="AC103" s="297"/>
    </row>
    <row r="104" spans="1:29" x14ac:dyDescent="0.3">
      <c r="A104" s="294"/>
      <c r="B104" s="294"/>
      <c r="C104" s="294"/>
      <c r="D104" s="294"/>
      <c r="F104" s="297"/>
      <c r="G104" s="297"/>
      <c r="H104" s="297"/>
      <c r="I104" s="297"/>
      <c r="J104" s="297"/>
      <c r="K104" s="297"/>
      <c r="L104" s="297"/>
      <c r="M104" s="297"/>
      <c r="N104" s="297"/>
      <c r="O104" s="297"/>
      <c r="P104" s="297"/>
      <c r="Q104" s="297"/>
      <c r="R104" s="297"/>
      <c r="S104" s="297"/>
      <c r="T104" s="297"/>
      <c r="U104" s="297"/>
      <c r="V104" s="297"/>
      <c r="W104" s="297"/>
      <c r="X104" s="297"/>
      <c r="Y104" s="297"/>
      <c r="Z104" s="297"/>
      <c r="AA104" s="297"/>
      <c r="AB104" s="297"/>
      <c r="AC104" s="297"/>
    </row>
    <row r="105" spans="1:29" x14ac:dyDescent="0.3">
      <c r="A105" s="294"/>
      <c r="B105" s="294"/>
      <c r="C105" s="294"/>
      <c r="D105" s="294"/>
      <c r="F105" s="297"/>
      <c r="G105" s="297"/>
      <c r="H105" s="297"/>
      <c r="I105" s="297"/>
      <c r="J105" s="297"/>
      <c r="K105" s="297"/>
      <c r="L105" s="297"/>
      <c r="M105" s="297"/>
      <c r="N105" s="297"/>
      <c r="O105" s="297"/>
      <c r="P105" s="297"/>
      <c r="Q105" s="297"/>
      <c r="R105" s="297"/>
      <c r="S105" s="297"/>
      <c r="T105" s="297"/>
      <c r="U105" s="297"/>
      <c r="V105" s="297"/>
      <c r="W105" s="297"/>
      <c r="X105" s="297"/>
      <c r="Y105" s="297"/>
      <c r="Z105" s="297"/>
      <c r="AA105" s="297"/>
      <c r="AB105" s="297"/>
      <c r="AC105" s="297"/>
    </row>
    <row r="106" spans="1:29" x14ac:dyDescent="0.3">
      <c r="A106" s="294"/>
      <c r="B106" s="294"/>
      <c r="C106" s="294"/>
      <c r="D106" s="294"/>
      <c r="F106" s="297"/>
      <c r="G106" s="297"/>
      <c r="H106" s="297"/>
      <c r="I106" s="297"/>
      <c r="J106" s="297"/>
      <c r="K106" s="297"/>
      <c r="L106" s="297"/>
      <c r="M106" s="297"/>
      <c r="N106" s="297"/>
      <c r="O106" s="297"/>
      <c r="P106" s="297"/>
      <c r="Q106" s="297"/>
      <c r="R106" s="297"/>
      <c r="S106" s="297"/>
      <c r="T106" s="297"/>
      <c r="U106" s="297"/>
      <c r="V106" s="297"/>
      <c r="W106" s="297"/>
      <c r="X106" s="297"/>
      <c r="Y106" s="297"/>
      <c r="Z106" s="297"/>
      <c r="AA106" s="297"/>
      <c r="AB106" s="297"/>
      <c r="AC106" s="297"/>
    </row>
    <row r="107" spans="1:29" x14ac:dyDescent="0.3">
      <c r="A107" s="294"/>
      <c r="B107" s="294"/>
      <c r="C107" s="294"/>
      <c r="D107" s="294"/>
      <c r="F107" s="297"/>
      <c r="G107" s="297"/>
      <c r="H107" s="297"/>
      <c r="I107" s="297"/>
      <c r="J107" s="297"/>
      <c r="K107" s="297"/>
      <c r="L107" s="297"/>
      <c r="M107" s="297"/>
      <c r="N107" s="297"/>
      <c r="O107" s="297"/>
      <c r="P107" s="297"/>
      <c r="Q107" s="297"/>
      <c r="R107" s="297"/>
      <c r="S107" s="297"/>
      <c r="T107" s="297"/>
      <c r="U107" s="297"/>
      <c r="V107" s="297"/>
      <c r="W107" s="297"/>
      <c r="X107" s="297"/>
      <c r="Y107" s="297"/>
      <c r="Z107" s="297"/>
      <c r="AA107" s="297"/>
      <c r="AB107" s="297"/>
      <c r="AC107" s="297"/>
    </row>
    <row r="108" spans="1:29" x14ac:dyDescent="0.3">
      <c r="B108" s="203"/>
    </row>
    <row r="109" spans="1:29" x14ac:dyDescent="0.3">
      <c r="B109" s="203"/>
    </row>
    <row r="110" spans="1:29" x14ac:dyDescent="0.3">
      <c r="B110" s="203"/>
    </row>
    <row r="113" spans="2:15" ht="11.4" hidden="1" customHeight="1" x14ac:dyDescent="0.3"/>
    <row r="114" spans="2:15" s="26" customFormat="1" ht="13.2" hidden="1" customHeight="1" x14ac:dyDescent="0.25">
      <c r="B114" s="26" t="s">
        <v>84</v>
      </c>
      <c r="E114" s="27"/>
      <c r="F114" s="28"/>
      <c r="G114" s="29"/>
    </row>
    <row r="115" spans="2:15" ht="12" hidden="1" customHeight="1" thickBot="1" x14ac:dyDescent="0.35"/>
    <row r="116" spans="2:15" hidden="1" x14ac:dyDescent="0.3"/>
    <row r="117" spans="2:15" ht="13.2" hidden="1" x14ac:dyDescent="0.3">
      <c r="B117" s="209" t="s">
        <v>533</v>
      </c>
    </row>
    <row r="118" spans="2:15" ht="44.4" hidden="1" customHeight="1" x14ac:dyDescent="0.3">
      <c r="B118" s="735" t="s">
        <v>534</v>
      </c>
      <c r="C118" s="735"/>
      <c r="D118" s="735"/>
      <c r="E118" s="735"/>
      <c r="F118" s="735"/>
      <c r="G118" s="735"/>
      <c r="H118" s="735"/>
      <c r="I118" s="735"/>
      <c r="J118" s="735"/>
      <c r="K118" s="735"/>
      <c r="L118" s="735"/>
      <c r="M118" s="735"/>
      <c r="N118" s="735"/>
      <c r="O118" s="735"/>
    </row>
    <row r="119" spans="2:15" hidden="1" x14ac:dyDescent="0.3"/>
    <row r="120" spans="2:15" hidden="1" x14ac:dyDescent="0.3"/>
    <row r="121" spans="2:15" hidden="1" x14ac:dyDescent="0.3"/>
    <row r="122" spans="2:15" hidden="1" x14ac:dyDescent="0.3"/>
    <row r="123" spans="2:15" hidden="1" x14ac:dyDescent="0.3"/>
    <row r="124" spans="2:15" hidden="1" x14ac:dyDescent="0.3"/>
    <row r="125" spans="2:15" hidden="1" x14ac:dyDescent="0.3"/>
    <row r="126" spans="2:15" hidden="1" x14ac:dyDescent="0.3"/>
    <row r="127" spans="2:15" hidden="1" x14ac:dyDescent="0.3"/>
    <row r="128" spans="2:15" hidden="1" x14ac:dyDescent="0.3"/>
    <row r="129" hidden="1" x14ac:dyDescent="0.3"/>
    <row r="130" hidden="1" x14ac:dyDescent="0.3"/>
    <row r="131" hidden="1" x14ac:dyDescent="0.3"/>
    <row r="132" hidden="1" x14ac:dyDescent="0.3"/>
    <row r="133" hidden="1" x14ac:dyDescent="0.3"/>
    <row r="134" hidden="1" x14ac:dyDescent="0.3"/>
    <row r="135" hidden="1" x14ac:dyDescent="0.3"/>
    <row r="136" hidden="1" x14ac:dyDescent="0.3"/>
    <row r="137" hidden="1" x14ac:dyDescent="0.3"/>
    <row r="138" hidden="1" x14ac:dyDescent="0.3"/>
    <row r="139" hidden="1" x14ac:dyDescent="0.3"/>
    <row r="140" hidden="1" x14ac:dyDescent="0.3"/>
    <row r="141" hidden="1" x14ac:dyDescent="0.3"/>
    <row r="142" hidden="1" x14ac:dyDescent="0.3"/>
    <row r="143" hidden="1" x14ac:dyDescent="0.3"/>
    <row r="144" hidden="1" x14ac:dyDescent="0.3"/>
    <row r="145" spans="2:2" hidden="1" x14ac:dyDescent="0.3"/>
    <row r="146" spans="2:2" hidden="1" x14ac:dyDescent="0.3">
      <c r="B146" s="41" t="e" vm="1">
        <v>#VALUE!</v>
      </c>
    </row>
    <row r="147" spans="2:2" hidden="1" x14ac:dyDescent="0.3"/>
    <row r="148" spans="2:2" hidden="1" x14ac:dyDescent="0.3"/>
    <row r="149" spans="2:2" hidden="1" x14ac:dyDescent="0.3"/>
    <row r="150" spans="2:2" hidden="1" x14ac:dyDescent="0.3"/>
    <row r="151" spans="2:2" hidden="1" x14ac:dyDescent="0.3"/>
    <row r="152" spans="2:2" hidden="1" x14ac:dyDescent="0.3"/>
    <row r="153" spans="2:2" hidden="1" x14ac:dyDescent="0.3"/>
    <row r="154" spans="2:2" hidden="1" x14ac:dyDescent="0.3"/>
    <row r="155" spans="2:2" hidden="1" x14ac:dyDescent="0.3"/>
    <row r="156" spans="2:2" hidden="1" x14ac:dyDescent="0.3"/>
    <row r="157" spans="2:2" hidden="1" x14ac:dyDescent="0.3"/>
    <row r="158" spans="2:2" hidden="1" x14ac:dyDescent="0.3"/>
    <row r="159" spans="2:2" hidden="1" x14ac:dyDescent="0.3"/>
    <row r="160" spans="2:2" hidden="1" x14ac:dyDescent="0.3"/>
    <row r="161" hidden="1" x14ac:dyDescent="0.3"/>
    <row r="162" hidden="1" x14ac:dyDescent="0.3"/>
    <row r="163" hidden="1" x14ac:dyDescent="0.3"/>
    <row r="164" hidden="1" x14ac:dyDescent="0.3"/>
    <row r="165" hidden="1" x14ac:dyDescent="0.3"/>
    <row r="166" hidden="1" x14ac:dyDescent="0.3"/>
    <row r="167" hidden="1" x14ac:dyDescent="0.3"/>
    <row r="168" hidden="1" x14ac:dyDescent="0.3"/>
    <row r="169" hidden="1" x14ac:dyDescent="0.3"/>
    <row r="170" hidden="1" x14ac:dyDescent="0.3"/>
    <row r="171" hidden="1" x14ac:dyDescent="0.3"/>
    <row r="172" hidden="1" x14ac:dyDescent="0.3"/>
    <row r="173" hidden="1" x14ac:dyDescent="0.3"/>
    <row r="174" hidden="1" x14ac:dyDescent="0.3"/>
    <row r="175" hidden="1" x14ac:dyDescent="0.3"/>
    <row r="176" hidden="1" x14ac:dyDescent="0.3"/>
    <row r="177" hidden="1" x14ac:dyDescent="0.3"/>
    <row r="178" hidden="1" x14ac:dyDescent="0.3"/>
    <row r="179" hidden="1" x14ac:dyDescent="0.3"/>
    <row r="180" hidden="1" x14ac:dyDescent="0.3"/>
    <row r="181" hidden="1" x14ac:dyDescent="0.3"/>
    <row r="182" hidden="1" x14ac:dyDescent="0.3"/>
    <row r="183" hidden="1" x14ac:dyDescent="0.3"/>
    <row r="184" hidden="1" x14ac:dyDescent="0.3"/>
    <row r="185" hidden="1" x14ac:dyDescent="0.3"/>
    <row r="186" hidden="1" x14ac:dyDescent="0.3"/>
    <row r="187" hidden="1" x14ac:dyDescent="0.3"/>
    <row r="188" hidden="1" x14ac:dyDescent="0.3"/>
    <row r="189" hidden="1" x14ac:dyDescent="0.3"/>
    <row r="190" hidden="1" x14ac:dyDescent="0.3"/>
    <row r="191" hidden="1" x14ac:dyDescent="0.3"/>
    <row r="192" hidden="1" x14ac:dyDescent="0.3"/>
    <row r="193" hidden="1" x14ac:dyDescent="0.3"/>
    <row r="194" hidden="1" x14ac:dyDescent="0.3"/>
    <row r="195" hidden="1" x14ac:dyDescent="0.3"/>
    <row r="196" hidden="1" x14ac:dyDescent="0.3"/>
    <row r="197" hidden="1" x14ac:dyDescent="0.3"/>
    <row r="198" hidden="1" x14ac:dyDescent="0.3"/>
    <row r="199" hidden="1" x14ac:dyDescent="0.3"/>
    <row r="200" hidden="1" x14ac:dyDescent="0.3"/>
    <row r="201" hidden="1" x14ac:dyDescent="0.3"/>
    <row r="202" hidden="1" x14ac:dyDescent="0.3"/>
    <row r="203" hidden="1" x14ac:dyDescent="0.3"/>
    <row r="204" hidden="1" x14ac:dyDescent="0.3"/>
    <row r="205" hidden="1" x14ac:dyDescent="0.3"/>
    <row r="206" hidden="1" x14ac:dyDescent="0.3"/>
    <row r="207" hidden="1" x14ac:dyDescent="0.3"/>
    <row r="208" hidden="1" x14ac:dyDescent="0.3"/>
    <row r="209" hidden="1" x14ac:dyDescent="0.3"/>
    <row r="210" hidden="1" x14ac:dyDescent="0.3"/>
    <row r="211" hidden="1" x14ac:dyDescent="0.3"/>
  </sheetData>
  <mergeCells count="131">
    <mergeCell ref="D57:D59"/>
    <mergeCell ref="B53:B55"/>
    <mergeCell ref="C53:C55"/>
    <mergeCell ref="D53:D55"/>
    <mergeCell ref="A85:A87"/>
    <mergeCell ref="B85:B87"/>
    <mergeCell ref="C85:C87"/>
    <mergeCell ref="D85:D87"/>
    <mergeCell ref="A69:A71"/>
    <mergeCell ref="B72:B74"/>
    <mergeCell ref="C72:C74"/>
    <mergeCell ref="D72:D74"/>
    <mergeCell ref="B66:B68"/>
    <mergeCell ref="C66:C68"/>
    <mergeCell ref="D66:D68"/>
    <mergeCell ref="B69:B71"/>
    <mergeCell ref="C69:C71"/>
    <mergeCell ref="D69:D71"/>
    <mergeCell ref="A81:A83"/>
    <mergeCell ref="B81:B83"/>
    <mergeCell ref="C81:C83"/>
    <mergeCell ref="D81:D83"/>
    <mergeCell ref="C94:C96"/>
    <mergeCell ref="D94:D96"/>
    <mergeCell ref="A94:A96"/>
    <mergeCell ref="B94:B96"/>
    <mergeCell ref="A88:A90"/>
    <mergeCell ref="B88:B90"/>
    <mergeCell ref="C88:C90"/>
    <mergeCell ref="D88:D90"/>
    <mergeCell ref="A91:A93"/>
    <mergeCell ref="B91:B93"/>
    <mergeCell ref="C91:C93"/>
    <mergeCell ref="D91:D93"/>
    <mergeCell ref="A1:AC1"/>
    <mergeCell ref="A56:AC56"/>
    <mergeCell ref="A84:AC84"/>
    <mergeCell ref="A29:A31"/>
    <mergeCell ref="B29:B31"/>
    <mergeCell ref="C29:C31"/>
    <mergeCell ref="D29:D31"/>
    <mergeCell ref="A32:A34"/>
    <mergeCell ref="B32:B34"/>
    <mergeCell ref="C32:C34"/>
    <mergeCell ref="D32:D34"/>
    <mergeCell ref="C75:C77"/>
    <mergeCell ref="D75:D77"/>
    <mergeCell ref="B78:B80"/>
    <mergeCell ref="C78:C80"/>
    <mergeCell ref="D78:D80"/>
    <mergeCell ref="A72:A74"/>
    <mergeCell ref="A75:A77"/>
    <mergeCell ref="A78:A80"/>
    <mergeCell ref="B75:B77"/>
    <mergeCell ref="A57:A59"/>
    <mergeCell ref="A60:A62"/>
    <mergeCell ref="A63:A65"/>
    <mergeCell ref="A66:A68"/>
    <mergeCell ref="A2:A3"/>
    <mergeCell ref="C22:C24"/>
    <mergeCell ref="C25:C27"/>
    <mergeCell ref="B22:B24"/>
    <mergeCell ref="B25:B27"/>
    <mergeCell ref="A22:A24"/>
    <mergeCell ref="A25:A27"/>
    <mergeCell ref="A4:A6"/>
    <mergeCell ref="A7:A9"/>
    <mergeCell ref="A10:A12"/>
    <mergeCell ref="A13:A15"/>
    <mergeCell ref="A16:A18"/>
    <mergeCell ref="B16:B18"/>
    <mergeCell ref="C16:C18"/>
    <mergeCell ref="B41:B43"/>
    <mergeCell ref="C41:C43"/>
    <mergeCell ref="D41:D43"/>
    <mergeCell ref="A44:A46"/>
    <mergeCell ref="B44:B46"/>
    <mergeCell ref="C44:C46"/>
    <mergeCell ref="D44:D46"/>
    <mergeCell ref="A50:A52"/>
    <mergeCell ref="B50:B52"/>
    <mergeCell ref="A41:A43"/>
    <mergeCell ref="C50:C52"/>
    <mergeCell ref="B118:O118"/>
    <mergeCell ref="B2:B3"/>
    <mergeCell ref="C2:C3"/>
    <mergeCell ref="D2:D3"/>
    <mergeCell ref="E2:E3"/>
    <mergeCell ref="F2:AC2"/>
    <mergeCell ref="B60:B62"/>
    <mergeCell ref="C60:C62"/>
    <mergeCell ref="D60:D62"/>
    <mergeCell ref="B4:B6"/>
    <mergeCell ref="C4:C6"/>
    <mergeCell ref="D4:D6"/>
    <mergeCell ref="B7:B9"/>
    <mergeCell ref="C7:C9"/>
    <mergeCell ref="D7:D9"/>
    <mergeCell ref="B13:B15"/>
    <mergeCell ref="C13:C15"/>
    <mergeCell ref="D13:D15"/>
    <mergeCell ref="B10:B12"/>
    <mergeCell ref="C10:C12"/>
    <mergeCell ref="D10:D12"/>
    <mergeCell ref="B57:B59"/>
    <mergeCell ref="C57:C59"/>
    <mergeCell ref="D50:D52"/>
    <mergeCell ref="D16:D18"/>
    <mergeCell ref="B19:B21"/>
    <mergeCell ref="C19:C21"/>
    <mergeCell ref="D19:D21"/>
    <mergeCell ref="D22:D24"/>
    <mergeCell ref="D25:D27"/>
    <mergeCell ref="A28:AC28"/>
    <mergeCell ref="B63:B65"/>
    <mergeCell ref="C63:C65"/>
    <mergeCell ref="D63:D65"/>
    <mergeCell ref="A19:A21"/>
    <mergeCell ref="A35:A37"/>
    <mergeCell ref="B35:B37"/>
    <mergeCell ref="C35:C37"/>
    <mergeCell ref="D35:D37"/>
    <mergeCell ref="A38:A40"/>
    <mergeCell ref="B38:B40"/>
    <mergeCell ref="C38:C40"/>
    <mergeCell ref="D38:D40"/>
    <mergeCell ref="A47:A49"/>
    <mergeCell ref="B47:B49"/>
    <mergeCell ref="C47:C49"/>
    <mergeCell ref="D47:D49"/>
    <mergeCell ref="A53:A55"/>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C2528-244E-42F6-AB8E-307C68E3EB6B}">
  <sheetPr codeName="Sheet21"/>
  <dimension ref="A1:AB47"/>
  <sheetViews>
    <sheetView zoomScale="85" zoomScaleNormal="85" workbookViewId="0">
      <selection sqref="A1:G1"/>
    </sheetView>
  </sheetViews>
  <sheetFormatPr defaultColWidth="8.6640625" defaultRowHeight="13.2" x14ac:dyDescent="0.25"/>
  <cols>
    <col min="1" max="2" width="12" style="4" customWidth="1"/>
    <col min="3" max="6" width="13.6640625" style="4" customWidth="1"/>
    <col min="7" max="7" width="13.33203125" style="4" customWidth="1"/>
    <col min="8" max="8" width="7.109375" style="4" customWidth="1"/>
    <col min="9" max="9" width="8.6640625" style="4"/>
    <col min="10" max="10" width="12" style="4" customWidth="1"/>
    <col min="11" max="11" width="14.109375" style="4" customWidth="1"/>
    <col min="12" max="12" width="10.33203125" style="4" customWidth="1"/>
    <col min="13" max="13" width="5.6640625" style="4" customWidth="1"/>
    <col min="14" max="14" width="9.44140625" style="4" customWidth="1"/>
    <col min="15" max="27" width="5.6640625" style="4" customWidth="1"/>
    <col min="28" max="16384" width="8.6640625" style="4"/>
  </cols>
  <sheetData>
    <row r="1" spans="1:28" ht="28.95" customHeight="1" x14ac:dyDescent="0.25">
      <c r="A1" s="567" t="str">
        <f>"% of Floor Area per CZ and Vintage Bin - "&amp;Prototype!A2</f>
        <v>% of Floor Area per CZ and Vintage Bin - Warehouse</v>
      </c>
      <c r="B1" s="567"/>
      <c r="C1" s="567"/>
      <c r="D1" s="567"/>
      <c r="E1" s="567"/>
      <c r="F1" s="567"/>
      <c r="G1" s="567"/>
      <c r="J1" s="567" t="str">
        <f>"% of Floor Area per CZ and Vintage Bin - "&amp;Prototype!A2</f>
        <v>% of Floor Area per CZ and Vintage Bin - Warehouse</v>
      </c>
      <c r="K1" s="567"/>
      <c r="L1" s="567"/>
      <c r="M1" s="567"/>
      <c r="N1" s="567"/>
      <c r="O1" s="567"/>
      <c r="P1" s="567"/>
      <c r="Q1" s="567"/>
      <c r="R1" s="567"/>
      <c r="S1" s="567"/>
      <c r="T1" s="567"/>
      <c r="U1" s="567"/>
      <c r="V1" s="567"/>
      <c r="W1" s="567"/>
      <c r="X1" s="567"/>
      <c r="Y1" s="567"/>
      <c r="Z1" s="567"/>
      <c r="AA1" s="567"/>
    </row>
    <row r="2" spans="1:28" ht="21" customHeight="1" x14ac:dyDescent="0.25">
      <c r="A2" s="813" t="s">
        <v>6</v>
      </c>
      <c r="B2" s="813" t="s">
        <v>535</v>
      </c>
      <c r="C2" s="813" t="s">
        <v>536</v>
      </c>
      <c r="D2" s="813"/>
      <c r="E2" s="813"/>
      <c r="F2" s="813"/>
      <c r="G2" s="813"/>
      <c r="J2" s="813" t="s">
        <v>6</v>
      </c>
      <c r="K2" s="813" t="s">
        <v>536</v>
      </c>
      <c r="L2" s="813" t="s">
        <v>535</v>
      </c>
      <c r="M2" s="813"/>
      <c r="N2" s="813"/>
      <c r="O2" s="813"/>
      <c r="P2" s="813"/>
      <c r="Q2" s="813"/>
      <c r="R2" s="813"/>
      <c r="S2" s="813"/>
      <c r="T2" s="813"/>
      <c r="U2" s="813"/>
      <c r="V2" s="813"/>
      <c r="W2" s="813"/>
      <c r="X2" s="813"/>
      <c r="Y2" s="813"/>
      <c r="Z2" s="813"/>
      <c r="AA2" s="813"/>
    </row>
    <row r="3" spans="1:28" ht="21" customHeight="1" x14ac:dyDescent="0.25">
      <c r="A3" s="813"/>
      <c r="B3" s="813"/>
      <c r="C3" s="535" t="s">
        <v>537</v>
      </c>
      <c r="D3" s="535" t="s">
        <v>215</v>
      </c>
      <c r="E3" s="535" t="s">
        <v>217</v>
      </c>
      <c r="F3" s="535" t="s">
        <v>219</v>
      </c>
      <c r="G3" s="535"/>
      <c r="J3" s="813"/>
      <c r="K3" s="813"/>
      <c r="L3" s="535">
        <v>1</v>
      </c>
      <c r="M3" s="535">
        <v>2</v>
      </c>
      <c r="N3" s="535">
        <v>3</v>
      </c>
      <c r="O3" s="535">
        <v>4</v>
      </c>
      <c r="P3" s="535">
        <v>5</v>
      </c>
      <c r="Q3" s="535">
        <v>6</v>
      </c>
      <c r="R3" s="535">
        <v>7</v>
      </c>
      <c r="S3" s="535">
        <v>8</v>
      </c>
      <c r="T3" s="535">
        <v>9</v>
      </c>
      <c r="U3" s="535">
        <v>10</v>
      </c>
      <c r="V3" s="535">
        <v>11</v>
      </c>
      <c r="W3" s="535">
        <v>12</v>
      </c>
      <c r="X3" s="535">
        <v>13</v>
      </c>
      <c r="Y3" s="535">
        <v>14</v>
      </c>
      <c r="Z3" s="535">
        <v>15</v>
      </c>
      <c r="AA3" s="535">
        <v>16</v>
      </c>
    </row>
    <row r="4" spans="1:28" ht="16.95" customHeight="1" x14ac:dyDescent="0.25">
      <c r="A4" s="551" t="s">
        <v>49</v>
      </c>
      <c r="B4" s="271">
        <v>1</v>
      </c>
      <c r="C4" s="536">
        <v>0.17703269999999999</v>
      </c>
      <c r="D4" s="536">
        <v>0.2850703</v>
      </c>
      <c r="E4" s="536">
        <v>0.28825030000000001</v>
      </c>
      <c r="F4" s="536">
        <v>0.2496467</v>
      </c>
      <c r="G4" s="270"/>
      <c r="H4" s="63">
        <f>SUM(C4:F4)</f>
        <v>1</v>
      </c>
      <c r="J4" s="812" t="s">
        <v>49</v>
      </c>
      <c r="K4" s="536" t="s">
        <v>537</v>
      </c>
      <c r="L4" s="536">
        <v>5.5599999999999998E-3</v>
      </c>
      <c r="M4" s="536">
        <v>1.2796999999999999E-2</v>
      </c>
      <c r="N4" s="536">
        <v>6.4099000000000003E-2</v>
      </c>
      <c r="O4" s="536">
        <v>3.4778999999999997E-2</v>
      </c>
      <c r="P4" s="536">
        <v>2.3149999999999998E-3</v>
      </c>
      <c r="Q4" s="536">
        <v>0.11643100000000001</v>
      </c>
      <c r="R4" s="536">
        <v>1.9084E-2</v>
      </c>
      <c r="S4" s="536">
        <v>0.24862200000000001</v>
      </c>
      <c r="T4" s="536">
        <v>0.24967800000000001</v>
      </c>
      <c r="U4" s="536">
        <v>3.3093999999999998E-2</v>
      </c>
      <c r="V4" s="536">
        <v>1.8506000000000002E-2</v>
      </c>
      <c r="W4" s="536">
        <v>8.9547000000000002E-2</v>
      </c>
      <c r="X4" s="536">
        <v>2.0331999999999999E-2</v>
      </c>
      <c r="Y4" s="536">
        <v>3.1384000000000002E-2</v>
      </c>
      <c r="Z4" s="536">
        <v>6.9870000000000002E-3</v>
      </c>
      <c r="AA4" s="536">
        <v>4.6783999999999999E-2</v>
      </c>
      <c r="AB4" s="63">
        <f t="shared" ref="AB4:AB9" si="0">SUM(L4:AA4)</f>
        <v>0.99999900000000008</v>
      </c>
    </row>
    <row r="5" spans="1:28" ht="16.95" customHeight="1" x14ac:dyDescent="0.25">
      <c r="A5" s="551"/>
      <c r="B5" s="271">
        <v>2</v>
      </c>
      <c r="C5" s="536">
        <v>0.27897699999999997</v>
      </c>
      <c r="D5" s="536">
        <v>0.18290039999999999</v>
      </c>
      <c r="E5" s="536">
        <v>0.17494670000000001</v>
      </c>
      <c r="F5" s="536">
        <v>0.3631759</v>
      </c>
      <c r="G5" s="270"/>
      <c r="H5" s="63">
        <f t="shared" ref="H5:H20" si="1">SUM(C5:F5)</f>
        <v>1</v>
      </c>
      <c r="J5" s="812"/>
      <c r="K5" s="536" t="s">
        <v>215</v>
      </c>
      <c r="L5" s="536">
        <v>5.7970000000000001E-3</v>
      </c>
      <c r="M5" s="536">
        <v>5.4330000000000003E-3</v>
      </c>
      <c r="N5" s="536">
        <v>4.7139E-2</v>
      </c>
      <c r="O5" s="536">
        <v>2.3761999999999998E-2</v>
      </c>
      <c r="P5" s="536">
        <v>2E-3</v>
      </c>
      <c r="Q5" s="536">
        <v>5.3414000000000003E-2</v>
      </c>
      <c r="R5" s="536">
        <v>1.7242E-2</v>
      </c>
      <c r="S5" s="536">
        <v>0.104631</v>
      </c>
      <c r="T5" s="536">
        <v>0.112049</v>
      </c>
      <c r="U5" s="536">
        <v>0.132354</v>
      </c>
      <c r="V5" s="536">
        <v>4.2752999999999999E-2</v>
      </c>
      <c r="W5" s="536">
        <v>0.16106899999999999</v>
      </c>
      <c r="X5" s="536">
        <v>4.9827999999999997E-2</v>
      </c>
      <c r="Y5" s="536">
        <v>3.7737E-2</v>
      </c>
      <c r="Z5" s="536">
        <v>7.4761999999999995E-2</v>
      </c>
      <c r="AA5" s="536">
        <v>0.13003300000000001</v>
      </c>
      <c r="AB5" s="63">
        <f t="shared" si="0"/>
        <v>1.0000030000000002</v>
      </c>
    </row>
    <row r="6" spans="1:28" ht="16.95" customHeight="1" x14ac:dyDescent="0.25">
      <c r="A6" s="551"/>
      <c r="B6" s="271">
        <v>3</v>
      </c>
      <c r="C6" s="536">
        <v>0.33768009999999998</v>
      </c>
      <c r="D6" s="536">
        <v>0.38351370000000001</v>
      </c>
      <c r="E6" s="536">
        <v>0.23688999999999999</v>
      </c>
      <c r="F6" s="536">
        <v>4.1916099999999998E-2</v>
      </c>
      <c r="G6" s="270"/>
      <c r="H6" s="63">
        <f t="shared" si="1"/>
        <v>0.99999990000000005</v>
      </c>
      <c r="J6" s="812"/>
      <c r="K6" s="536" t="s">
        <v>217</v>
      </c>
      <c r="L6" s="536">
        <v>5.1900000000000002E-3</v>
      </c>
      <c r="M6" s="536">
        <v>4.6010000000000001E-3</v>
      </c>
      <c r="N6" s="536">
        <v>2.5780000000000001E-2</v>
      </c>
      <c r="O6" s="536">
        <v>1.2260999999999999E-2</v>
      </c>
      <c r="P6" s="536">
        <v>3.973E-3</v>
      </c>
      <c r="Q6" s="536">
        <v>1.9105E-2</v>
      </c>
      <c r="R6" s="536">
        <v>9.8340000000000007E-3</v>
      </c>
      <c r="S6" s="536">
        <v>3.6193000000000003E-2</v>
      </c>
      <c r="T6" s="536">
        <v>3.8596999999999999E-2</v>
      </c>
      <c r="U6" s="536">
        <v>0.26803100000000002</v>
      </c>
      <c r="V6" s="536">
        <v>2.0681999999999999E-2</v>
      </c>
      <c r="W6" s="536">
        <v>8.0832000000000001E-2</v>
      </c>
      <c r="X6" s="536">
        <v>2.7632E-2</v>
      </c>
      <c r="Y6" s="536">
        <v>5.4003000000000002E-2</v>
      </c>
      <c r="Z6" s="536">
        <v>0.15351899999999999</v>
      </c>
      <c r="AA6" s="536">
        <v>0.23976800000000001</v>
      </c>
      <c r="AB6" s="63">
        <f t="shared" si="0"/>
        <v>1.0000009999999999</v>
      </c>
    </row>
    <row r="7" spans="1:28" ht="16.95" customHeight="1" x14ac:dyDescent="0.25">
      <c r="A7" s="551"/>
      <c r="B7" s="271">
        <v>4</v>
      </c>
      <c r="C7" s="536">
        <v>0.36774600000000002</v>
      </c>
      <c r="D7" s="536">
        <v>0.38801200000000002</v>
      </c>
      <c r="E7" s="536">
        <v>0.22612260000000001</v>
      </c>
      <c r="F7" s="536">
        <v>1.8119300000000001E-2</v>
      </c>
      <c r="G7" s="270"/>
      <c r="H7" s="63">
        <f t="shared" si="1"/>
        <v>0.99999989999999994</v>
      </c>
      <c r="J7" s="812"/>
      <c r="K7" s="536" t="s">
        <v>219</v>
      </c>
      <c r="L7" s="536">
        <v>9.8289999999999992E-3</v>
      </c>
      <c r="M7" s="536">
        <v>2.0885999999999998E-2</v>
      </c>
      <c r="N7" s="536">
        <v>9.9749999999999995E-3</v>
      </c>
      <c r="O7" s="536">
        <v>2.1480000000000002E-3</v>
      </c>
      <c r="P7" s="536">
        <v>9.7000000000000005E-4</v>
      </c>
      <c r="Q7" s="536">
        <v>1.2156999999999999E-2</v>
      </c>
      <c r="R7" s="536">
        <v>2.8370000000000001E-3</v>
      </c>
      <c r="S7" s="536">
        <v>2.6192E-2</v>
      </c>
      <c r="T7" s="536">
        <v>2.1351999999999999E-2</v>
      </c>
      <c r="U7" s="536">
        <v>0.260295</v>
      </c>
      <c r="V7" s="536">
        <v>4.1024999999999999E-2</v>
      </c>
      <c r="W7" s="536">
        <v>0.137208</v>
      </c>
      <c r="X7" s="536">
        <v>3.3021000000000002E-2</v>
      </c>
      <c r="Y7" s="536">
        <v>3.2545999999999999E-2</v>
      </c>
      <c r="Z7" s="536">
        <v>0.228022</v>
      </c>
      <c r="AA7" s="536">
        <v>0.16153699999999999</v>
      </c>
      <c r="AB7" s="63">
        <f t="shared" si="0"/>
        <v>1</v>
      </c>
    </row>
    <row r="8" spans="1:28" ht="16.95" customHeight="1" x14ac:dyDescent="0.25">
      <c r="A8" s="551"/>
      <c r="B8" s="271">
        <v>5</v>
      </c>
      <c r="C8" s="536">
        <v>0.17661109999999999</v>
      </c>
      <c r="D8" s="536">
        <v>0.2356106</v>
      </c>
      <c r="E8" s="536">
        <v>0.52877510000000005</v>
      </c>
      <c r="F8" s="536">
        <v>5.9003199999999999E-2</v>
      </c>
      <c r="G8" s="270"/>
      <c r="H8" s="63">
        <f t="shared" si="1"/>
        <v>1</v>
      </c>
      <c r="J8" s="812"/>
      <c r="K8" s="536"/>
      <c r="L8" s="536"/>
      <c r="M8" s="536"/>
      <c r="N8" s="536"/>
      <c r="O8" s="536"/>
      <c r="P8" s="536"/>
      <c r="Q8" s="536"/>
      <c r="R8" s="536"/>
      <c r="S8" s="536"/>
      <c r="T8" s="536"/>
      <c r="U8" s="536"/>
      <c r="V8" s="536"/>
      <c r="W8" s="536"/>
      <c r="X8" s="536"/>
      <c r="Y8" s="536"/>
      <c r="Z8" s="536"/>
      <c r="AA8" s="536"/>
      <c r="AB8" s="63"/>
    </row>
    <row r="9" spans="1:28" ht="16.95" customHeight="1" x14ac:dyDescent="0.25">
      <c r="A9" s="551"/>
      <c r="B9" s="271">
        <v>6</v>
      </c>
      <c r="C9" s="536">
        <v>0.48123519999999997</v>
      </c>
      <c r="D9" s="536">
        <v>0.34094920000000001</v>
      </c>
      <c r="E9" s="536">
        <v>0.137737</v>
      </c>
      <c r="F9" s="536">
        <v>4.0078500000000003E-2</v>
      </c>
      <c r="G9" s="270"/>
      <c r="H9" s="63">
        <f t="shared" si="1"/>
        <v>0.99999990000000005</v>
      </c>
      <c r="J9" s="812"/>
      <c r="K9" s="536" t="s">
        <v>389</v>
      </c>
      <c r="L9" s="536">
        <v>6.1739999999999998E-3</v>
      </c>
      <c r="M9" s="536">
        <v>9.0189999999999992E-3</v>
      </c>
      <c r="N9" s="536">
        <v>3.7319999999999999E-2</v>
      </c>
      <c r="O9" s="536">
        <v>1.8593999999999999E-2</v>
      </c>
      <c r="P9" s="536">
        <v>2.5769999999999999E-3</v>
      </c>
      <c r="Q9" s="536">
        <v>4.7567999999999999E-2</v>
      </c>
      <c r="R9" s="536">
        <v>1.2805E-2</v>
      </c>
      <c r="S9" s="536">
        <v>9.7170000000000006E-2</v>
      </c>
      <c r="T9" s="536">
        <v>9.9695000000000006E-2</v>
      </c>
      <c r="U9" s="536">
        <v>0.17943100000000001</v>
      </c>
      <c r="V9" s="536">
        <v>3.0145999999999999E-2</v>
      </c>
      <c r="W9" s="536">
        <v>0.115749</v>
      </c>
      <c r="X9" s="536">
        <v>3.3780999999999999E-2</v>
      </c>
      <c r="Y9" s="536">
        <v>4.1251999999999997E-2</v>
      </c>
      <c r="Z9" s="536">
        <v>0.11248</v>
      </c>
      <c r="AA9" s="536">
        <v>0.15623799999999999</v>
      </c>
      <c r="AB9" s="63">
        <f t="shared" si="0"/>
        <v>0.99999899999999997</v>
      </c>
    </row>
    <row r="10" spans="1:28" ht="16.95" customHeight="1" x14ac:dyDescent="0.25">
      <c r="A10" s="551"/>
      <c r="B10" s="271">
        <v>7</v>
      </c>
      <c r="C10" s="536">
        <v>0.29302479999999997</v>
      </c>
      <c r="D10" s="536">
        <v>0.40885139999999998</v>
      </c>
      <c r="E10" s="536">
        <v>0.2633761</v>
      </c>
      <c r="F10" s="536">
        <v>3.4747699999999999E-2</v>
      </c>
      <c r="G10" s="270"/>
      <c r="H10" s="63">
        <f t="shared" si="1"/>
        <v>1</v>
      </c>
      <c r="J10" s="521"/>
      <c r="K10" s="61"/>
      <c r="L10" s="32"/>
      <c r="M10" s="32"/>
      <c r="N10" s="32"/>
      <c r="O10" s="32"/>
      <c r="P10" s="62"/>
    </row>
    <row r="11" spans="1:28" ht="16.95" customHeight="1" x14ac:dyDescent="0.25">
      <c r="A11" s="551"/>
      <c r="B11" s="271">
        <v>8</v>
      </c>
      <c r="C11" s="536">
        <v>0.50305009999999994</v>
      </c>
      <c r="D11" s="536">
        <v>0.32694400000000001</v>
      </c>
      <c r="E11" s="536">
        <v>0.12773409999999999</v>
      </c>
      <c r="F11" s="536">
        <v>4.2271799999999998E-2</v>
      </c>
      <c r="G11" s="270"/>
      <c r="H11" s="63">
        <f t="shared" si="1"/>
        <v>0.99999999999999989</v>
      </c>
      <c r="J11" s="521"/>
      <c r="K11" s="61"/>
      <c r="L11" s="32"/>
      <c r="M11" s="32"/>
      <c r="N11" s="32"/>
      <c r="O11" s="32"/>
      <c r="P11" s="62"/>
    </row>
    <row r="12" spans="1:28" ht="16.95" customHeight="1" x14ac:dyDescent="0.25">
      <c r="A12" s="551"/>
      <c r="B12" s="271">
        <v>9</v>
      </c>
      <c r="C12" s="536">
        <v>0.49239110000000003</v>
      </c>
      <c r="D12" s="536">
        <v>0.34125450000000002</v>
      </c>
      <c r="E12" s="536">
        <v>0.1327672</v>
      </c>
      <c r="F12" s="536">
        <v>3.3587199999999998E-2</v>
      </c>
      <c r="G12" s="270"/>
      <c r="H12" s="63">
        <f t="shared" si="1"/>
        <v>1</v>
      </c>
      <c r="J12" s="521"/>
      <c r="K12" s="541"/>
      <c r="L12" s="32"/>
      <c r="M12" s="32"/>
      <c r="N12" s="32"/>
      <c r="O12" s="32"/>
      <c r="P12" s="62"/>
      <c r="Q12" s="542"/>
      <c r="R12" s="542"/>
      <c r="S12" s="542"/>
      <c r="T12" s="542"/>
      <c r="U12" s="542"/>
      <c r="V12" s="542"/>
      <c r="W12" s="542"/>
      <c r="X12" s="542"/>
      <c r="Y12" s="542"/>
      <c r="Z12" s="542"/>
      <c r="AA12" s="542"/>
    </row>
    <row r="13" spans="1:28" ht="16.95" customHeight="1" x14ac:dyDescent="0.25">
      <c r="A13" s="551"/>
      <c r="B13" s="271">
        <v>10</v>
      </c>
      <c r="C13" s="536">
        <v>3.6262099999999999E-2</v>
      </c>
      <c r="D13" s="536">
        <v>0.22396750000000001</v>
      </c>
      <c r="E13" s="536">
        <v>0.51227080000000003</v>
      </c>
      <c r="F13" s="536">
        <v>0.2274996</v>
      </c>
      <c r="G13" s="270"/>
      <c r="H13" s="63">
        <f t="shared" si="1"/>
        <v>1</v>
      </c>
      <c r="J13" s="521"/>
      <c r="K13" s="541"/>
      <c r="L13" s="32"/>
      <c r="M13" s="32"/>
      <c r="N13" s="32"/>
      <c r="O13" s="32"/>
      <c r="P13" s="62"/>
      <c r="Q13" s="542"/>
      <c r="R13" s="542"/>
      <c r="S13" s="542"/>
      <c r="T13" s="542"/>
      <c r="U13" s="542"/>
      <c r="V13" s="542"/>
      <c r="W13" s="542"/>
      <c r="X13" s="542"/>
      <c r="Y13" s="542"/>
      <c r="Z13" s="542"/>
      <c r="AA13" s="542"/>
    </row>
    <row r="14" spans="1:28" ht="16.95" customHeight="1" x14ac:dyDescent="0.25">
      <c r="A14" s="551"/>
      <c r="B14" s="271">
        <v>11</v>
      </c>
      <c r="C14" s="536">
        <v>0.1206975</v>
      </c>
      <c r="D14" s="536">
        <v>0.4306121</v>
      </c>
      <c r="E14" s="536">
        <v>0.23527129999999999</v>
      </c>
      <c r="F14" s="536">
        <v>0.2134191</v>
      </c>
      <c r="G14" s="270"/>
      <c r="H14" s="63">
        <f t="shared" si="1"/>
        <v>0.99999999999999989</v>
      </c>
      <c r="J14" s="521"/>
      <c r="K14" s="541"/>
      <c r="L14" s="32"/>
      <c r="M14" s="32"/>
      <c r="N14" s="32"/>
      <c r="O14" s="32"/>
      <c r="P14" s="62"/>
      <c r="Q14" s="542"/>
      <c r="R14" s="542"/>
      <c r="S14" s="542"/>
      <c r="T14" s="542"/>
      <c r="U14" s="542"/>
      <c r="V14" s="542"/>
      <c r="W14" s="542"/>
      <c r="X14" s="542"/>
      <c r="Y14" s="542"/>
      <c r="Z14" s="542"/>
      <c r="AA14" s="542"/>
    </row>
    <row r="15" spans="1:28" ht="16.95" customHeight="1" x14ac:dyDescent="0.25">
      <c r="A15" s="551"/>
      <c r="B15" s="271">
        <v>12</v>
      </c>
      <c r="C15" s="536">
        <v>0.1521033</v>
      </c>
      <c r="D15" s="536">
        <v>0.42251319999999998</v>
      </c>
      <c r="E15" s="536">
        <v>0.239486</v>
      </c>
      <c r="F15" s="536">
        <v>0.18589749999999999</v>
      </c>
      <c r="G15" s="270"/>
      <c r="H15" s="63">
        <f t="shared" si="1"/>
        <v>1</v>
      </c>
      <c r="J15" s="521"/>
      <c r="K15" s="541"/>
      <c r="L15" s="32"/>
      <c r="M15" s="32"/>
      <c r="N15" s="32"/>
      <c r="O15" s="32"/>
      <c r="P15" s="62"/>
      <c r="Q15" s="542"/>
      <c r="R15" s="542"/>
      <c r="S15" s="542"/>
      <c r="T15" s="542"/>
      <c r="U15" s="542"/>
      <c r="V15" s="542"/>
      <c r="W15" s="542"/>
      <c r="X15" s="542"/>
      <c r="Y15" s="542"/>
      <c r="Z15" s="542"/>
      <c r="AA15" s="542"/>
    </row>
    <row r="16" spans="1:28" ht="16.95" customHeight="1" x14ac:dyDescent="0.25">
      <c r="A16" s="551"/>
      <c r="B16" s="271">
        <v>13</v>
      </c>
      <c r="C16" s="536">
        <v>0.1183358</v>
      </c>
      <c r="D16" s="536">
        <v>0.44786130000000002</v>
      </c>
      <c r="E16" s="536">
        <v>0.28050599999999998</v>
      </c>
      <c r="F16" s="536">
        <v>0.15329690000000001</v>
      </c>
      <c r="G16" s="270"/>
      <c r="H16" s="63">
        <f t="shared" si="1"/>
        <v>1</v>
      </c>
      <c r="J16" s="521"/>
      <c r="K16" s="61"/>
      <c r="L16" s="32"/>
      <c r="M16" s="32"/>
      <c r="N16" s="32"/>
      <c r="O16" s="32"/>
      <c r="P16" s="62"/>
    </row>
    <row r="17" spans="1:16" ht="16.95" customHeight="1" x14ac:dyDescent="0.25">
      <c r="A17" s="551"/>
      <c r="B17" s="271">
        <v>14</v>
      </c>
      <c r="C17" s="536">
        <v>0.1495783</v>
      </c>
      <c r="D17" s="536">
        <v>0.27775660000000002</v>
      </c>
      <c r="E17" s="536">
        <v>0.4489378</v>
      </c>
      <c r="F17" s="536">
        <v>0.1237273</v>
      </c>
      <c r="G17" s="270"/>
      <c r="H17" s="63">
        <f t="shared" si="1"/>
        <v>1</v>
      </c>
      <c r="J17" s="521"/>
      <c r="K17" s="61"/>
      <c r="L17" s="32"/>
      <c r="M17" s="32"/>
      <c r="N17" s="32"/>
      <c r="O17" s="32"/>
      <c r="P17" s="62"/>
    </row>
    <row r="18" spans="1:16" ht="16.95" customHeight="1" x14ac:dyDescent="0.25">
      <c r="A18" s="551"/>
      <c r="B18" s="271">
        <v>15</v>
      </c>
      <c r="C18" s="536">
        <v>1.2212600000000001E-2</v>
      </c>
      <c r="D18" s="536">
        <v>0.20181479999999999</v>
      </c>
      <c r="E18" s="536">
        <v>0.46805609999999997</v>
      </c>
      <c r="F18" s="536">
        <v>0.31791649999999999</v>
      </c>
      <c r="G18" s="270"/>
      <c r="H18" s="63">
        <f t="shared" si="1"/>
        <v>1</v>
      </c>
      <c r="J18" s="521"/>
      <c r="K18" s="61"/>
      <c r="L18" s="32"/>
      <c r="M18" s="32"/>
      <c r="N18" s="32"/>
      <c r="O18" s="32"/>
      <c r="P18" s="62"/>
    </row>
    <row r="19" spans="1:16" ht="16.95" customHeight="1" x14ac:dyDescent="0.25">
      <c r="A19" s="551"/>
      <c r="B19" s="271">
        <v>16</v>
      </c>
      <c r="C19" s="270">
        <v>5.8873300000000003E-2</v>
      </c>
      <c r="D19" s="270">
        <v>0.25270419999999999</v>
      </c>
      <c r="E19" s="270">
        <v>0.52627999999999997</v>
      </c>
      <c r="F19" s="270">
        <v>0.1621426</v>
      </c>
      <c r="G19" s="270"/>
      <c r="H19" s="63">
        <f t="shared" si="1"/>
        <v>1.0000000999999998</v>
      </c>
      <c r="J19" s="521"/>
      <c r="K19" s="61"/>
      <c r="L19" s="32"/>
      <c r="M19" s="32"/>
      <c r="N19" s="32"/>
      <c r="O19" s="32"/>
      <c r="P19" s="62"/>
    </row>
    <row r="20" spans="1:16" x14ac:dyDescent="0.25">
      <c r="A20" s="551"/>
      <c r="B20" s="270" t="s">
        <v>538</v>
      </c>
      <c r="C20" s="270">
        <v>0.19660910000000001</v>
      </c>
      <c r="D20" s="270">
        <v>0.3036315</v>
      </c>
      <c r="E20" s="270">
        <v>0.3429355</v>
      </c>
      <c r="F20" s="270">
        <v>0.15682389999999999</v>
      </c>
      <c r="G20" s="270"/>
      <c r="H20" s="63">
        <f t="shared" si="1"/>
        <v>1</v>
      </c>
    </row>
    <row r="22" spans="1:16" x14ac:dyDescent="0.25">
      <c r="A22" s="4" t="s">
        <v>539</v>
      </c>
    </row>
    <row r="23" spans="1:16" x14ac:dyDescent="0.25">
      <c r="A23" s="4" t="s">
        <v>540</v>
      </c>
    </row>
    <row r="25" spans="1:16" ht="15.6" x14ac:dyDescent="0.25">
      <c r="A25" s="385"/>
      <c r="B25" s="385"/>
      <c r="C25" s="385"/>
      <c r="D25" s="385"/>
      <c r="E25" s="385"/>
      <c r="F25" s="385"/>
      <c r="G25" s="385"/>
    </row>
    <row r="26" spans="1:16" x14ac:dyDescent="0.25">
      <c r="A26" s="386"/>
      <c r="B26" s="386"/>
      <c r="C26" s="386"/>
      <c r="D26" s="386"/>
      <c r="E26" s="386"/>
      <c r="F26" s="386"/>
      <c r="G26" s="386"/>
    </row>
    <row r="27" spans="1:16" x14ac:dyDescent="0.25">
      <c r="A27" s="386"/>
      <c r="B27" s="386"/>
      <c r="C27" s="383"/>
      <c r="D27" s="383"/>
      <c r="E27" s="383"/>
      <c r="F27" s="383"/>
      <c r="G27" s="383"/>
    </row>
    <row r="28" spans="1:16" x14ac:dyDescent="0.25">
      <c r="A28" s="521"/>
      <c r="B28" s="61"/>
      <c r="C28" s="32"/>
      <c r="D28" s="32"/>
      <c r="E28" s="32"/>
      <c r="F28" s="32"/>
      <c r="G28" s="62"/>
      <c r="H28" s="35"/>
      <c r="I28" s="384"/>
      <c r="K28" s="32"/>
      <c r="L28" s="32"/>
      <c r="M28" s="32"/>
      <c r="N28" s="32"/>
    </row>
    <row r="29" spans="1:16" x14ac:dyDescent="0.25">
      <c r="A29" s="521"/>
      <c r="B29" s="386"/>
      <c r="C29" s="386"/>
      <c r="D29" s="386"/>
      <c r="E29" s="386"/>
      <c r="F29" s="386"/>
      <c r="G29" s="386"/>
      <c r="I29" s="538"/>
      <c r="K29" s="32"/>
      <c r="L29" s="32"/>
      <c r="M29" s="32"/>
      <c r="N29" s="32"/>
    </row>
    <row r="30" spans="1:16" x14ac:dyDescent="0.25">
      <c r="A30" s="521"/>
      <c r="B30" s="386"/>
      <c r="C30" s="386"/>
      <c r="D30" s="386"/>
      <c r="E30" s="386"/>
      <c r="F30" s="386"/>
      <c r="G30" s="386"/>
      <c r="I30" s="538"/>
      <c r="K30" s="32"/>
      <c r="L30" s="32"/>
      <c r="M30" s="32"/>
      <c r="N30" s="32"/>
    </row>
    <row r="31" spans="1:16" x14ac:dyDescent="0.25">
      <c r="A31" s="521"/>
      <c r="B31" s="540"/>
      <c r="C31" s="539"/>
      <c r="D31" s="539"/>
      <c r="E31" s="539"/>
      <c r="F31" s="539"/>
      <c r="G31" s="35"/>
      <c r="H31" s="35"/>
      <c r="I31" s="538"/>
      <c r="K31" s="32"/>
      <c r="L31" s="32"/>
      <c r="M31" s="32"/>
      <c r="N31" s="32"/>
      <c r="O31" s="35"/>
    </row>
    <row r="32" spans="1:16" x14ac:dyDescent="0.25">
      <c r="A32" s="521"/>
      <c r="B32" s="540"/>
      <c r="C32" s="539"/>
      <c r="D32" s="539"/>
      <c r="E32" s="539"/>
      <c r="F32" s="539"/>
      <c r="G32" s="35"/>
      <c r="H32" s="35"/>
      <c r="I32" s="538"/>
      <c r="K32" s="62"/>
      <c r="L32" s="62"/>
      <c r="M32" s="62"/>
      <c r="N32" s="62"/>
      <c r="O32" s="35"/>
    </row>
    <row r="33" spans="1:15" x14ac:dyDescent="0.25">
      <c r="A33" s="521"/>
      <c r="B33" s="540"/>
      <c r="C33" s="539"/>
      <c r="D33" s="539"/>
      <c r="E33" s="539"/>
      <c r="F33" s="539"/>
      <c r="G33" s="35"/>
      <c r="H33" s="35"/>
      <c r="I33" s="538"/>
      <c r="K33" s="542"/>
      <c r="L33" s="542"/>
      <c r="M33" s="542"/>
      <c r="N33" s="542"/>
      <c r="O33" s="35"/>
    </row>
    <row r="34" spans="1:15" x14ac:dyDescent="0.25">
      <c r="A34" s="521"/>
      <c r="B34" s="540"/>
      <c r="C34" s="539"/>
      <c r="D34" s="539"/>
      <c r="E34" s="539"/>
      <c r="F34" s="539"/>
      <c r="G34" s="35"/>
      <c r="H34" s="35"/>
      <c r="I34" s="538"/>
      <c r="K34" s="542"/>
      <c r="L34" s="542"/>
      <c r="M34" s="542"/>
      <c r="N34" s="542"/>
      <c r="O34" s="35"/>
    </row>
    <row r="35" spans="1:15" x14ac:dyDescent="0.25">
      <c r="A35" s="521"/>
      <c r="B35" s="540"/>
      <c r="C35" s="539"/>
      <c r="D35" s="539"/>
      <c r="E35" s="539"/>
      <c r="F35" s="539"/>
      <c r="G35" s="35"/>
      <c r="H35" s="35"/>
      <c r="I35" s="538"/>
      <c r="K35" s="542"/>
      <c r="L35" s="542"/>
      <c r="M35" s="542"/>
      <c r="N35" s="542"/>
      <c r="O35" s="35"/>
    </row>
    <row r="36" spans="1:15" x14ac:dyDescent="0.25">
      <c r="A36" s="521"/>
      <c r="B36" s="540"/>
      <c r="C36" s="539"/>
      <c r="D36" s="539"/>
      <c r="E36" s="539"/>
      <c r="F36" s="539"/>
      <c r="G36" s="35"/>
      <c r="H36" s="35"/>
      <c r="I36" s="538"/>
      <c r="K36" s="542"/>
      <c r="L36" s="542"/>
      <c r="M36" s="542"/>
      <c r="N36" s="542"/>
      <c r="O36" s="35"/>
    </row>
    <row r="37" spans="1:15" x14ac:dyDescent="0.25">
      <c r="A37" s="521"/>
      <c r="B37" s="540"/>
      <c r="C37" s="539"/>
      <c r="D37" s="539"/>
      <c r="E37" s="539"/>
      <c r="F37" s="539"/>
      <c r="G37" s="35"/>
      <c r="H37" s="35"/>
      <c r="I37" s="538"/>
      <c r="K37" s="542"/>
      <c r="L37" s="542"/>
      <c r="M37" s="542"/>
      <c r="N37" s="542"/>
      <c r="O37" s="35"/>
    </row>
    <row r="38" spans="1:15" x14ac:dyDescent="0.25">
      <c r="A38" s="521"/>
      <c r="B38" s="540"/>
      <c r="C38" s="539"/>
      <c r="D38" s="539"/>
      <c r="E38" s="539"/>
      <c r="F38" s="539"/>
      <c r="G38" s="35"/>
      <c r="H38" s="35"/>
      <c r="I38" s="538"/>
      <c r="K38" s="542"/>
      <c r="L38" s="542"/>
      <c r="M38" s="542"/>
      <c r="N38" s="542"/>
      <c r="O38" s="35"/>
    </row>
    <row r="39" spans="1:15" x14ac:dyDescent="0.25">
      <c r="A39" s="521"/>
      <c r="B39" s="540"/>
      <c r="C39" s="539"/>
      <c r="D39" s="539"/>
      <c r="E39" s="539"/>
      <c r="F39" s="539"/>
      <c r="G39" s="35"/>
      <c r="H39" s="35"/>
      <c r="I39" s="538"/>
      <c r="K39" s="542"/>
      <c r="L39" s="542"/>
      <c r="M39" s="542"/>
      <c r="N39" s="542"/>
      <c r="O39" s="35"/>
    </row>
    <row r="40" spans="1:15" x14ac:dyDescent="0.25">
      <c r="A40" s="521"/>
      <c r="B40" s="540"/>
      <c r="C40" s="539"/>
      <c r="D40" s="539"/>
      <c r="E40" s="539"/>
      <c r="F40" s="539"/>
      <c r="G40" s="35"/>
      <c r="H40" s="35"/>
      <c r="I40" s="538"/>
      <c r="K40" s="542"/>
      <c r="L40" s="542"/>
      <c r="M40" s="542"/>
      <c r="N40" s="542"/>
      <c r="O40" s="35"/>
    </row>
    <row r="41" spans="1:15" x14ac:dyDescent="0.25">
      <c r="A41" s="521"/>
      <c r="B41" s="540"/>
      <c r="C41" s="539"/>
      <c r="D41" s="539"/>
      <c r="E41" s="539"/>
      <c r="F41" s="539"/>
      <c r="G41" s="35"/>
      <c r="H41" s="35"/>
      <c r="I41" s="538"/>
      <c r="K41" s="542"/>
      <c r="L41" s="542"/>
      <c r="M41" s="542"/>
      <c r="N41" s="542"/>
      <c r="O41" s="35"/>
    </row>
    <row r="42" spans="1:15" x14ac:dyDescent="0.25">
      <c r="B42" s="540"/>
      <c r="C42" s="539"/>
      <c r="D42" s="539"/>
      <c r="E42" s="539"/>
      <c r="F42" s="539"/>
      <c r="G42" s="35"/>
      <c r="H42" s="35"/>
      <c r="K42" s="542"/>
      <c r="L42" s="542"/>
      <c r="M42" s="542"/>
      <c r="N42" s="542"/>
      <c r="O42" s="35"/>
    </row>
    <row r="43" spans="1:15" x14ac:dyDescent="0.25">
      <c r="B43" s="540"/>
      <c r="C43" s="539"/>
      <c r="D43" s="539"/>
      <c r="E43" s="539"/>
      <c r="F43" s="539"/>
      <c r="G43" s="35"/>
      <c r="H43" s="35"/>
      <c r="K43" s="542"/>
      <c r="L43" s="542"/>
      <c r="M43" s="542"/>
      <c r="N43" s="542"/>
      <c r="O43" s="35"/>
    </row>
    <row r="44" spans="1:15" x14ac:dyDescent="0.25">
      <c r="B44" s="540"/>
      <c r="C44" s="539"/>
      <c r="D44" s="539"/>
      <c r="E44" s="539"/>
      <c r="F44" s="539"/>
      <c r="G44" s="35"/>
      <c r="H44" s="35"/>
      <c r="K44" s="35"/>
      <c r="L44" s="35"/>
      <c r="M44" s="35"/>
      <c r="N44" s="35"/>
      <c r="O44" s="35"/>
    </row>
    <row r="45" spans="1:15" x14ac:dyDescent="0.25">
      <c r="B45" s="540"/>
      <c r="C45" s="539"/>
      <c r="D45" s="539"/>
      <c r="E45" s="539"/>
      <c r="F45" s="539"/>
      <c r="G45" s="35"/>
      <c r="H45" s="35"/>
      <c r="K45" s="35"/>
      <c r="L45" s="35"/>
      <c r="M45" s="35"/>
      <c r="N45" s="35"/>
      <c r="O45" s="35"/>
    </row>
    <row r="46" spans="1:15" x14ac:dyDescent="0.25">
      <c r="B46" s="540"/>
      <c r="C46" s="35"/>
      <c r="D46" s="35"/>
      <c r="E46" s="35"/>
      <c r="F46" s="35"/>
      <c r="G46" s="35"/>
      <c r="H46" s="35"/>
      <c r="K46" s="35"/>
      <c r="L46" s="35"/>
      <c r="M46" s="35"/>
      <c r="N46" s="35"/>
      <c r="O46" s="35"/>
    </row>
    <row r="47" spans="1:15" x14ac:dyDescent="0.25">
      <c r="B47" s="35"/>
      <c r="C47" s="35"/>
      <c r="D47" s="35"/>
      <c r="E47" s="35"/>
      <c r="F47" s="35"/>
      <c r="G47" s="35"/>
      <c r="H47" s="35"/>
      <c r="K47" s="35"/>
      <c r="L47" s="35"/>
      <c r="M47" s="35"/>
      <c r="N47" s="35"/>
      <c r="O47" s="35"/>
    </row>
  </sheetData>
  <mergeCells count="10">
    <mergeCell ref="J4:J9"/>
    <mergeCell ref="A4:A20"/>
    <mergeCell ref="J1:AA1"/>
    <mergeCell ref="C2:G2"/>
    <mergeCell ref="L2:AA2"/>
    <mergeCell ref="K2:K3"/>
    <mergeCell ref="J2:J3"/>
    <mergeCell ref="A1:G1"/>
    <mergeCell ref="B2:B3"/>
    <mergeCell ref="A2:A3"/>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638C3-9269-4523-B14B-D8D22DE74C86}">
  <sheetPr codeName="Sheet14"/>
  <dimension ref="A1:J2"/>
  <sheetViews>
    <sheetView workbookViewId="0">
      <selection activeCell="L26" sqref="L26"/>
    </sheetView>
  </sheetViews>
  <sheetFormatPr defaultRowHeight="14.4" x14ac:dyDescent="0.3"/>
  <sheetData>
    <row r="1" spans="1:10" ht="15.6" customHeight="1" x14ac:dyDescent="0.3">
      <c r="A1" s="567" t="str">
        <f>"PV - "&amp;Prototype!A2</f>
        <v>PV - Warehouse</v>
      </c>
      <c r="B1" s="567"/>
      <c r="C1" s="567"/>
      <c r="D1" s="567"/>
      <c r="E1" s="567"/>
      <c r="F1" s="567"/>
      <c r="G1" s="567"/>
      <c r="H1" s="567"/>
      <c r="I1" s="567"/>
      <c r="J1" s="567"/>
    </row>
    <row r="2" spans="1:10" x14ac:dyDescent="0.3">
      <c r="A2" s="4" t="s">
        <v>541</v>
      </c>
      <c r="B2" s="2"/>
      <c r="C2" s="2"/>
      <c r="D2" s="2"/>
      <c r="E2" s="2"/>
      <c r="F2" s="2"/>
      <c r="G2" s="2"/>
      <c r="H2" s="2"/>
      <c r="I2" s="2"/>
      <c r="J2" s="2"/>
    </row>
  </sheetData>
  <mergeCells count="1">
    <mergeCell ref="A1:J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BB9E4-8E7A-41B8-B067-A47E2307C7E6}">
  <sheetPr codeName="Sheet22"/>
  <dimension ref="A1:H3"/>
  <sheetViews>
    <sheetView zoomScaleNormal="70" workbookViewId="0">
      <selection sqref="A1:H1"/>
    </sheetView>
  </sheetViews>
  <sheetFormatPr defaultColWidth="8.6640625" defaultRowHeight="13.2" x14ac:dyDescent="0.25"/>
  <cols>
    <col min="1" max="1" width="21" style="4" customWidth="1"/>
    <col min="2" max="2" width="14.33203125" style="4" customWidth="1"/>
    <col min="3" max="3" width="14.5546875" style="4" customWidth="1"/>
    <col min="4" max="8" width="8.6640625" style="4"/>
    <col min="9" max="9" width="13.6640625" style="4" customWidth="1"/>
    <col min="10" max="10" width="14.44140625" style="4" customWidth="1"/>
    <col min="11" max="16384" width="8.6640625" style="4"/>
  </cols>
  <sheetData>
    <row r="1" spans="1:8" ht="15.6" x14ac:dyDescent="0.25">
      <c r="A1" s="567" t="str">
        <f>"EV Charger - "&amp;Prototype!A2</f>
        <v>EV Charger - Warehouse</v>
      </c>
      <c r="B1" s="567"/>
      <c r="C1" s="567"/>
      <c r="D1" s="567"/>
      <c r="E1" s="567"/>
      <c r="F1" s="567"/>
      <c r="G1" s="567"/>
      <c r="H1" s="567"/>
    </row>
    <row r="2" spans="1:8" x14ac:dyDescent="0.25">
      <c r="A2" s="4" t="s">
        <v>541</v>
      </c>
      <c r="B2" s="46"/>
      <c r="C2" s="47"/>
      <c r="D2" s="48"/>
      <c r="E2" s="48"/>
    </row>
    <row r="3" spans="1:8" x14ac:dyDescent="0.25">
      <c r="A3" s="40"/>
      <c r="B3" s="45"/>
      <c r="C3" s="288"/>
      <c r="D3" s="49"/>
      <c r="E3" s="49"/>
    </row>
  </sheetData>
  <mergeCells count="1">
    <mergeCell ref="A1:H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D22EA6-3CA7-4A2E-8547-3DBA3FCD617C}">
  <sheetPr codeName="Sheet16"/>
  <dimension ref="A1:G83"/>
  <sheetViews>
    <sheetView topLeftCell="A73" workbookViewId="0">
      <selection activeCell="A83" sqref="A81:A83"/>
    </sheetView>
  </sheetViews>
  <sheetFormatPr defaultRowHeight="14.4" x14ac:dyDescent="0.3"/>
  <cols>
    <col min="1" max="1" width="58.6640625" customWidth="1"/>
    <col min="2" max="2" width="30.88671875" customWidth="1"/>
    <col min="3" max="3" width="30.33203125" customWidth="1"/>
  </cols>
  <sheetData>
    <row r="1" spans="1:7" x14ac:dyDescent="0.3">
      <c r="A1" t="s">
        <v>542</v>
      </c>
      <c r="B1" t="s">
        <v>543</v>
      </c>
      <c r="C1" t="s">
        <v>543</v>
      </c>
      <c r="D1" s="814" t="s">
        <v>544</v>
      </c>
      <c r="E1" s="814"/>
      <c r="F1" s="814"/>
      <c r="G1" s="814"/>
    </row>
    <row r="2" spans="1:7" x14ac:dyDescent="0.3">
      <c r="A2" s="399" t="s">
        <v>545</v>
      </c>
      <c r="D2">
        <v>2013</v>
      </c>
      <c r="E2">
        <v>2016</v>
      </c>
      <c r="F2">
        <v>2019</v>
      </c>
      <c r="G2">
        <v>2025</v>
      </c>
    </row>
    <row r="3" spans="1:7" x14ac:dyDescent="0.3">
      <c r="A3" s="399" t="s">
        <v>546</v>
      </c>
    </row>
    <row r="4" spans="1:7" x14ac:dyDescent="0.3">
      <c r="A4" t="s">
        <v>547</v>
      </c>
    </row>
    <row r="5" spans="1:7" x14ac:dyDescent="0.3">
      <c r="A5" t="s">
        <v>548</v>
      </c>
    </row>
    <row r="6" spans="1:7" x14ac:dyDescent="0.3">
      <c r="A6" t="s">
        <v>549</v>
      </c>
    </row>
    <row r="7" spans="1:7" x14ac:dyDescent="0.3">
      <c r="A7" t="s">
        <v>550</v>
      </c>
    </row>
    <row r="8" spans="1:7" x14ac:dyDescent="0.3">
      <c r="A8" t="s">
        <v>551</v>
      </c>
    </row>
    <row r="9" spans="1:7" x14ac:dyDescent="0.3">
      <c r="A9" t="s">
        <v>552</v>
      </c>
    </row>
    <row r="10" spans="1:7" x14ac:dyDescent="0.3">
      <c r="A10" t="s">
        <v>553</v>
      </c>
    </row>
    <row r="11" spans="1:7" x14ac:dyDescent="0.3">
      <c r="A11" t="s">
        <v>554</v>
      </c>
    </row>
    <row r="12" spans="1:7" x14ac:dyDescent="0.3">
      <c r="A12" t="s">
        <v>555</v>
      </c>
    </row>
    <row r="13" spans="1:7" x14ac:dyDescent="0.3">
      <c r="A13" t="s">
        <v>556</v>
      </c>
    </row>
    <row r="14" spans="1:7" x14ac:dyDescent="0.3">
      <c r="A14" t="s">
        <v>557</v>
      </c>
    </row>
    <row r="15" spans="1:7" x14ac:dyDescent="0.3">
      <c r="A15" t="s">
        <v>558</v>
      </c>
    </row>
    <row r="16" spans="1:7" x14ac:dyDescent="0.3">
      <c r="A16" t="s">
        <v>559</v>
      </c>
    </row>
    <row r="17" spans="1:1" x14ac:dyDescent="0.3">
      <c r="A17" t="s">
        <v>560</v>
      </c>
    </row>
    <row r="18" spans="1:1" x14ac:dyDescent="0.3">
      <c r="A18" t="s">
        <v>561</v>
      </c>
    </row>
    <row r="19" spans="1:1" x14ac:dyDescent="0.3">
      <c r="A19" t="s">
        <v>562</v>
      </c>
    </row>
    <row r="20" spans="1:1" x14ac:dyDescent="0.3">
      <c r="A20" t="s">
        <v>563</v>
      </c>
    </row>
    <row r="21" spans="1:1" x14ac:dyDescent="0.3">
      <c r="A21" t="s">
        <v>564</v>
      </c>
    </row>
    <row r="22" spans="1:1" x14ac:dyDescent="0.3">
      <c r="A22" t="s">
        <v>565</v>
      </c>
    </row>
    <row r="23" spans="1:1" x14ac:dyDescent="0.3">
      <c r="A23" t="s">
        <v>566</v>
      </c>
    </row>
    <row r="24" spans="1:1" x14ac:dyDescent="0.3">
      <c r="A24" t="s">
        <v>567</v>
      </c>
    </row>
    <row r="25" spans="1:1" x14ac:dyDescent="0.3">
      <c r="A25" t="s">
        <v>568</v>
      </c>
    </row>
    <row r="26" spans="1:1" x14ac:dyDescent="0.3">
      <c r="A26" t="s">
        <v>569</v>
      </c>
    </row>
    <row r="27" spans="1:1" x14ac:dyDescent="0.3">
      <c r="A27" t="s">
        <v>570</v>
      </c>
    </row>
    <row r="28" spans="1:1" x14ac:dyDescent="0.3">
      <c r="A28" t="s">
        <v>571</v>
      </c>
    </row>
    <row r="29" spans="1:1" x14ac:dyDescent="0.3">
      <c r="A29" t="s">
        <v>572</v>
      </c>
    </row>
    <row r="30" spans="1:1" x14ac:dyDescent="0.3">
      <c r="A30" t="s">
        <v>573</v>
      </c>
    </row>
    <row r="31" spans="1:1" x14ac:dyDescent="0.3">
      <c r="A31" t="s">
        <v>574</v>
      </c>
    </row>
    <row r="32" spans="1:1" x14ac:dyDescent="0.3">
      <c r="A32" t="s">
        <v>575</v>
      </c>
    </row>
    <row r="33" spans="1:1" x14ac:dyDescent="0.3">
      <c r="A33" t="s">
        <v>576</v>
      </c>
    </row>
    <row r="34" spans="1:1" x14ac:dyDescent="0.3">
      <c r="A34" t="s">
        <v>577</v>
      </c>
    </row>
    <row r="35" spans="1:1" x14ac:dyDescent="0.3">
      <c r="A35" t="s">
        <v>578</v>
      </c>
    </row>
    <row r="36" spans="1:1" x14ac:dyDescent="0.3">
      <c r="A36" t="s">
        <v>579</v>
      </c>
    </row>
    <row r="37" spans="1:1" x14ac:dyDescent="0.3">
      <c r="A37" t="s">
        <v>580</v>
      </c>
    </row>
    <row r="38" spans="1:1" x14ac:dyDescent="0.3">
      <c r="A38" t="s">
        <v>581</v>
      </c>
    </row>
    <row r="39" spans="1:1" x14ac:dyDescent="0.3">
      <c r="A39" t="s">
        <v>582</v>
      </c>
    </row>
    <row r="40" spans="1:1" x14ac:dyDescent="0.3">
      <c r="A40" t="s">
        <v>583</v>
      </c>
    </row>
    <row r="41" spans="1:1" x14ac:dyDescent="0.3">
      <c r="A41" t="s">
        <v>584</v>
      </c>
    </row>
    <row r="42" spans="1:1" x14ac:dyDescent="0.3">
      <c r="A42" t="s">
        <v>585</v>
      </c>
    </row>
    <row r="43" spans="1:1" x14ac:dyDescent="0.3">
      <c r="A43" t="s">
        <v>586</v>
      </c>
    </row>
    <row r="44" spans="1:1" x14ac:dyDescent="0.3">
      <c r="A44" t="s">
        <v>587</v>
      </c>
    </row>
    <row r="45" spans="1:1" x14ac:dyDescent="0.3">
      <c r="A45" t="s">
        <v>588</v>
      </c>
    </row>
    <row r="46" spans="1:1" x14ac:dyDescent="0.3">
      <c r="A46" t="s">
        <v>589</v>
      </c>
    </row>
    <row r="47" spans="1:1" x14ac:dyDescent="0.3">
      <c r="A47" t="s">
        <v>590</v>
      </c>
    </row>
    <row r="48" spans="1:1" x14ac:dyDescent="0.3">
      <c r="A48" t="s">
        <v>591</v>
      </c>
    </row>
    <row r="49" spans="1:1" x14ac:dyDescent="0.3">
      <c r="A49" t="s">
        <v>592</v>
      </c>
    </row>
    <row r="50" spans="1:1" x14ac:dyDescent="0.3">
      <c r="A50" t="s">
        <v>174</v>
      </c>
    </row>
    <row r="51" spans="1:1" x14ac:dyDescent="0.3">
      <c r="A51" t="s">
        <v>593</v>
      </c>
    </row>
    <row r="52" spans="1:1" x14ac:dyDescent="0.3">
      <c r="A52" t="s">
        <v>594</v>
      </c>
    </row>
    <row r="53" spans="1:1" x14ac:dyDescent="0.3">
      <c r="A53" t="s">
        <v>595</v>
      </c>
    </row>
    <row r="54" spans="1:1" x14ac:dyDescent="0.3">
      <c r="A54" t="s">
        <v>596</v>
      </c>
    </row>
    <row r="55" spans="1:1" x14ac:dyDescent="0.3">
      <c r="A55" t="s">
        <v>597</v>
      </c>
    </row>
    <row r="56" spans="1:1" x14ac:dyDescent="0.3">
      <c r="A56" t="s">
        <v>598</v>
      </c>
    </row>
    <row r="57" spans="1:1" x14ac:dyDescent="0.3">
      <c r="A57" t="s">
        <v>599</v>
      </c>
    </row>
    <row r="58" spans="1:1" x14ac:dyDescent="0.3">
      <c r="A58" t="s">
        <v>600</v>
      </c>
    </row>
    <row r="59" spans="1:1" x14ac:dyDescent="0.3">
      <c r="A59" t="s">
        <v>601</v>
      </c>
    </row>
    <row r="60" spans="1:1" x14ac:dyDescent="0.3">
      <c r="A60" t="s">
        <v>602</v>
      </c>
    </row>
    <row r="61" spans="1:1" x14ac:dyDescent="0.3">
      <c r="A61" t="s">
        <v>178</v>
      </c>
    </row>
    <row r="62" spans="1:1" x14ac:dyDescent="0.3">
      <c r="A62" t="s">
        <v>603</v>
      </c>
    </row>
    <row r="63" spans="1:1" x14ac:dyDescent="0.3">
      <c r="A63" t="s">
        <v>604</v>
      </c>
    </row>
    <row r="64" spans="1:1" x14ac:dyDescent="0.3">
      <c r="A64" t="s">
        <v>605</v>
      </c>
    </row>
    <row r="65" spans="1:1" x14ac:dyDescent="0.3">
      <c r="A65" t="s">
        <v>606</v>
      </c>
    </row>
    <row r="66" spans="1:1" x14ac:dyDescent="0.3">
      <c r="A66" t="s">
        <v>607</v>
      </c>
    </row>
    <row r="67" spans="1:1" x14ac:dyDescent="0.3">
      <c r="A67" t="s">
        <v>608</v>
      </c>
    </row>
    <row r="68" spans="1:1" x14ac:dyDescent="0.3">
      <c r="A68" t="s">
        <v>609</v>
      </c>
    </row>
    <row r="69" spans="1:1" x14ac:dyDescent="0.3">
      <c r="A69" t="s">
        <v>610</v>
      </c>
    </row>
    <row r="70" spans="1:1" x14ac:dyDescent="0.3">
      <c r="A70" t="s">
        <v>611</v>
      </c>
    </row>
    <row r="71" spans="1:1" x14ac:dyDescent="0.3">
      <c r="A71" t="s">
        <v>612</v>
      </c>
    </row>
    <row r="72" spans="1:1" x14ac:dyDescent="0.3">
      <c r="A72" t="s">
        <v>613</v>
      </c>
    </row>
    <row r="73" spans="1:1" x14ac:dyDescent="0.3">
      <c r="A73" t="s">
        <v>614</v>
      </c>
    </row>
    <row r="74" spans="1:1" x14ac:dyDescent="0.3">
      <c r="A74" t="s">
        <v>615</v>
      </c>
    </row>
    <row r="75" spans="1:1" x14ac:dyDescent="0.3">
      <c r="A75" t="s">
        <v>616</v>
      </c>
    </row>
    <row r="76" spans="1:1" x14ac:dyDescent="0.3">
      <c r="A76" t="s">
        <v>617</v>
      </c>
    </row>
    <row r="77" spans="1:1" x14ac:dyDescent="0.3">
      <c r="A77" t="s">
        <v>618</v>
      </c>
    </row>
    <row r="78" spans="1:1" x14ac:dyDescent="0.3">
      <c r="A78" t="s">
        <v>619</v>
      </c>
    </row>
    <row r="79" spans="1:1" x14ac:dyDescent="0.3">
      <c r="A79" t="s">
        <v>620</v>
      </c>
    </row>
    <row r="80" spans="1:1" x14ac:dyDescent="0.3">
      <c r="A80" t="s">
        <v>621</v>
      </c>
    </row>
    <row r="81" spans="1:1" x14ac:dyDescent="0.3">
      <c r="A81" t="s">
        <v>622</v>
      </c>
    </row>
    <row r="82" spans="1:1" x14ac:dyDescent="0.3">
      <c r="A82" t="s">
        <v>623</v>
      </c>
    </row>
    <row r="83" spans="1:1" x14ac:dyDescent="0.3">
      <c r="A83" t="s">
        <v>624</v>
      </c>
    </row>
  </sheetData>
  <mergeCells count="1">
    <mergeCell ref="D1:G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9D48C-EFB6-440B-BE4F-FD4465FADBA0}">
  <sheetPr codeName="Sheet20"/>
  <dimension ref="A1:V25"/>
  <sheetViews>
    <sheetView zoomScale="70" zoomScaleNormal="70" workbookViewId="0">
      <selection sqref="A1:L1"/>
    </sheetView>
  </sheetViews>
  <sheetFormatPr defaultColWidth="8.6640625" defaultRowHeight="13.2" x14ac:dyDescent="0.25"/>
  <cols>
    <col min="1" max="1" width="11.6640625" style="4" customWidth="1"/>
    <col min="2" max="2" width="8.6640625" style="4"/>
    <col min="3" max="3" width="17.33203125" style="4" bestFit="1" customWidth="1"/>
    <col min="4" max="4" width="12.6640625" style="4" bestFit="1" customWidth="1"/>
    <col min="5" max="5" width="12.88671875" style="4" bestFit="1" customWidth="1"/>
    <col min="6" max="6" width="22.33203125" style="4" bestFit="1" customWidth="1"/>
    <col min="7" max="7" width="16.88671875" style="4" bestFit="1" customWidth="1"/>
    <col min="8" max="8" width="17.88671875" style="4" bestFit="1" customWidth="1"/>
    <col min="9" max="9" width="11.5546875" style="4" customWidth="1"/>
    <col min="10" max="10" width="16.44140625" style="4" customWidth="1"/>
    <col min="11" max="11" width="20.109375" style="4" bestFit="1" customWidth="1"/>
    <col min="12" max="12" width="12" style="4" customWidth="1"/>
    <col min="13" max="13" width="8.6640625" style="4"/>
    <col min="14" max="14" width="14.44140625" style="4" customWidth="1"/>
    <col min="15" max="15" width="15.44140625" style="4" customWidth="1"/>
    <col min="16" max="16" width="23.6640625" style="4" customWidth="1"/>
    <col min="17" max="17" width="19.5546875" style="4" customWidth="1"/>
    <col min="18" max="18" width="15" style="4" customWidth="1"/>
    <col min="19" max="21" width="13.6640625" style="4" customWidth="1"/>
    <col min="22" max="22" width="21" style="4" bestFit="1" customWidth="1"/>
    <col min="23" max="24" width="8.6640625" style="4"/>
    <col min="25" max="25" width="13.6640625" style="4" customWidth="1"/>
    <col min="26" max="28" width="8.6640625" style="4"/>
    <col min="29" max="29" width="12.44140625" style="4" customWidth="1"/>
    <col min="30" max="16384" width="8.6640625" style="4"/>
  </cols>
  <sheetData>
    <row r="1" spans="1:22" ht="27" customHeight="1" x14ac:dyDescent="0.25">
      <c r="A1" s="650" t="s">
        <v>625</v>
      </c>
      <c r="B1" s="650"/>
      <c r="C1" s="650"/>
      <c r="D1" s="650"/>
      <c r="E1" s="650"/>
      <c r="F1" s="650"/>
      <c r="G1" s="650"/>
      <c r="H1" s="650"/>
      <c r="I1" s="650"/>
      <c r="J1" s="650"/>
      <c r="K1" s="650"/>
      <c r="L1" s="650"/>
      <c r="N1" s="816" t="str">
        <f>"Energy Consumption - "&amp;Prototype!A2</f>
        <v>Energy Consumption - Warehouse</v>
      </c>
      <c r="O1" s="816"/>
      <c r="P1" s="816"/>
      <c r="Q1" s="816"/>
      <c r="R1" s="816"/>
      <c r="S1" s="816"/>
      <c r="T1" s="816"/>
      <c r="U1" s="816"/>
      <c r="V1" s="816"/>
    </row>
    <row r="2" spans="1:22" ht="39.6" customHeight="1" x14ac:dyDescent="0.25">
      <c r="A2" s="534" t="s">
        <v>6</v>
      </c>
      <c r="B2" s="534" t="s">
        <v>535</v>
      </c>
      <c r="C2" s="534" t="s">
        <v>626</v>
      </c>
      <c r="D2" s="534" t="s">
        <v>627</v>
      </c>
      <c r="E2" s="534" t="s">
        <v>628</v>
      </c>
      <c r="F2" s="534" t="s">
        <v>629</v>
      </c>
      <c r="G2" s="534" t="s">
        <v>630</v>
      </c>
      <c r="H2" s="534" t="s">
        <v>631</v>
      </c>
      <c r="I2" s="372" t="s">
        <v>632</v>
      </c>
      <c r="J2" s="372" t="s">
        <v>633</v>
      </c>
      <c r="K2" s="372" t="s">
        <v>634</v>
      </c>
      <c r="L2" s="372" t="s">
        <v>635</v>
      </c>
      <c r="M2" s="378"/>
      <c r="N2" s="379" t="s">
        <v>6</v>
      </c>
      <c r="O2" s="534" t="s">
        <v>535</v>
      </c>
      <c r="P2" s="534" t="s">
        <v>636</v>
      </c>
      <c r="Q2" s="534" t="s">
        <v>637</v>
      </c>
      <c r="R2" s="534" t="s">
        <v>638</v>
      </c>
      <c r="S2" s="374" t="s">
        <v>639</v>
      </c>
      <c r="T2" s="374" t="s">
        <v>633</v>
      </c>
      <c r="U2" s="374" t="s">
        <v>634</v>
      </c>
      <c r="V2" s="374" t="s">
        <v>640</v>
      </c>
    </row>
    <row r="3" spans="1:22" ht="19.2" customHeight="1" x14ac:dyDescent="0.3">
      <c r="A3" s="815" t="s">
        <v>49</v>
      </c>
      <c r="B3" s="537">
        <v>1</v>
      </c>
      <c r="C3" s="373"/>
      <c r="D3" s="373"/>
      <c r="E3" s="373"/>
      <c r="F3" s="537"/>
      <c r="G3" s="537"/>
      <c r="H3" s="537"/>
      <c r="I3" s="537">
        <v>35.5</v>
      </c>
      <c r="J3" s="537">
        <f>(I3*1.25)</f>
        <v>44.375</v>
      </c>
      <c r="K3" s="537">
        <f>(I3*0.75)</f>
        <v>26.625</v>
      </c>
      <c r="L3" s="537">
        <f>J3-K3</f>
        <v>17.75</v>
      </c>
      <c r="M3" s="377"/>
      <c r="N3" s="585" t="str">
        <f>Prototype!B4</f>
        <v>Warehouse</v>
      </c>
      <c r="O3" s="380">
        <v>1</v>
      </c>
      <c r="P3" s="381">
        <v>10688</v>
      </c>
      <c r="Q3" s="382">
        <v>28.644674262609986</v>
      </c>
      <c r="R3" s="382">
        <v>3.4243343982599925</v>
      </c>
      <c r="S3" s="376">
        <f>Q3+R3</f>
        <v>32.069008660869976</v>
      </c>
      <c r="T3" s="375">
        <f>S3*1.25</f>
        <v>40.086260826087468</v>
      </c>
      <c r="U3" s="375">
        <f>S3*0.75</f>
        <v>24.051756495652484</v>
      </c>
      <c r="V3" s="376">
        <f>T3-U3</f>
        <v>16.034504330434984</v>
      </c>
    </row>
    <row r="4" spans="1:22" ht="19.2" customHeight="1" x14ac:dyDescent="0.3">
      <c r="A4" s="815"/>
      <c r="B4" s="537">
        <v>2</v>
      </c>
      <c r="C4" s="373"/>
      <c r="D4" s="373"/>
      <c r="E4" s="373"/>
      <c r="F4" s="537"/>
      <c r="G4" s="537"/>
      <c r="H4" s="537"/>
      <c r="I4" s="537">
        <v>29.9</v>
      </c>
      <c r="J4" s="537">
        <f t="shared" ref="J4:J18" si="0">(I4*1.25)</f>
        <v>37.375</v>
      </c>
      <c r="K4" s="537">
        <f t="shared" ref="K4:K18" si="1">(I4*0.75)</f>
        <v>22.424999999999997</v>
      </c>
      <c r="L4" s="537">
        <f t="shared" ref="L4:L18" si="2">J4-K4</f>
        <v>14.950000000000003</v>
      </c>
      <c r="M4" s="377"/>
      <c r="N4" s="585"/>
      <c r="O4" s="380">
        <v>2</v>
      </c>
      <c r="P4" s="381">
        <v>15367</v>
      </c>
      <c r="Q4" s="382">
        <v>15.01994330226028</v>
      </c>
      <c r="R4" s="382">
        <v>4.5354039529097587</v>
      </c>
      <c r="S4" s="376">
        <f t="shared" ref="S4:S18" si="3">Q4+R4</f>
        <v>19.555347255170041</v>
      </c>
      <c r="T4" s="375">
        <f t="shared" ref="T4:T18" si="4">S4*1.25</f>
        <v>24.444184068962549</v>
      </c>
      <c r="U4" s="375">
        <f t="shared" ref="U4:U18" si="5">S4*0.75</f>
        <v>14.666510441377531</v>
      </c>
      <c r="V4" s="376">
        <f t="shared" ref="V4:V18" si="6">T4-U4</f>
        <v>9.7776736275850187</v>
      </c>
    </row>
    <row r="5" spans="1:22" ht="19.2" customHeight="1" x14ac:dyDescent="0.3">
      <c r="A5" s="815"/>
      <c r="B5" s="537">
        <v>3</v>
      </c>
      <c r="C5" s="373"/>
      <c r="D5" s="373"/>
      <c r="E5" s="373"/>
      <c r="F5" s="537"/>
      <c r="G5" s="537"/>
      <c r="H5" s="537"/>
      <c r="I5" s="537">
        <v>28.1</v>
      </c>
      <c r="J5" s="537">
        <f t="shared" si="0"/>
        <v>35.125</v>
      </c>
      <c r="K5" s="537">
        <f t="shared" si="1"/>
        <v>21.075000000000003</v>
      </c>
      <c r="L5" s="537">
        <f t="shared" si="2"/>
        <v>14.049999999999997</v>
      </c>
      <c r="M5" s="377"/>
      <c r="N5" s="585"/>
      <c r="O5" s="380">
        <v>3</v>
      </c>
      <c r="P5" s="381">
        <v>68713</v>
      </c>
      <c r="Q5" s="382">
        <v>25.306365942758532</v>
      </c>
      <c r="R5" s="382">
        <v>7.578304908915813</v>
      </c>
      <c r="S5" s="376">
        <f t="shared" si="3"/>
        <v>32.884670851674343</v>
      </c>
      <c r="T5" s="375">
        <f t="shared" si="4"/>
        <v>41.105838564592929</v>
      </c>
      <c r="U5" s="375">
        <f t="shared" si="5"/>
        <v>24.663503138755758</v>
      </c>
      <c r="V5" s="376">
        <f t="shared" si="6"/>
        <v>16.442335425837172</v>
      </c>
    </row>
    <row r="6" spans="1:22" ht="19.2" customHeight="1" x14ac:dyDescent="0.3">
      <c r="A6" s="815"/>
      <c r="B6" s="537">
        <v>4</v>
      </c>
      <c r="C6" s="373"/>
      <c r="D6" s="373"/>
      <c r="E6" s="373"/>
      <c r="F6" s="537"/>
      <c r="G6" s="537"/>
      <c r="H6" s="537"/>
      <c r="I6" s="537">
        <v>30.9</v>
      </c>
      <c r="J6" s="537">
        <f t="shared" si="0"/>
        <v>38.625</v>
      </c>
      <c r="K6" s="537">
        <f t="shared" si="1"/>
        <v>23.174999999999997</v>
      </c>
      <c r="L6" s="537">
        <f t="shared" si="2"/>
        <v>15.450000000000003</v>
      </c>
      <c r="M6" s="377"/>
      <c r="N6" s="585"/>
      <c r="O6" s="380">
        <v>4</v>
      </c>
      <c r="P6" s="381">
        <v>34199</v>
      </c>
      <c r="Q6" s="382">
        <v>25.882835448955834</v>
      </c>
      <c r="R6" s="382">
        <v>6.7470156537081261</v>
      </c>
      <c r="S6" s="376">
        <f t="shared" si="3"/>
        <v>32.629851102663963</v>
      </c>
      <c r="T6" s="375">
        <f t="shared" si="4"/>
        <v>40.787313878329954</v>
      </c>
      <c r="U6" s="375">
        <f t="shared" si="5"/>
        <v>24.472388326997972</v>
      </c>
      <c r="V6" s="376">
        <f t="shared" si="6"/>
        <v>16.314925551331982</v>
      </c>
    </row>
    <row r="7" spans="1:22" ht="19.2" customHeight="1" x14ac:dyDescent="0.3">
      <c r="A7" s="815"/>
      <c r="B7" s="537">
        <v>5</v>
      </c>
      <c r="C7" s="373"/>
      <c r="D7" s="373"/>
      <c r="E7" s="373"/>
      <c r="F7" s="537"/>
      <c r="G7" s="537"/>
      <c r="H7" s="537"/>
      <c r="I7" s="537">
        <v>27.1</v>
      </c>
      <c r="J7" s="537">
        <f t="shared" si="0"/>
        <v>33.875</v>
      </c>
      <c r="K7" s="537">
        <f t="shared" si="1"/>
        <v>20.325000000000003</v>
      </c>
      <c r="L7" s="537">
        <f t="shared" si="2"/>
        <v>13.549999999999997</v>
      </c>
      <c r="M7" s="377"/>
      <c r="N7" s="585"/>
      <c r="O7" s="380">
        <v>5</v>
      </c>
      <c r="P7" s="381">
        <v>5266</v>
      </c>
      <c r="Q7" s="382">
        <v>22.411367024020208</v>
      </c>
      <c r="R7" s="382">
        <v>23.724530197917758</v>
      </c>
      <c r="S7" s="376">
        <f t="shared" si="3"/>
        <v>46.135897221937967</v>
      </c>
      <c r="T7" s="375">
        <f t="shared" si="4"/>
        <v>57.669871527422458</v>
      </c>
      <c r="U7" s="375">
        <f t="shared" si="5"/>
        <v>34.601922916453475</v>
      </c>
      <c r="V7" s="376">
        <f t="shared" si="6"/>
        <v>23.067948610968983</v>
      </c>
    </row>
    <row r="8" spans="1:22" ht="19.2" customHeight="1" x14ac:dyDescent="0.3">
      <c r="A8" s="815"/>
      <c r="B8" s="537">
        <v>6</v>
      </c>
      <c r="C8" s="373"/>
      <c r="D8" s="373"/>
      <c r="E8" s="373"/>
      <c r="F8" s="537"/>
      <c r="G8" s="537"/>
      <c r="H8" s="537"/>
      <c r="I8" s="537">
        <v>25.1</v>
      </c>
      <c r="J8" s="537">
        <f t="shared" si="0"/>
        <v>31.375</v>
      </c>
      <c r="K8" s="537">
        <f t="shared" si="1"/>
        <v>18.825000000000003</v>
      </c>
      <c r="L8" s="537">
        <f t="shared" si="2"/>
        <v>12.549999999999997</v>
      </c>
      <c r="M8" s="377"/>
      <c r="N8" s="585"/>
      <c r="O8" s="380">
        <v>6</v>
      </c>
      <c r="P8" s="381">
        <v>81916</v>
      </c>
      <c r="Q8" s="382">
        <v>13.53321749210958</v>
      </c>
      <c r="R8" s="382">
        <v>4.4619871118284227</v>
      </c>
      <c r="S8" s="376">
        <f t="shared" si="3"/>
        <v>17.995204603938003</v>
      </c>
      <c r="T8" s="375">
        <f t="shared" si="4"/>
        <v>22.494005754922505</v>
      </c>
      <c r="U8" s="375">
        <f t="shared" si="5"/>
        <v>13.496403452953501</v>
      </c>
      <c r="V8" s="376">
        <f t="shared" si="6"/>
        <v>8.9976023019690032</v>
      </c>
    </row>
    <row r="9" spans="1:22" ht="19.2" customHeight="1" x14ac:dyDescent="0.3">
      <c r="A9" s="815"/>
      <c r="B9" s="537">
        <v>7</v>
      </c>
      <c r="C9" s="373"/>
      <c r="D9" s="373"/>
      <c r="E9" s="373"/>
      <c r="F9" s="537"/>
      <c r="G9" s="537"/>
      <c r="H9" s="537"/>
      <c r="I9" s="537">
        <v>24.9</v>
      </c>
      <c r="J9" s="537">
        <f t="shared" si="0"/>
        <v>31.125</v>
      </c>
      <c r="K9" s="537">
        <f t="shared" si="1"/>
        <v>18.674999999999997</v>
      </c>
      <c r="L9" s="537">
        <f t="shared" si="2"/>
        <v>12.450000000000003</v>
      </c>
      <c r="M9" s="377"/>
      <c r="N9" s="585"/>
      <c r="O9" s="380">
        <v>7</v>
      </c>
      <c r="P9" s="381">
        <v>21820</v>
      </c>
      <c r="Q9" s="382">
        <v>21.653741680284554</v>
      </c>
      <c r="R9" s="382">
        <v>3.5469906874378601</v>
      </c>
      <c r="S9" s="376">
        <f t="shared" si="3"/>
        <v>25.200732367722413</v>
      </c>
      <c r="T9" s="375">
        <f t="shared" si="4"/>
        <v>31.500915459653015</v>
      </c>
      <c r="U9" s="375">
        <f t="shared" si="5"/>
        <v>18.900549275791811</v>
      </c>
      <c r="V9" s="376">
        <f t="shared" si="6"/>
        <v>12.600366183861205</v>
      </c>
    </row>
    <row r="10" spans="1:22" ht="19.2" customHeight="1" x14ac:dyDescent="0.3">
      <c r="A10" s="815"/>
      <c r="B10" s="537">
        <v>8</v>
      </c>
      <c r="C10" s="373"/>
      <c r="D10" s="373"/>
      <c r="E10" s="373"/>
      <c r="F10" s="537"/>
      <c r="G10" s="537"/>
      <c r="H10" s="537"/>
      <c r="I10" s="537">
        <v>26.5</v>
      </c>
      <c r="J10" s="537">
        <f t="shared" si="0"/>
        <v>33.125</v>
      </c>
      <c r="K10" s="537">
        <f t="shared" si="1"/>
        <v>19.875</v>
      </c>
      <c r="L10" s="537">
        <f t="shared" si="2"/>
        <v>13.25</v>
      </c>
      <c r="M10" s="377"/>
      <c r="N10" s="585"/>
      <c r="O10" s="380">
        <v>8</v>
      </c>
      <c r="P10" s="381">
        <v>167070</v>
      </c>
      <c r="Q10" s="382">
        <v>12.608622884963223</v>
      </c>
      <c r="R10" s="382">
        <v>4.8063609572958841</v>
      </c>
      <c r="S10" s="376">
        <f t="shared" si="3"/>
        <v>17.414983842259108</v>
      </c>
      <c r="T10" s="375">
        <f t="shared" si="4"/>
        <v>21.768729802823884</v>
      </c>
      <c r="U10" s="375">
        <f t="shared" si="5"/>
        <v>13.061237881694332</v>
      </c>
      <c r="V10" s="376">
        <f t="shared" si="6"/>
        <v>8.7074919211295523</v>
      </c>
    </row>
    <row r="11" spans="1:22" ht="19.2" customHeight="1" x14ac:dyDescent="0.3">
      <c r="A11" s="815"/>
      <c r="B11" s="537">
        <v>9</v>
      </c>
      <c r="C11" s="373"/>
      <c r="D11" s="373"/>
      <c r="E11" s="373"/>
      <c r="F11" s="537"/>
      <c r="G11" s="537"/>
      <c r="H11" s="537"/>
      <c r="I11" s="537">
        <v>27.3</v>
      </c>
      <c r="J11" s="537">
        <f t="shared" si="0"/>
        <v>34.125</v>
      </c>
      <c r="K11" s="537">
        <f t="shared" si="1"/>
        <v>20.475000000000001</v>
      </c>
      <c r="L11" s="537">
        <f t="shared" si="2"/>
        <v>13.649999999999999</v>
      </c>
      <c r="M11" s="377"/>
      <c r="N11" s="585"/>
      <c r="O11" s="380">
        <v>9</v>
      </c>
      <c r="P11" s="381">
        <v>170729</v>
      </c>
      <c r="Q11" s="382">
        <v>13.623891003696606</v>
      </c>
      <c r="R11" s="382">
        <v>4.3725920927902138</v>
      </c>
      <c r="S11" s="376">
        <f t="shared" si="3"/>
        <v>17.99648309648682</v>
      </c>
      <c r="T11" s="375">
        <f t="shared" si="4"/>
        <v>22.495603870608527</v>
      </c>
      <c r="U11" s="375">
        <f t="shared" si="5"/>
        <v>13.497362322365115</v>
      </c>
      <c r="V11" s="376">
        <f t="shared" si="6"/>
        <v>8.9982415482434117</v>
      </c>
    </row>
    <row r="12" spans="1:22" ht="19.2" customHeight="1" x14ac:dyDescent="0.3">
      <c r="A12" s="815"/>
      <c r="B12" s="537">
        <v>10</v>
      </c>
      <c r="C12" s="373"/>
      <c r="D12" s="373"/>
      <c r="E12" s="373"/>
      <c r="F12" s="537"/>
      <c r="G12" s="537"/>
      <c r="H12" s="537"/>
      <c r="I12" s="537">
        <v>28.4</v>
      </c>
      <c r="J12" s="537">
        <f t="shared" si="0"/>
        <v>35.5</v>
      </c>
      <c r="K12" s="537">
        <f t="shared" si="1"/>
        <v>21.299999999999997</v>
      </c>
      <c r="L12" s="537">
        <f t="shared" si="2"/>
        <v>14.200000000000003</v>
      </c>
      <c r="M12" s="377"/>
      <c r="N12" s="585"/>
      <c r="O12" s="380">
        <v>10</v>
      </c>
      <c r="P12" s="381">
        <v>302672</v>
      </c>
      <c r="Q12" s="382">
        <v>15.057430890322948</v>
      </c>
      <c r="R12" s="382">
        <v>2.0696536588487522</v>
      </c>
      <c r="S12" s="376">
        <f t="shared" si="3"/>
        <v>17.127084549171698</v>
      </c>
      <c r="T12" s="375">
        <f t="shared" si="4"/>
        <v>21.408855686464623</v>
      </c>
      <c r="U12" s="375">
        <f t="shared" si="5"/>
        <v>12.845313411878774</v>
      </c>
      <c r="V12" s="376">
        <f t="shared" si="6"/>
        <v>8.5635422745858492</v>
      </c>
    </row>
    <row r="13" spans="1:22" ht="19.2" customHeight="1" x14ac:dyDescent="0.3">
      <c r="A13" s="815"/>
      <c r="B13" s="537">
        <v>11</v>
      </c>
      <c r="C13" s="373"/>
      <c r="D13" s="373"/>
      <c r="E13" s="373"/>
      <c r="F13" s="537"/>
      <c r="G13" s="537"/>
      <c r="H13" s="537"/>
      <c r="I13" s="537">
        <v>32.799999999999997</v>
      </c>
      <c r="J13" s="537">
        <f t="shared" si="0"/>
        <v>41</v>
      </c>
      <c r="K13" s="537">
        <f t="shared" si="1"/>
        <v>24.599999999999998</v>
      </c>
      <c r="L13" s="537">
        <f t="shared" si="2"/>
        <v>16.400000000000002</v>
      </c>
      <c r="M13" s="377"/>
      <c r="N13" s="585"/>
      <c r="O13" s="380">
        <v>11</v>
      </c>
      <c r="P13" s="381">
        <v>52236</v>
      </c>
      <c r="Q13" s="382">
        <v>29.108751316694597</v>
      </c>
      <c r="R13" s="382">
        <v>5.0509930294067455</v>
      </c>
      <c r="S13" s="376">
        <f t="shared" si="3"/>
        <v>34.159744346101341</v>
      </c>
      <c r="T13" s="375">
        <f t="shared" si="4"/>
        <v>42.699680432626678</v>
      </c>
      <c r="U13" s="375">
        <f t="shared" si="5"/>
        <v>25.619808259576004</v>
      </c>
      <c r="V13" s="376">
        <f t="shared" si="6"/>
        <v>17.079872173050674</v>
      </c>
    </row>
    <row r="14" spans="1:22" ht="19.2" customHeight="1" x14ac:dyDescent="0.3">
      <c r="A14" s="815"/>
      <c r="B14" s="537">
        <v>12</v>
      </c>
      <c r="C14" s="373"/>
      <c r="D14" s="373"/>
      <c r="E14" s="373"/>
      <c r="F14" s="537"/>
      <c r="G14" s="537"/>
      <c r="H14" s="537"/>
      <c r="I14" s="537">
        <v>31</v>
      </c>
      <c r="J14" s="537">
        <f t="shared" si="0"/>
        <v>38.75</v>
      </c>
      <c r="K14" s="537">
        <f t="shared" si="1"/>
        <v>23.25</v>
      </c>
      <c r="L14" s="537">
        <f t="shared" si="2"/>
        <v>15.5</v>
      </c>
      <c r="M14" s="377"/>
      <c r="N14" s="585"/>
      <c r="O14" s="380">
        <v>12</v>
      </c>
      <c r="P14" s="381">
        <v>201422</v>
      </c>
      <c r="Q14" s="382">
        <v>26.640003799187763</v>
      </c>
      <c r="R14" s="382">
        <v>3.6094636011778234</v>
      </c>
      <c r="S14" s="376">
        <f t="shared" si="3"/>
        <v>30.249467400365585</v>
      </c>
      <c r="T14" s="375">
        <f t="shared" si="4"/>
        <v>37.811834250456982</v>
      </c>
      <c r="U14" s="375">
        <f t="shared" si="5"/>
        <v>22.687100550274188</v>
      </c>
      <c r="V14" s="376">
        <f t="shared" si="6"/>
        <v>15.124733700182794</v>
      </c>
    </row>
    <row r="15" spans="1:22" ht="19.2" customHeight="1" x14ac:dyDescent="0.3">
      <c r="A15" s="815"/>
      <c r="B15" s="537">
        <v>13</v>
      </c>
      <c r="C15" s="373"/>
      <c r="D15" s="373"/>
      <c r="E15" s="373"/>
      <c r="F15" s="537"/>
      <c r="G15" s="537"/>
      <c r="H15" s="537"/>
      <c r="I15" s="537">
        <v>32.5</v>
      </c>
      <c r="J15" s="537">
        <f t="shared" si="0"/>
        <v>40.625</v>
      </c>
      <c r="K15" s="537">
        <f t="shared" si="1"/>
        <v>24.375</v>
      </c>
      <c r="L15" s="537">
        <f t="shared" si="2"/>
        <v>16.25</v>
      </c>
      <c r="M15" s="377"/>
      <c r="N15" s="585"/>
      <c r="O15" s="380">
        <v>13</v>
      </c>
      <c r="P15" s="381">
        <v>58241</v>
      </c>
      <c r="Q15" s="382">
        <v>29.120614498806344</v>
      </c>
      <c r="R15" s="382">
        <v>2.8962163433102868</v>
      </c>
      <c r="S15" s="376">
        <f t="shared" si="3"/>
        <v>32.016830842116633</v>
      </c>
      <c r="T15" s="375">
        <f t="shared" si="4"/>
        <v>40.021038552645791</v>
      </c>
      <c r="U15" s="375">
        <f t="shared" si="5"/>
        <v>24.012623131587475</v>
      </c>
      <c r="V15" s="376">
        <f t="shared" si="6"/>
        <v>16.008415421058316</v>
      </c>
    </row>
    <row r="16" spans="1:22" ht="19.2" customHeight="1" x14ac:dyDescent="0.3">
      <c r="A16" s="815"/>
      <c r="B16" s="537">
        <v>14</v>
      </c>
      <c r="C16" s="373"/>
      <c r="D16" s="373"/>
      <c r="E16" s="373"/>
      <c r="F16" s="537"/>
      <c r="G16" s="537"/>
      <c r="H16" s="537"/>
      <c r="I16" s="537">
        <v>33.700000000000003</v>
      </c>
      <c r="J16" s="537">
        <f t="shared" si="0"/>
        <v>42.125</v>
      </c>
      <c r="K16" s="537">
        <f t="shared" si="1"/>
        <v>25.275000000000002</v>
      </c>
      <c r="L16" s="537">
        <f t="shared" si="2"/>
        <v>16.849999999999998</v>
      </c>
      <c r="M16" s="377"/>
      <c r="N16" s="585"/>
      <c r="O16" s="380">
        <v>14</v>
      </c>
      <c r="P16" s="381">
        <v>70031</v>
      </c>
      <c r="Q16" s="382">
        <v>17.862894357988989</v>
      </c>
      <c r="R16" s="382">
        <v>2.7744027941273703</v>
      </c>
      <c r="S16" s="376">
        <f t="shared" si="3"/>
        <v>20.637297152116361</v>
      </c>
      <c r="T16" s="375">
        <f t="shared" si="4"/>
        <v>25.796621440145451</v>
      </c>
      <c r="U16" s="375">
        <f t="shared" si="5"/>
        <v>15.47797286408727</v>
      </c>
      <c r="V16" s="376">
        <f t="shared" si="6"/>
        <v>10.31864857605818</v>
      </c>
    </row>
    <row r="17" spans="1:22" ht="19.2" customHeight="1" x14ac:dyDescent="0.3">
      <c r="A17" s="815"/>
      <c r="B17" s="537">
        <v>15</v>
      </c>
      <c r="C17" s="373"/>
      <c r="D17" s="373"/>
      <c r="E17" s="373"/>
      <c r="F17" s="537"/>
      <c r="G17" s="537"/>
      <c r="H17" s="537"/>
      <c r="I17" s="537">
        <v>33.700000000000003</v>
      </c>
      <c r="J17" s="537">
        <f t="shared" si="0"/>
        <v>42.125</v>
      </c>
      <c r="K17" s="537">
        <f t="shared" si="1"/>
        <v>25.275000000000002</v>
      </c>
      <c r="L17" s="537">
        <f t="shared" si="2"/>
        <v>16.849999999999998</v>
      </c>
      <c r="M17" s="377"/>
      <c r="N17" s="585"/>
      <c r="O17" s="380">
        <v>15</v>
      </c>
      <c r="P17" s="381">
        <v>189094</v>
      </c>
      <c r="Q17" s="382">
        <v>10.045175332689027</v>
      </c>
      <c r="R17" s="382">
        <v>1.960515112615153</v>
      </c>
      <c r="S17" s="376">
        <f t="shared" si="3"/>
        <v>12.005690445304181</v>
      </c>
      <c r="T17" s="375">
        <f t="shared" si="4"/>
        <v>15.007113056630226</v>
      </c>
      <c r="U17" s="375">
        <f t="shared" si="5"/>
        <v>9.004267833978135</v>
      </c>
      <c r="V17" s="376">
        <f t="shared" si="6"/>
        <v>6.0028452226520912</v>
      </c>
    </row>
    <row r="18" spans="1:22" ht="19.2" customHeight="1" x14ac:dyDescent="0.3">
      <c r="A18" s="815"/>
      <c r="B18" s="537">
        <v>16</v>
      </c>
      <c r="C18" s="373"/>
      <c r="D18" s="373"/>
      <c r="E18" s="373"/>
      <c r="F18" s="537"/>
      <c r="G18" s="537"/>
      <c r="H18" s="537"/>
      <c r="I18" s="537">
        <v>37.6</v>
      </c>
      <c r="J18" s="537">
        <f t="shared" si="0"/>
        <v>47</v>
      </c>
      <c r="K18" s="537">
        <f t="shared" si="1"/>
        <v>28.200000000000003</v>
      </c>
      <c r="L18" s="537">
        <f t="shared" si="2"/>
        <v>18.799999999999997</v>
      </c>
      <c r="M18" s="377"/>
      <c r="N18" s="585"/>
      <c r="O18" s="380">
        <v>16</v>
      </c>
      <c r="P18" s="381">
        <v>265379</v>
      </c>
      <c r="Q18" s="382">
        <v>21.471506495485396</v>
      </c>
      <c r="R18" s="382">
        <v>2.3092939108530803</v>
      </c>
      <c r="S18" s="376">
        <f t="shared" si="3"/>
        <v>23.780800406338479</v>
      </c>
      <c r="T18" s="375">
        <f t="shared" si="4"/>
        <v>29.726000507923096</v>
      </c>
      <c r="U18" s="375">
        <f t="shared" si="5"/>
        <v>17.835600304753861</v>
      </c>
      <c r="V18" s="376">
        <f t="shared" si="6"/>
        <v>11.890400203169236</v>
      </c>
    </row>
    <row r="19" spans="1:22" x14ac:dyDescent="0.25">
      <c r="P19" s="72"/>
    </row>
    <row r="20" spans="1:22" x14ac:dyDescent="0.25">
      <c r="N20" s="4" t="s">
        <v>641</v>
      </c>
    </row>
    <row r="21" spans="1:22" x14ac:dyDescent="0.25">
      <c r="N21" s="4" t="s">
        <v>540</v>
      </c>
    </row>
    <row r="25" spans="1:22" s="26" customFormat="1" hidden="1" x14ac:dyDescent="0.25">
      <c r="N25" s="26" t="s">
        <v>84</v>
      </c>
      <c r="R25" s="27"/>
      <c r="S25" s="28"/>
      <c r="T25" s="29"/>
    </row>
  </sheetData>
  <mergeCells count="4">
    <mergeCell ref="N3:N18"/>
    <mergeCell ref="A3:A18"/>
    <mergeCell ref="N1:V1"/>
    <mergeCell ref="A1:L1"/>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D1D6A7EB2452B4A86A9506D4E13D4C9" ma:contentTypeVersion="3" ma:contentTypeDescription="Create a new document." ma:contentTypeScope="" ma:versionID="7cd6ed0cd056f112062446d0d1c544ce">
  <xsd:schema xmlns:xsd="http://www.w3.org/2001/XMLSchema" xmlns:xs="http://www.w3.org/2001/XMLSchema" xmlns:p="http://schemas.microsoft.com/office/2006/metadata/properties" xmlns:ns2="41613948-0554-4f13-babe-277410c056ca" targetNamespace="http://schemas.microsoft.com/office/2006/metadata/properties" ma:root="true" ma:fieldsID="60ca449bf2be89171a15d05d28af00ea" ns2:_="">
    <xsd:import namespace="41613948-0554-4f13-babe-277410c056c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1613948-0554-4f13-babe-277410c056c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721EFBE-0259-41B7-A715-EA69E3D6233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1613948-0554-4f13-babe-277410c056c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0816333-575B-4274-8A3E-18699B071E90}">
  <ds:schemaRefs>
    <ds:schemaRef ds:uri="http://schemas.microsoft.com/office/2006/documentManagement/types"/>
    <ds:schemaRef ds:uri="http://schemas.openxmlformats.org/package/2006/metadata/core-properties"/>
    <ds:schemaRef ds:uri="http://purl.org/dc/terms/"/>
    <ds:schemaRef ds:uri="http://purl.org/dc/elements/1.1/"/>
    <ds:schemaRef ds:uri="http://purl.org/dc/dcmitype/"/>
    <ds:schemaRef ds:uri="http://www.w3.org/XML/1998/namespace"/>
    <ds:schemaRef ds:uri="http://schemas.microsoft.com/office/infopath/2007/PartnerControls"/>
    <ds:schemaRef ds:uri="41613948-0554-4f13-babe-277410c056ca"/>
    <ds:schemaRef ds:uri="http://schemas.microsoft.com/office/2006/metadata/properties"/>
  </ds:schemaRefs>
</ds:datastoreItem>
</file>

<file path=customXml/itemProps3.xml><?xml version="1.0" encoding="utf-8"?>
<ds:datastoreItem xmlns:ds="http://schemas.openxmlformats.org/officeDocument/2006/customXml" ds:itemID="{7921AF10-0BF8-441A-BDBA-64AF3E09D45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1</vt:i4>
      </vt:variant>
    </vt:vector>
  </HeadingPairs>
  <TitlesOfParts>
    <vt:vector size="18" baseType="lpstr">
      <vt:lpstr>Notes</vt:lpstr>
      <vt:lpstr>Prototype</vt:lpstr>
      <vt:lpstr>Zones</vt:lpstr>
      <vt:lpstr>Envelope</vt:lpstr>
      <vt:lpstr>HVAC System</vt:lpstr>
      <vt:lpstr>Thermostat</vt:lpstr>
      <vt:lpstr>Ventilation</vt:lpstr>
      <vt:lpstr>Water Heater</vt:lpstr>
      <vt:lpstr>Interior Lights</vt:lpstr>
      <vt:lpstr>Equipment</vt:lpstr>
      <vt:lpstr>Ext Lighting</vt:lpstr>
      <vt:lpstr>Schedules</vt:lpstr>
      <vt:lpstr>Weights</vt:lpstr>
      <vt:lpstr>PV</vt:lpstr>
      <vt:lpstr>EV Charger</vt:lpstr>
      <vt:lpstr>Data</vt:lpstr>
      <vt:lpstr>Energy Usage</vt:lpstr>
      <vt:lpstr>Space_Function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Yousefi, Fatemeh</dc:creator>
  <cp:keywords/>
  <dc:description/>
  <cp:lastModifiedBy>Yousefi, Fatemeh (Noresco EE)</cp:lastModifiedBy>
  <cp:revision/>
  <dcterms:created xsi:type="dcterms:W3CDTF">2024-06-21T17:19:36Z</dcterms:created>
  <dcterms:modified xsi:type="dcterms:W3CDTF">2026-10-28T01:30:47Z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7864bb8-b671-4bed-ba85-9478127ab5e9_Enabled">
    <vt:lpwstr>true</vt:lpwstr>
  </property>
  <property fmtid="{D5CDD505-2E9C-101B-9397-08002B2CF9AE}" pid="3" name="MSIP_Label_b7864bb8-b671-4bed-ba85-9478127ab5e9_SetDate">
    <vt:lpwstr>2024-06-21T17:19:48Z</vt:lpwstr>
  </property>
  <property fmtid="{D5CDD505-2E9C-101B-9397-08002B2CF9AE}" pid="4" name="MSIP_Label_b7864bb8-b671-4bed-ba85-9478127ab5e9_Method">
    <vt:lpwstr>Standard</vt:lpwstr>
  </property>
  <property fmtid="{D5CDD505-2E9C-101B-9397-08002B2CF9AE}" pid="5" name="MSIP_Label_b7864bb8-b671-4bed-ba85-9478127ab5e9_Name">
    <vt:lpwstr>Confidential – 2023</vt:lpwstr>
  </property>
  <property fmtid="{D5CDD505-2E9C-101B-9397-08002B2CF9AE}" pid="6" name="MSIP_Label_b7864bb8-b671-4bed-ba85-9478127ab5e9_SiteId">
    <vt:lpwstr>36839a65-7f3f-4bac-9ea4-f571f10a9a03</vt:lpwstr>
  </property>
  <property fmtid="{D5CDD505-2E9C-101B-9397-08002B2CF9AE}" pid="7" name="MSIP_Label_b7864bb8-b671-4bed-ba85-9478127ab5e9_ActionId">
    <vt:lpwstr>0e6e9a60-d2ab-4ce7-9a0a-ef72169e4f66</vt:lpwstr>
  </property>
  <property fmtid="{D5CDD505-2E9C-101B-9397-08002B2CF9AE}" pid="8" name="MSIP_Label_b7864bb8-b671-4bed-ba85-9478127ab5e9_ContentBits">
    <vt:lpwstr>0</vt:lpwstr>
  </property>
  <property fmtid="{D5CDD505-2E9C-101B-9397-08002B2CF9AE}" pid="9" name="MSIP_Label_aa7be39c-9e9f-446a-a199-286f73f56a3f_Enabled">
    <vt:lpwstr>true</vt:lpwstr>
  </property>
  <property fmtid="{D5CDD505-2E9C-101B-9397-08002B2CF9AE}" pid="10" name="MSIP_Label_aa7be39c-9e9f-446a-a199-286f73f56a3f_SetDate">
    <vt:lpwstr>2024-11-12T07:01:00Z</vt:lpwstr>
  </property>
  <property fmtid="{D5CDD505-2E9C-101B-9397-08002B2CF9AE}" pid="11" name="MSIP_Label_aa7be39c-9e9f-446a-a199-286f73f56a3f_Method">
    <vt:lpwstr>Standard</vt:lpwstr>
  </property>
  <property fmtid="{D5CDD505-2E9C-101B-9397-08002B2CF9AE}" pid="12" name="MSIP_Label_aa7be39c-9e9f-446a-a199-286f73f56a3f_Name">
    <vt:lpwstr>Confidential</vt:lpwstr>
  </property>
  <property fmtid="{D5CDD505-2E9C-101B-9397-08002B2CF9AE}" pid="13" name="MSIP_Label_aa7be39c-9e9f-446a-a199-286f73f56a3f_SiteId">
    <vt:lpwstr>85ad2a97-6942-4d5d-bc9c-35cd3905d69a</vt:lpwstr>
  </property>
  <property fmtid="{D5CDD505-2E9C-101B-9397-08002B2CF9AE}" pid="14" name="MSIP_Label_aa7be39c-9e9f-446a-a199-286f73f56a3f_ActionId">
    <vt:lpwstr>9aa52be7-e90f-4db3-9dfa-3134fb3d14a1</vt:lpwstr>
  </property>
  <property fmtid="{D5CDD505-2E9C-101B-9397-08002B2CF9AE}" pid="15" name="MSIP_Label_aa7be39c-9e9f-446a-a199-286f73f56a3f_ContentBits">
    <vt:lpwstr>0</vt:lpwstr>
  </property>
  <property fmtid="{D5CDD505-2E9C-101B-9397-08002B2CF9AE}" pid="16" name="ContentTypeId">
    <vt:lpwstr>0x0101003D1D6A7EB2452B4A86A9506D4E13D4C9</vt:lpwstr>
  </property>
  <property fmtid="{D5CDD505-2E9C-101B-9397-08002B2CF9AE}" pid="17" name="MediaServiceImageTags">
    <vt:lpwstr/>
  </property>
  <property fmtid="{D5CDD505-2E9C-101B-9397-08002B2CF9AE}" pid="18" name="xd_ProgID">
    <vt:lpwstr/>
  </property>
  <property fmtid="{D5CDD505-2E9C-101B-9397-08002B2CF9AE}" pid="19" name="ComplianceAssetId">
    <vt:lpwstr/>
  </property>
  <property fmtid="{D5CDD505-2E9C-101B-9397-08002B2CF9AE}" pid="20" name="TemplateUrl">
    <vt:lpwstr/>
  </property>
  <property fmtid="{D5CDD505-2E9C-101B-9397-08002B2CF9AE}" pid="21" name="_ExtendedDescription">
    <vt:lpwstr/>
  </property>
  <property fmtid="{D5CDD505-2E9C-101B-9397-08002B2CF9AE}" pid="22" name="TriggerFlowInfo">
    <vt:lpwstr/>
  </property>
  <property fmtid="{D5CDD505-2E9C-101B-9397-08002B2CF9AE}" pid="23" name="xd_Signature">
    <vt:bool>false</vt:bool>
  </property>
</Properties>
</file>