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namedSheetViews/namedSheetView1.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364" documentId="8_{B2121C21-29BF-472C-997C-FBE84159E3F0}" xr6:coauthVersionLast="47" xr6:coauthVersionMax="47" xr10:uidLastSave="{9558C208-54E4-4329-886C-988FC7C9B231}"/>
  <bookViews>
    <workbookView xWindow="28680" yWindow="-120" windowWidth="29040" windowHeight="15720" tabRatio="886"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7"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0" state="hidden" r:id="rId17"/>
  </sheets>
  <definedNames>
    <definedName name="_xlnm._FilterDatabase" localSheetId="16" hidden="1">Data!$D$1:$G$1</definedName>
    <definedName name="_xlnm._FilterDatabase" localSheetId="3" hidden="1">Envelope!$A$2:$Y$49</definedName>
    <definedName name="_xlnm._FilterDatabase" localSheetId="10" hidden="1">Equipment!$A$2:$L$11</definedName>
    <definedName name="_xlnm._FilterDatabase" localSheetId="8" hidden="1">'Interior Lights'!$A$2:$G$12</definedName>
    <definedName name="_xlnm._FilterDatabase" localSheetId="7" hidden="1">'Water Heater'!$A$9:$AL$41</definedName>
    <definedName name="_xlnm._FilterDatabase" localSheetId="2" hidden="1">Zones!$A$1:$N$35</definedName>
    <definedName name="nonparticipating_forecastzone_scale_factor" localSheetId="16">#REF!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5" l="1"/>
  <c r="J35" i="13"/>
  <c r="I4" i="13" s="1"/>
  <c r="I32" i="18"/>
  <c r="I29" i="18"/>
  <c r="I28" i="18"/>
  <c r="I27" i="18"/>
  <c r="I26" i="18"/>
  <c r="I25" i="18"/>
  <c r="I24" i="18"/>
  <c r="I23" i="18"/>
  <c r="I22" i="18"/>
  <c r="I21" i="18"/>
  <c r="I12" i="18"/>
  <c r="I13" i="18"/>
  <c r="I14" i="18"/>
  <c r="I15" i="18"/>
  <c r="I16" i="18"/>
  <c r="I17" i="18"/>
  <c r="I18" i="18"/>
  <c r="I11" i="18"/>
  <c r="E34" i="18"/>
  <c r="E33" i="18"/>
  <c r="E32" i="18"/>
  <c r="E29" i="18"/>
  <c r="E28" i="18"/>
  <c r="E27" i="18"/>
  <c r="E26" i="18"/>
  <c r="E25" i="18"/>
  <c r="E24" i="18"/>
  <c r="E23" i="18"/>
  <c r="E22" i="18"/>
  <c r="E21" i="18"/>
  <c r="E18" i="18"/>
  <c r="E17" i="18"/>
  <c r="E16" i="18"/>
  <c r="E15" i="18"/>
  <c r="E14" i="18"/>
  <c r="E13" i="18"/>
  <c r="E12" i="18"/>
  <c r="E11" i="18"/>
  <c r="I15" i="13" l="1"/>
  <c r="I19" i="13"/>
  <c r="I16" i="13"/>
  <c r="I14" i="13"/>
  <c r="I26" i="13"/>
  <c r="I13" i="13"/>
  <c r="I34" i="13"/>
  <c r="I12" i="13"/>
  <c r="I21" i="13"/>
  <c r="I17" i="13"/>
  <c r="I3" i="13"/>
  <c r="I33" i="13"/>
  <c r="I11" i="13"/>
  <c r="I22" i="13"/>
  <c r="I18" i="13"/>
  <c r="I10" i="13"/>
  <c r="I31" i="13"/>
  <c r="I9" i="13"/>
  <c r="I25" i="13"/>
  <c r="I23" i="13"/>
  <c r="I8" i="13"/>
  <c r="I7" i="13"/>
  <c r="I20" i="13"/>
  <c r="I29" i="13"/>
  <c r="I28" i="13"/>
  <c r="I6" i="13"/>
  <c r="I24" i="13"/>
  <c r="I32" i="13"/>
  <c r="I30" i="13"/>
  <c r="I27" i="13"/>
  <c r="I5" i="13"/>
  <c r="A8" i="29"/>
  <c r="A10" i="29"/>
  <c r="A9" i="29"/>
  <c r="A4" i="29"/>
  <c r="A5" i="29"/>
  <c r="A6" i="29"/>
  <c r="A7" i="29"/>
  <c r="A11" i="29"/>
  <c r="B23" i="9"/>
  <c r="A10" i="25"/>
  <c r="B8" i="2"/>
  <c r="A9" i="25"/>
  <c r="A11" i="25" l="1"/>
  <c r="A8" i="25"/>
  <c r="A5" i="25"/>
  <c r="A6" i="25"/>
  <c r="A7" i="25"/>
  <c r="K35" i="13"/>
  <c r="M34" i="13"/>
  <c r="E34" i="13"/>
  <c r="M33" i="13"/>
  <c r="E33" i="13"/>
  <c r="M32" i="13"/>
  <c r="E32" i="13"/>
  <c r="M31" i="13"/>
  <c r="M30" i="13"/>
  <c r="M29" i="13"/>
  <c r="E29" i="13"/>
  <c r="M28" i="13"/>
  <c r="E28" i="13"/>
  <c r="M27" i="13"/>
  <c r="E27" i="13"/>
  <c r="M26" i="13"/>
  <c r="E26" i="13"/>
  <c r="M25" i="13"/>
  <c r="E25" i="13"/>
  <c r="M24" i="13"/>
  <c r="E24" i="13"/>
  <c r="M23" i="13"/>
  <c r="E23" i="13"/>
  <c r="M22" i="13"/>
  <c r="E22" i="13"/>
  <c r="M21" i="13"/>
  <c r="E21" i="13"/>
  <c r="M20" i="13"/>
  <c r="M19" i="13"/>
  <c r="M18" i="13"/>
  <c r="E18" i="13"/>
  <c r="M17" i="13"/>
  <c r="E17" i="13"/>
  <c r="M16" i="13"/>
  <c r="E16" i="13"/>
  <c r="M15" i="13"/>
  <c r="E15" i="13"/>
  <c r="M14" i="13"/>
  <c r="E14" i="13"/>
  <c r="M13" i="13"/>
  <c r="E13" i="13"/>
  <c r="M12" i="13"/>
  <c r="E12" i="13"/>
  <c r="M11" i="13"/>
  <c r="E11" i="13"/>
  <c r="M10" i="13"/>
  <c r="M9" i="13"/>
  <c r="M8" i="13"/>
  <c r="M7" i="13"/>
  <c r="M6" i="13"/>
  <c r="M5" i="13"/>
  <c r="M4" i="13"/>
  <c r="M3" i="13"/>
  <c r="I35" i="13" l="1"/>
  <c r="M35" i="13"/>
  <c r="F22" i="28" l="1"/>
  <c r="A1" i="28" l="1"/>
  <c r="F89" i="28"/>
  <c r="F88" i="28"/>
  <c r="F87" i="28"/>
  <c r="AC58" i="28"/>
  <c r="G56" i="28"/>
  <c r="H56" i="28"/>
  <c r="I56" i="28"/>
  <c r="J56" i="28"/>
  <c r="K56" i="28"/>
  <c r="L56" i="28"/>
  <c r="M56" i="28"/>
  <c r="N56" i="28"/>
  <c r="O56" i="28"/>
  <c r="P56" i="28"/>
  <c r="Q56" i="28"/>
  <c r="R56" i="28"/>
  <c r="S56" i="28"/>
  <c r="T56" i="28"/>
  <c r="U56" i="28"/>
  <c r="V56" i="28"/>
  <c r="W56" i="28"/>
  <c r="X56" i="28"/>
  <c r="Y56" i="28"/>
  <c r="Z56" i="28"/>
  <c r="AA56" i="28"/>
  <c r="AB56" i="28"/>
  <c r="AC56" i="28"/>
  <c r="G57" i="28"/>
  <c r="H57" i="28"/>
  <c r="I57" i="28"/>
  <c r="J57" i="28"/>
  <c r="K57" i="28"/>
  <c r="L57" i="28"/>
  <c r="M57" i="28"/>
  <c r="N57" i="28"/>
  <c r="O57" i="28"/>
  <c r="P57" i="28"/>
  <c r="Q57" i="28"/>
  <c r="R57" i="28"/>
  <c r="S57" i="28"/>
  <c r="T57" i="28"/>
  <c r="U57" i="28"/>
  <c r="V57" i="28"/>
  <c r="W57" i="28"/>
  <c r="X57" i="28"/>
  <c r="Y57" i="28"/>
  <c r="Z57" i="28"/>
  <c r="AA57" i="28"/>
  <c r="AB57" i="28"/>
  <c r="AC57" i="28"/>
  <c r="G58" i="28"/>
  <c r="H58" i="28"/>
  <c r="I58" i="28"/>
  <c r="J58" i="28"/>
  <c r="K58" i="28"/>
  <c r="L58" i="28"/>
  <c r="M58" i="28"/>
  <c r="N58" i="28"/>
  <c r="O58" i="28"/>
  <c r="P58" i="28"/>
  <c r="Q58" i="28"/>
  <c r="R58" i="28"/>
  <c r="S58" i="28"/>
  <c r="T58" i="28"/>
  <c r="U58" i="28"/>
  <c r="V58" i="28"/>
  <c r="W58" i="28"/>
  <c r="X58" i="28"/>
  <c r="Y58" i="28"/>
  <c r="Z58" i="28"/>
  <c r="AA58" i="28"/>
  <c r="AB58" i="28"/>
  <c r="F57" i="28"/>
  <c r="F58" i="28"/>
  <c r="F56" i="28"/>
  <c r="F53" i="28"/>
  <c r="N25" i="28"/>
  <c r="G25" i="28"/>
  <c r="H25" i="28"/>
  <c r="I25" i="28"/>
  <c r="J25" i="28"/>
  <c r="K25" i="28"/>
  <c r="L25" i="28"/>
  <c r="M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84" i="28"/>
  <c r="H84" i="28"/>
  <c r="I84" i="28"/>
  <c r="J84" i="28"/>
  <c r="K84" i="28"/>
  <c r="L84" i="28"/>
  <c r="M84" i="28"/>
  <c r="N84" i="28"/>
  <c r="O84" i="28"/>
  <c r="P84" i="28"/>
  <c r="Q84" i="28"/>
  <c r="R84" i="28"/>
  <c r="S84" i="28"/>
  <c r="T84" i="28"/>
  <c r="U84" i="28"/>
  <c r="V84" i="28"/>
  <c r="W84" i="28"/>
  <c r="X84" i="28"/>
  <c r="Y84" i="28"/>
  <c r="Z84" i="28"/>
  <c r="AA84" i="28"/>
  <c r="AB84" i="28"/>
  <c r="AC84" i="28"/>
  <c r="G85" i="28"/>
  <c r="H85" i="28"/>
  <c r="I85" i="28"/>
  <c r="J85" i="28"/>
  <c r="K85" i="28"/>
  <c r="L85" i="28"/>
  <c r="M85" i="28"/>
  <c r="N85" i="28"/>
  <c r="O85" i="28"/>
  <c r="P85" i="28"/>
  <c r="Q85" i="28"/>
  <c r="R85" i="28"/>
  <c r="S85" i="28"/>
  <c r="T85" i="28"/>
  <c r="U85" i="28"/>
  <c r="V85" i="28"/>
  <c r="W85" i="28"/>
  <c r="X85" i="28"/>
  <c r="Y85" i="28"/>
  <c r="Z85" i="28"/>
  <c r="AA85" i="28"/>
  <c r="AB85" i="28"/>
  <c r="AC85" i="28"/>
  <c r="G86" i="28"/>
  <c r="H86" i="28"/>
  <c r="I86" i="28"/>
  <c r="J86" i="28"/>
  <c r="K86" i="28"/>
  <c r="L86" i="28"/>
  <c r="M86" i="28"/>
  <c r="N86" i="28"/>
  <c r="O86" i="28"/>
  <c r="P86" i="28"/>
  <c r="Q86" i="28"/>
  <c r="R86" i="28"/>
  <c r="S86" i="28"/>
  <c r="T86" i="28"/>
  <c r="U86" i="28"/>
  <c r="V86" i="28"/>
  <c r="W86" i="28"/>
  <c r="X86" i="28"/>
  <c r="Y86" i="28"/>
  <c r="Z86" i="28"/>
  <c r="AA86" i="28"/>
  <c r="AB86" i="28"/>
  <c r="AC86" i="28"/>
  <c r="F85" i="28"/>
  <c r="F86" i="28"/>
  <c r="F84" i="28"/>
  <c r="G87" i="28"/>
  <c r="H87" i="28"/>
  <c r="I87" i="28"/>
  <c r="J87" i="28"/>
  <c r="K87" i="28"/>
  <c r="L87" i="28"/>
  <c r="M87" i="28"/>
  <c r="N87" i="28"/>
  <c r="O87" i="28"/>
  <c r="P87" i="28"/>
  <c r="Q87" i="28"/>
  <c r="R87" i="28"/>
  <c r="S87" i="28"/>
  <c r="T87" i="28"/>
  <c r="U87" i="28"/>
  <c r="V87" i="28"/>
  <c r="W87" i="28"/>
  <c r="X87" i="28"/>
  <c r="Y87" i="28"/>
  <c r="Z87" i="28"/>
  <c r="AA87" i="28"/>
  <c r="AB87" i="28"/>
  <c r="AC87" i="28"/>
  <c r="G88" i="28"/>
  <c r="H88" i="28"/>
  <c r="I88" i="28"/>
  <c r="J88" i="28"/>
  <c r="K88" i="28"/>
  <c r="L88" i="28"/>
  <c r="M88" i="28"/>
  <c r="N88" i="28"/>
  <c r="O88" i="28"/>
  <c r="P88" i="28"/>
  <c r="Q88" i="28"/>
  <c r="R88" i="28"/>
  <c r="S88" i="28"/>
  <c r="T88" i="28"/>
  <c r="U88" i="28"/>
  <c r="V88" i="28"/>
  <c r="W88" i="28"/>
  <c r="X88" i="28"/>
  <c r="Y88" i="28"/>
  <c r="Z88" i="28"/>
  <c r="AA88" i="28"/>
  <c r="AB88" i="28"/>
  <c r="AC88" i="28"/>
  <c r="G89" i="28"/>
  <c r="H89" i="28"/>
  <c r="I89" i="28"/>
  <c r="J89" i="28"/>
  <c r="K89" i="28"/>
  <c r="L89" i="28"/>
  <c r="M89" i="28"/>
  <c r="N89" i="28"/>
  <c r="O89" i="28"/>
  <c r="P89" i="28"/>
  <c r="Q89" i="28"/>
  <c r="R89" i="28"/>
  <c r="S89" i="28"/>
  <c r="T89" i="28"/>
  <c r="U89" i="28"/>
  <c r="V89" i="28"/>
  <c r="W89" i="28"/>
  <c r="X89" i="28"/>
  <c r="Y89" i="28"/>
  <c r="Z89" i="28"/>
  <c r="AA89" i="28"/>
  <c r="AB89" i="28"/>
  <c r="AC89" i="28"/>
  <c r="A75" i="28"/>
  <c r="A78" i="28"/>
  <c r="A81" i="28"/>
  <c r="A84" i="28"/>
  <c r="A87" i="28"/>
  <c r="A72" i="28"/>
  <c r="A69" i="28"/>
  <c r="A8" i="31"/>
  <c r="A1" i="31"/>
  <c r="G53" i="28" l="1"/>
  <c r="H53" i="28"/>
  <c r="I53" i="28"/>
  <c r="J53" i="28"/>
  <c r="K53" i="28"/>
  <c r="L53" i="28"/>
  <c r="M53" i="28"/>
  <c r="N53" i="28"/>
  <c r="O53" i="28"/>
  <c r="P53" i="28"/>
  <c r="Q53" i="28"/>
  <c r="R53" i="28"/>
  <c r="S53" i="28"/>
  <c r="T53" i="28"/>
  <c r="U53" i="28"/>
  <c r="V53" i="28"/>
  <c r="W53" i="28"/>
  <c r="X53" i="28"/>
  <c r="Y53" i="28"/>
  <c r="Z53" i="28"/>
  <c r="AA53" i="28"/>
  <c r="AB53" i="28"/>
  <c r="AC53" i="28"/>
  <c r="G54" i="28"/>
  <c r="H54" i="28"/>
  <c r="I54" i="28"/>
  <c r="J54" i="28"/>
  <c r="K54" i="28"/>
  <c r="L54" i="28"/>
  <c r="M54" i="28"/>
  <c r="N54" i="28"/>
  <c r="O54" i="28"/>
  <c r="P54" i="28"/>
  <c r="Q54" i="28"/>
  <c r="R54" i="28"/>
  <c r="S54" i="28"/>
  <c r="T54" i="28"/>
  <c r="U54" i="28"/>
  <c r="V54" i="28"/>
  <c r="W54" i="28"/>
  <c r="X54" i="28"/>
  <c r="Y54" i="28"/>
  <c r="Z54" i="28"/>
  <c r="AA54" i="28"/>
  <c r="AB54" i="28"/>
  <c r="AC54" i="28"/>
  <c r="G55" i="28"/>
  <c r="H55" i="28"/>
  <c r="I55" i="28"/>
  <c r="J55" i="28"/>
  <c r="K55" i="28"/>
  <c r="L55" i="28"/>
  <c r="M55" i="28"/>
  <c r="N55" i="28"/>
  <c r="O55" i="28"/>
  <c r="P55" i="28"/>
  <c r="Q55" i="28"/>
  <c r="R55" i="28"/>
  <c r="S55" i="28"/>
  <c r="T55" i="28"/>
  <c r="U55" i="28"/>
  <c r="V55" i="28"/>
  <c r="W55" i="28"/>
  <c r="X55" i="28"/>
  <c r="Y55" i="28"/>
  <c r="Z55" i="28"/>
  <c r="AA55" i="28"/>
  <c r="AB55" i="28"/>
  <c r="AC55" i="28"/>
  <c r="F54" i="28"/>
  <c r="F55"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A3" i="29" l="1"/>
  <c r="A4" i="25"/>
  <c r="B72" i="28" l="1"/>
  <c r="B78" i="28" s="1"/>
  <c r="B84" i="28" s="1"/>
  <c r="B69" i="28"/>
  <c r="B75" i="28" s="1"/>
  <c r="B81" i="28" s="1"/>
  <c r="B87" i="28" s="1"/>
  <c r="B16" i="28" l="1"/>
  <c r="B22" i="28" l="1"/>
  <c r="B31" i="28"/>
  <c r="B7" i="28"/>
  <c r="B13" i="28"/>
  <c r="B19" i="28"/>
  <c r="B10" i="28"/>
  <c r="B25" i="28"/>
  <c r="B28" i="28"/>
  <c r="F24" i="29"/>
  <c r="J30" i="1" l="1"/>
  <c r="K30" i="1"/>
  <c r="L30" i="1"/>
  <c r="M30" i="1"/>
  <c r="N30" i="1"/>
  <c r="O30" i="1"/>
  <c r="P30" i="1"/>
  <c r="Q30" i="1"/>
  <c r="R30" i="1"/>
  <c r="S30" i="1"/>
  <c r="T30" i="1"/>
  <c r="U30" i="1"/>
  <c r="V30" i="1"/>
  <c r="W30" i="1"/>
  <c r="X30" i="1"/>
  <c r="Y30" i="1"/>
  <c r="J21" i="1" l="1"/>
  <c r="J18" i="1" l="1"/>
  <c r="J19" i="1"/>
  <c r="B28" i="1"/>
  <c r="B18" i="1"/>
  <c r="B13" i="1"/>
  <c r="B8" i="1"/>
  <c r="B3" i="1"/>
  <c r="A1" i="21" l="1"/>
  <c r="A1" i="22"/>
  <c r="A1" i="27"/>
  <c r="A1" i="20"/>
  <c r="A1" i="29"/>
  <c r="A1" i="7"/>
  <c r="A1" i="18"/>
  <c r="A1" i="14"/>
  <c r="A1" i="13"/>
  <c r="D30" i="14"/>
  <c r="D29" i="14"/>
  <c r="D28" i="14"/>
  <c r="C14" i="9" l="1"/>
  <c r="B55" i="7"/>
  <c r="A1" i="1" l="1"/>
  <c r="G60" i="1" l="1"/>
  <c r="G61" i="1"/>
  <c r="J27" i="1"/>
  <c r="B9" i="2" l="1"/>
  <c r="B22" i="9"/>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J37" i="1"/>
  <c r="K36" i="1"/>
  <c r="L36" i="1"/>
  <c r="M36" i="1"/>
  <c r="N36" i="1"/>
  <c r="O36" i="1"/>
  <c r="P36" i="1"/>
  <c r="Q36" i="1"/>
  <c r="R36" i="1"/>
  <c r="S36" i="1"/>
  <c r="T36" i="1"/>
  <c r="U36" i="1"/>
  <c r="V36" i="1"/>
  <c r="W36" i="1"/>
  <c r="X36" i="1"/>
  <c r="Y36" i="1"/>
  <c r="K37" i="1"/>
  <c r="L37" i="1"/>
  <c r="M37" i="1"/>
  <c r="N37" i="1"/>
  <c r="O37" i="1"/>
  <c r="P37" i="1"/>
  <c r="Q37" i="1"/>
  <c r="R37" i="1"/>
  <c r="S37" i="1"/>
  <c r="T37" i="1"/>
  <c r="U37" i="1"/>
  <c r="V37" i="1"/>
  <c r="W37" i="1"/>
  <c r="X37" i="1"/>
  <c r="Y37" i="1"/>
  <c r="J36" i="1"/>
  <c r="K32" i="1"/>
  <c r="L32" i="1"/>
  <c r="M32" i="1"/>
  <c r="N32" i="1"/>
  <c r="O32" i="1"/>
  <c r="P32" i="1"/>
  <c r="Q32" i="1"/>
  <c r="R32" i="1"/>
  <c r="S32" i="1"/>
  <c r="T32" i="1"/>
  <c r="U32" i="1"/>
  <c r="V32" i="1"/>
  <c r="W32" i="1"/>
  <c r="X32" i="1"/>
  <c r="Y32" i="1"/>
  <c r="J32" i="1"/>
  <c r="K31" i="1"/>
  <c r="K28" i="1" s="1"/>
  <c r="L31" i="1"/>
  <c r="M31" i="1"/>
  <c r="N31" i="1"/>
  <c r="O31" i="1"/>
  <c r="P31" i="1"/>
  <c r="Q31" i="1"/>
  <c r="R31" i="1"/>
  <c r="S31" i="1"/>
  <c r="T31" i="1"/>
  <c r="U31" i="1"/>
  <c r="V31" i="1"/>
  <c r="W31" i="1"/>
  <c r="X31" i="1"/>
  <c r="Y31" i="1"/>
  <c r="J31" i="1"/>
  <c r="J28" i="1" s="1"/>
  <c r="J34" i="1" l="1"/>
  <c r="J33" i="1"/>
  <c r="C23" i="29"/>
  <c r="C24" i="29" s="1"/>
  <c r="B16" i="29"/>
  <c r="C4" i="18" l="1"/>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D32" i="7"/>
  <c r="D33" i="7"/>
  <c r="D34" i="7"/>
  <c r="D35" i="7"/>
  <c r="D36" i="7"/>
  <c r="D37" i="7"/>
  <c r="D38" i="7"/>
  <c r="D39" i="7"/>
  <c r="D40" i="7"/>
  <c r="D41" i="7"/>
  <c r="D17" i="7"/>
  <c r="B25" i="18" l="1"/>
  <c r="B10" i="18"/>
  <c r="B26" i="18"/>
  <c r="B34" i="18"/>
  <c r="B33" i="18"/>
  <c r="B31" i="18"/>
  <c r="B30" i="18"/>
  <c r="B32" i="18"/>
  <c r="B29" i="18"/>
  <c r="B28" i="18"/>
  <c r="B27" i="18"/>
  <c r="B24" i="2" l="1"/>
  <c r="G14" i="9" l="1"/>
  <c r="G12" i="9"/>
  <c r="A1" i="9"/>
  <c r="G10" i="9"/>
  <c r="A4" i="21" l="1"/>
  <c r="A3" i="20"/>
  <c r="A1" i="25"/>
  <c r="Y27" i="1" l="1"/>
  <c r="N27" i="1"/>
  <c r="A10" i="7"/>
  <c r="C10" i="7"/>
  <c r="C3" i="18"/>
  <c r="I3" i="18" s="1"/>
  <c r="I34" i="18" l="1"/>
  <c r="I33" i="18"/>
  <c r="I31" i="18"/>
  <c r="I30" i="18"/>
  <c r="I20" i="18"/>
  <c r="I19" i="18"/>
  <c r="I10" i="18"/>
  <c r="I9" i="18"/>
  <c r="I8" i="18"/>
  <c r="I7" i="18"/>
  <c r="I6" i="18"/>
  <c r="I5" i="18"/>
  <c r="I4" i="18"/>
  <c r="K27" i="1" l="1"/>
  <c r="J22" i="1"/>
  <c r="M93" i="1" l="1"/>
  <c r="M113" i="1" s="1"/>
  <c r="N93" i="1"/>
  <c r="N113" i="1" s="1"/>
  <c r="O93" i="1"/>
  <c r="O113" i="1" s="1"/>
  <c r="P93" i="1"/>
  <c r="P113" i="1" s="1"/>
  <c r="Q93" i="1"/>
  <c r="Q113" i="1" s="1"/>
  <c r="R93" i="1"/>
  <c r="R113" i="1" s="1"/>
  <c r="S93" i="1"/>
  <c r="S113" i="1" s="1"/>
  <c r="T93" i="1"/>
  <c r="T113" i="1" s="1"/>
  <c r="U93" i="1"/>
  <c r="U113" i="1" s="1"/>
  <c r="V93" i="1"/>
  <c r="V113" i="1" s="1"/>
  <c r="W93" i="1"/>
  <c r="W113" i="1" s="1"/>
  <c r="X93" i="1"/>
  <c r="X113" i="1" s="1"/>
  <c r="Y93" i="1"/>
  <c r="Y113" i="1" s="1"/>
  <c r="Z93" i="1"/>
  <c r="Z113" i="1" s="1"/>
  <c r="AA93" i="1"/>
  <c r="AA113" i="1" s="1"/>
  <c r="L93" i="1"/>
  <c r="L113" i="1" s="1"/>
  <c r="M83" i="1"/>
  <c r="M103" i="1" s="1"/>
  <c r="N83" i="1"/>
  <c r="N103" i="1" s="1"/>
  <c r="O83" i="1"/>
  <c r="O103" i="1" s="1"/>
  <c r="P83" i="1"/>
  <c r="P103" i="1" s="1"/>
  <c r="Q83" i="1"/>
  <c r="Q103" i="1" s="1"/>
  <c r="R83" i="1"/>
  <c r="R103" i="1" s="1"/>
  <c r="S83" i="1"/>
  <c r="S103" i="1" s="1"/>
  <c r="T83" i="1"/>
  <c r="T103" i="1" s="1"/>
  <c r="U83" i="1"/>
  <c r="U103" i="1" s="1"/>
  <c r="V83" i="1"/>
  <c r="V103" i="1" s="1"/>
  <c r="W83" i="1"/>
  <c r="W103" i="1" s="1"/>
  <c r="X83" i="1"/>
  <c r="X103" i="1" s="1"/>
  <c r="Y83" i="1"/>
  <c r="Y103" i="1" s="1"/>
  <c r="Z83" i="1"/>
  <c r="Z103" i="1" s="1"/>
  <c r="AA83" i="1"/>
  <c r="AA103" i="1" s="1"/>
  <c r="L83" i="1"/>
  <c r="L103" i="1" s="1"/>
  <c r="J25" i="1"/>
  <c r="L28" i="1"/>
  <c r="M28" i="1"/>
  <c r="N28" i="1"/>
  <c r="O28" i="1"/>
  <c r="P28" i="1"/>
  <c r="Q28" i="1"/>
  <c r="R28" i="1"/>
  <c r="S29" i="1"/>
  <c r="T29" i="1"/>
  <c r="U29" i="1"/>
  <c r="V29" i="1"/>
  <c r="W29" i="1"/>
  <c r="X29" i="1"/>
  <c r="Y29" i="1"/>
  <c r="K21" i="1"/>
  <c r="L21" i="1"/>
  <c r="M21" i="1"/>
  <c r="N21" i="1"/>
  <c r="O21" i="1"/>
  <c r="P21" i="1"/>
  <c r="Q21" i="1"/>
  <c r="R21" i="1"/>
  <c r="S21" i="1"/>
  <c r="T21" i="1"/>
  <c r="U21" i="1"/>
  <c r="V21" i="1"/>
  <c r="W21" i="1"/>
  <c r="X21" i="1"/>
  <c r="Y21" i="1"/>
  <c r="K22" i="1"/>
  <c r="L22" i="1"/>
  <c r="M22" i="1"/>
  <c r="N22" i="1"/>
  <c r="O22" i="1"/>
  <c r="P22" i="1"/>
  <c r="Q22" i="1"/>
  <c r="R22" i="1"/>
  <c r="S22" i="1"/>
  <c r="T22" i="1"/>
  <c r="U22" i="1"/>
  <c r="V22" i="1"/>
  <c r="W22" i="1"/>
  <c r="X22" i="1"/>
  <c r="Y22" i="1"/>
  <c r="K25" i="1"/>
  <c r="L25" i="1"/>
  <c r="M25" i="1"/>
  <c r="N25" i="1"/>
  <c r="O25" i="1"/>
  <c r="P25" i="1"/>
  <c r="Q25" i="1"/>
  <c r="R25" i="1"/>
  <c r="S25" i="1"/>
  <c r="T25" i="1"/>
  <c r="U25" i="1"/>
  <c r="V25" i="1"/>
  <c r="W25" i="1"/>
  <c r="X25" i="1"/>
  <c r="Y25" i="1"/>
  <c r="K26" i="1"/>
  <c r="L26" i="1"/>
  <c r="M26" i="1"/>
  <c r="N26" i="1"/>
  <c r="O26" i="1"/>
  <c r="P26" i="1"/>
  <c r="Q26" i="1"/>
  <c r="R26" i="1"/>
  <c r="S26" i="1"/>
  <c r="T26" i="1"/>
  <c r="U26" i="1"/>
  <c r="V26" i="1"/>
  <c r="W26" i="1"/>
  <c r="X26" i="1"/>
  <c r="Y26" i="1"/>
  <c r="L27" i="1"/>
  <c r="M27" i="1"/>
  <c r="O27" i="1"/>
  <c r="P27" i="1"/>
  <c r="Q27" i="1"/>
  <c r="R27" i="1"/>
  <c r="S27" i="1"/>
  <c r="T27" i="1"/>
  <c r="U27" i="1"/>
  <c r="V27" i="1"/>
  <c r="W27" i="1"/>
  <c r="X27" i="1"/>
  <c r="J26" i="1"/>
  <c r="K35" i="1"/>
  <c r="L35" i="1"/>
  <c r="M35" i="1"/>
  <c r="N35" i="1"/>
  <c r="O35" i="1"/>
  <c r="P35" i="1"/>
  <c r="Q35" i="1"/>
  <c r="R35" i="1"/>
  <c r="S35" i="1"/>
  <c r="T35" i="1"/>
  <c r="U35" i="1"/>
  <c r="V35" i="1"/>
  <c r="W35" i="1"/>
  <c r="X35" i="1"/>
  <c r="Y35" i="1"/>
  <c r="K33" i="1"/>
  <c r="L33" i="1"/>
  <c r="M33" i="1"/>
  <c r="N33" i="1"/>
  <c r="O33" i="1"/>
  <c r="P33" i="1"/>
  <c r="Q33" i="1"/>
  <c r="R34" i="1"/>
  <c r="S33" i="1"/>
  <c r="T33" i="1"/>
  <c r="U34" i="1"/>
  <c r="V34" i="1"/>
  <c r="W34" i="1"/>
  <c r="X34" i="1"/>
  <c r="Y34" i="1"/>
  <c r="AA130" i="1"/>
  <c r="Z130" i="1"/>
  <c r="Y130" i="1"/>
  <c r="X130" i="1"/>
  <c r="W130" i="1"/>
  <c r="V130" i="1"/>
  <c r="U130" i="1"/>
  <c r="T130" i="1"/>
  <c r="S130" i="1"/>
  <c r="R130" i="1"/>
  <c r="Q130" i="1"/>
  <c r="P130" i="1"/>
  <c r="O130" i="1"/>
  <c r="N130" i="1"/>
  <c r="M130" i="1"/>
  <c r="L130" i="1"/>
  <c r="AA129" i="1"/>
  <c r="Z129" i="1"/>
  <c r="Y129" i="1"/>
  <c r="X129" i="1"/>
  <c r="W129" i="1"/>
  <c r="V129" i="1"/>
  <c r="U129" i="1"/>
  <c r="T129" i="1"/>
  <c r="S129" i="1"/>
  <c r="R129" i="1"/>
  <c r="Q129" i="1"/>
  <c r="P129" i="1"/>
  <c r="O129" i="1"/>
  <c r="N129" i="1"/>
  <c r="M129" i="1"/>
  <c r="L129" i="1"/>
  <c r="J35" i="1"/>
  <c r="AA98" i="1"/>
  <c r="Y20" i="1" s="1"/>
  <c r="Z98" i="1"/>
  <c r="X20" i="1" s="1"/>
  <c r="Y98" i="1"/>
  <c r="W20" i="1" s="1"/>
  <c r="X98" i="1"/>
  <c r="V20" i="1" s="1"/>
  <c r="W98" i="1"/>
  <c r="U20" i="1" s="1"/>
  <c r="V98" i="1"/>
  <c r="T20" i="1" s="1"/>
  <c r="U98" i="1"/>
  <c r="S20" i="1" s="1"/>
  <c r="T98" i="1"/>
  <c r="R20" i="1" s="1"/>
  <c r="S98" i="1"/>
  <c r="Q20" i="1" s="1"/>
  <c r="R98" i="1"/>
  <c r="P20" i="1" s="1"/>
  <c r="Q98" i="1"/>
  <c r="O20" i="1" s="1"/>
  <c r="P98" i="1"/>
  <c r="N20" i="1" s="1"/>
  <c r="O98" i="1"/>
  <c r="M20" i="1" s="1"/>
  <c r="N98" i="1"/>
  <c r="L20" i="1" s="1"/>
  <c r="M98" i="1"/>
  <c r="K20" i="1" s="1"/>
  <c r="L98" i="1"/>
  <c r="J20" i="1" s="1"/>
  <c r="J24" i="1" l="1"/>
  <c r="J23" i="1"/>
  <c r="Y24" i="1"/>
  <c r="Y23" i="1"/>
  <c r="X24" i="1"/>
  <c r="X23" i="1"/>
  <c r="W24" i="1"/>
  <c r="W23" i="1"/>
  <c r="V24" i="1"/>
  <c r="V23" i="1"/>
  <c r="U24" i="1"/>
  <c r="U23" i="1"/>
  <c r="T24" i="1"/>
  <c r="T23" i="1"/>
  <c r="S24" i="1"/>
  <c r="S23" i="1"/>
  <c r="R24" i="1"/>
  <c r="R23" i="1"/>
  <c r="Q24" i="1"/>
  <c r="Q23" i="1"/>
  <c r="P24" i="1"/>
  <c r="P23" i="1"/>
  <c r="O24" i="1"/>
  <c r="O23" i="1"/>
  <c r="N24" i="1"/>
  <c r="N23" i="1"/>
  <c r="M24" i="1"/>
  <c r="M23" i="1"/>
  <c r="L24" i="1"/>
  <c r="L23" i="1"/>
  <c r="K24" i="1"/>
  <c r="K23" i="1"/>
  <c r="Y19" i="1"/>
  <c r="Y18" i="1"/>
  <c r="X19" i="1"/>
  <c r="X18" i="1"/>
  <c r="W19" i="1"/>
  <c r="W18" i="1"/>
  <c r="V19" i="1"/>
  <c r="V18" i="1"/>
  <c r="U19" i="1"/>
  <c r="U18" i="1"/>
  <c r="T19" i="1"/>
  <c r="T18" i="1"/>
  <c r="S19" i="1"/>
  <c r="S18" i="1"/>
  <c r="R19" i="1"/>
  <c r="R18" i="1"/>
  <c r="Q19" i="1"/>
  <c r="Q18" i="1"/>
  <c r="P19" i="1"/>
  <c r="P18" i="1"/>
  <c r="O19" i="1"/>
  <c r="O18" i="1"/>
  <c r="N19" i="1"/>
  <c r="N18" i="1"/>
  <c r="M19" i="1"/>
  <c r="M18" i="1"/>
  <c r="L19" i="1"/>
  <c r="L18" i="1"/>
  <c r="K19" i="1"/>
  <c r="K18" i="1"/>
  <c r="Y33" i="1"/>
  <c r="X33" i="1"/>
  <c r="V33" i="1"/>
  <c r="W33" i="1"/>
  <c r="S34" i="1"/>
  <c r="T34" i="1"/>
  <c r="U33" i="1"/>
  <c r="U28" i="1"/>
  <c r="S28" i="1"/>
  <c r="T28" i="1"/>
  <c r="K29" i="1"/>
  <c r="L29" i="1"/>
  <c r="M29" i="1"/>
  <c r="Y28" i="1"/>
  <c r="R33" i="1"/>
  <c r="V28" i="1"/>
  <c r="W28" i="1"/>
  <c r="X28" i="1"/>
  <c r="J29" i="1"/>
  <c r="K34" i="1"/>
  <c r="L34" i="1"/>
  <c r="M34" i="1"/>
  <c r="N29" i="1"/>
  <c r="N34" i="1"/>
  <c r="O29" i="1"/>
  <c r="O34" i="1"/>
  <c r="P29" i="1"/>
  <c r="P34" i="1"/>
  <c r="Q29" i="1"/>
  <c r="Q34" i="1"/>
  <c r="R29" i="1"/>
  <c r="I33" i="1" l="1"/>
  <c r="I28" i="1"/>
  <c r="I23" i="1"/>
  <c r="A3" i="18" l="1"/>
  <c r="D13" i="7" l="1"/>
  <c r="B6" i="18"/>
  <c r="H6" i="18" s="1"/>
  <c r="K6" i="18" s="1"/>
  <c r="D15" i="7"/>
  <c r="B8" i="18"/>
  <c r="H8" i="18" s="1"/>
  <c r="K8" i="18" s="1"/>
  <c r="D14" i="7"/>
  <c r="B7" i="18"/>
  <c r="H7" i="18" s="1"/>
  <c r="K7" i="18" s="1"/>
  <c r="D11" i="7"/>
  <c r="F11" i="7" s="1"/>
  <c r="G11" i="7" s="1"/>
  <c r="B4" i="18"/>
  <c r="H4" i="18" s="1"/>
  <c r="K4" i="18" s="1"/>
  <c r="D12" i="7"/>
  <c r="F12" i="7" s="1"/>
  <c r="G12" i="7" s="1"/>
  <c r="B5" i="18"/>
  <c r="H5" i="18" s="1"/>
  <c r="K5" i="18" s="1"/>
  <c r="F14" i="7"/>
  <c r="G14" i="7" s="1"/>
  <c r="F17" i="7"/>
  <c r="G17" i="7" s="1"/>
  <c r="H10" i="18"/>
  <c r="K10" i="18" s="1"/>
  <c r="F15" i="7"/>
  <c r="G15" i="7" s="1"/>
  <c r="F13" i="7"/>
  <c r="G13" i="7" s="1"/>
  <c r="D10" i="7"/>
  <c r="F10" i="7" s="1"/>
  <c r="B3" i="18"/>
  <c r="H3" i="18" s="1"/>
  <c r="K3" i="18" s="1"/>
  <c r="C11" i="9"/>
  <c r="G10" i="7" l="1"/>
  <c r="G11" i="9"/>
  <c r="C13" i="9"/>
  <c r="G13" i="9" s="1"/>
  <c r="G17" i="9" s="1"/>
  <c r="B3" i="9" s="1"/>
  <c r="C15" i="9"/>
  <c r="G15" i="9" s="1"/>
  <c r="G16" i="9" l="1"/>
  <c r="A3" i="9" s="1"/>
  <c r="C3" i="9" s="1"/>
  <c r="D28" i="7" l="1"/>
  <c r="F28" i="7" s="1"/>
  <c r="G28" i="7" s="1"/>
  <c r="B21" i="18"/>
  <c r="K21" i="18" s="1"/>
  <c r="D26" i="7"/>
  <c r="F26" i="7" s="1"/>
  <c r="G26" i="7" s="1"/>
  <c r="B19" i="18"/>
  <c r="H19" i="18" s="1"/>
  <c r="K19" i="18" s="1"/>
  <c r="D24" i="7"/>
  <c r="F24" i="7" s="1"/>
  <c r="G24" i="7" s="1"/>
  <c r="B17" i="18"/>
  <c r="K17" i="18" s="1"/>
  <c r="D19" i="7"/>
  <c r="F19" i="7" s="1"/>
  <c r="G19" i="7" s="1"/>
  <c r="B12" i="18"/>
  <c r="K12" i="18" s="1"/>
  <c r="D29" i="7"/>
  <c r="F29" i="7" s="1"/>
  <c r="G29" i="7" s="1"/>
  <c r="B22" i="18"/>
  <c r="K22" i="18" s="1"/>
  <c r="D25" i="7"/>
  <c r="F25" i="7" s="1"/>
  <c r="G25" i="7" s="1"/>
  <c r="B18" i="18"/>
  <c r="K18" i="18" s="1"/>
  <c r="D23" i="7"/>
  <c r="F23" i="7" s="1"/>
  <c r="G23" i="7" s="1"/>
  <c r="B16" i="18"/>
  <c r="K16" i="18" s="1"/>
  <c r="D18" i="7"/>
  <c r="F18" i="7" s="1"/>
  <c r="G18" i="7" s="1"/>
  <c r="B11" i="18"/>
  <c r="K11" i="18" s="1"/>
  <c r="D22" i="7"/>
  <c r="F22" i="7" s="1"/>
  <c r="G22" i="7" s="1"/>
  <c r="B15" i="18"/>
  <c r="K15" i="18" s="1"/>
  <c r="D16" i="7"/>
  <c r="F16" i="7" s="1"/>
  <c r="B9" i="18"/>
  <c r="H9" i="18" s="1"/>
  <c r="K9" i="18" s="1"/>
  <c r="D27" i="7"/>
  <c r="F27" i="7" s="1"/>
  <c r="G27" i="7" s="1"/>
  <c r="B20" i="18"/>
  <c r="H20" i="18" s="1"/>
  <c r="K20" i="18" s="1"/>
  <c r="D21" i="7"/>
  <c r="F21" i="7" s="1"/>
  <c r="G21" i="7" s="1"/>
  <c r="B14" i="18"/>
  <c r="K14" i="18" s="1"/>
  <c r="D20" i="7"/>
  <c r="F20" i="7" s="1"/>
  <c r="G20" i="7" s="1"/>
  <c r="B13" i="18"/>
  <c r="K13" i="18" s="1"/>
  <c r="G18" i="9"/>
  <c r="F34" i="7"/>
  <c r="G34" i="7" s="1"/>
  <c r="K27" i="18"/>
  <c r="F41" i="7"/>
  <c r="G41" i="7" s="1"/>
  <c r="H34" i="18"/>
  <c r="K34" i="18" s="1"/>
  <c r="F35" i="7"/>
  <c r="G35" i="7" s="1"/>
  <c r="K28" i="18"/>
  <c r="F33" i="7"/>
  <c r="G33" i="7" s="1"/>
  <c r="K26" i="18"/>
  <c r="F32" i="7"/>
  <c r="G32" i="7" s="1"/>
  <c r="K25" i="18"/>
  <c r="G16" i="7" l="1"/>
  <c r="D30" i="7" l="1"/>
  <c r="F30" i="7" s="1"/>
  <c r="G30" i="7" s="1"/>
  <c r="B23" i="18"/>
  <c r="K23" i="18" s="1"/>
  <c r="D31" i="7"/>
  <c r="F31" i="7" s="1"/>
  <c r="G31" i="7" s="1"/>
  <c r="B24" i="18"/>
  <c r="K24" i="18" s="1"/>
  <c r="F37" i="7"/>
  <c r="G37" i="7" s="1"/>
  <c r="K30" i="18"/>
  <c r="F36" i="7"/>
  <c r="G36" i="7" s="1"/>
  <c r="K29" i="18"/>
  <c r="F40" i="7"/>
  <c r="G40" i="7" s="1"/>
  <c r="H33" i="18"/>
  <c r="K33" i="18" s="1"/>
  <c r="F39" i="7"/>
  <c r="K32" i="18"/>
  <c r="F38" i="7"/>
  <c r="B45" i="7" s="1"/>
  <c r="H31" i="18"/>
  <c r="K31" i="18" s="1"/>
  <c r="H5" i="21"/>
  <c r="H6" i="21"/>
  <c r="H7" i="21"/>
  <c r="H8" i="21"/>
  <c r="H9" i="21"/>
  <c r="H10" i="21"/>
  <c r="H11" i="21"/>
  <c r="H12" i="21"/>
  <c r="H13" i="21"/>
  <c r="H14" i="21"/>
  <c r="H15" i="21"/>
  <c r="H16" i="21"/>
  <c r="H17" i="21"/>
  <c r="H18" i="21"/>
  <c r="H19" i="21"/>
  <c r="H4" i="21"/>
  <c r="C45" i="7" l="1"/>
  <c r="C46" i="7" s="1"/>
  <c r="B46" i="7"/>
  <c r="F46" i="7" s="1"/>
  <c r="D3" i="7" s="1"/>
  <c r="D4" i="7" s="1"/>
  <c r="G38" i="7"/>
  <c r="G39" i="7"/>
  <c r="D45" i="7" l="1"/>
  <c r="F45" i="7"/>
  <c r="E45" i="7" l="1"/>
  <c r="G45" i="7" s="1"/>
  <c r="D46" i="7"/>
  <c r="E46" i="7" s="1"/>
  <c r="G46" i="7" l="1"/>
  <c r="E3" i="7" s="1"/>
  <c r="G48" i="7"/>
  <c r="I45" i="7"/>
  <c r="E4" i="7" l="1"/>
  <c r="I48" i="7"/>
</calcChain>
</file>

<file path=xl/sharedStrings.xml><?xml version="1.0" encoding="utf-8"?>
<sst xmlns="http://schemas.openxmlformats.org/spreadsheetml/2006/main" count="1632" uniqueCount="734">
  <si>
    <t>Data Sources</t>
  </si>
  <si>
    <t xml:space="preserve"> </t>
  </si>
  <si>
    <t>Dataset</t>
  </si>
  <si>
    <t>Dodge 2023</t>
  </si>
  <si>
    <t>CBECS 2018</t>
  </si>
  <si>
    <t>ResStock 2023</t>
  </si>
  <si>
    <t>Prototype</t>
  </si>
  <si>
    <r>
      <t>CEC prototype</t>
    </r>
    <r>
      <rPr>
        <sz val="10"/>
        <rFont val="Arial"/>
        <family val="2"/>
      </rPr>
      <t xml:space="preserve"> (CBECC 2022.3.1)</t>
    </r>
  </si>
  <si>
    <t>https://bees.noresco.com/software2022.html</t>
  </si>
  <si>
    <t>PNNL prototype (90.1-2022)</t>
  </si>
  <si>
    <t>https://www.energycodes.gov/prototype-building-models#Commercial</t>
  </si>
  <si>
    <t>Codes</t>
  </si>
  <si>
    <t>Title 24, part 6, referred to as T24 (1986, 1992, 2001, 2007, 2013, 2016, 2019, 2022, 2025)</t>
  </si>
  <si>
    <t>ASHRAE 90.1 (2022)</t>
  </si>
  <si>
    <t>CFR Title 10 (2009)</t>
  </si>
  <si>
    <t>https://www.govinfo.gov/content/pkg/FR-2009-03-23/pdf/FR-2009-03-23.pdf</t>
  </si>
  <si>
    <t>CFR Title 10 ( 2013)</t>
  </si>
  <si>
    <t>https://www.govinfo.gov/content/pkg/CFR-2013-title10-vol3/pdf/CFR-2013-title10-vol3-part431.pdf</t>
  </si>
  <si>
    <t>CFR Title 10 ( 2024)</t>
  </si>
  <si>
    <t>https://www.govinfo.gov/content/pkg/CFR-2024-title10-vol3/pdf/CFR-2024-title10-vol3-part431-subpartF.pdf</t>
  </si>
  <si>
    <t>Others</t>
  </si>
  <si>
    <t>ACM (2013, 2019, 2022, 2025)</t>
  </si>
  <si>
    <t>Title 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</si>
  <si>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</si>
  <si>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</si>
  <si>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</si>
  <si>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</si>
  <si>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</si>
  <si>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2010</t>
  </si>
  <si>
    <t>https://www.pnnl.gov/main/publications/external/technical_reports/PNNL-20405.pdf</t>
  </si>
  <si>
    <t>Construction Rate</t>
  </si>
  <si>
    <t>Notes</t>
  </si>
  <si>
    <t>ApartmentHighRise</t>
  </si>
  <si>
    <t>Characteristic</t>
  </si>
  <si>
    <t>Value</t>
  </si>
  <si>
    <t>Building Type</t>
  </si>
  <si>
    <t>High-Rise Apartment</t>
  </si>
  <si>
    <t>Building Category</t>
  </si>
  <si>
    <t>Nonresidential</t>
  </si>
  <si>
    <t>Vintages</t>
  </si>
  <si>
    <t>4 Vintages: Pre-1978 , 1978-1997 ,1998-2007 , 2008-2018
New Construction (2019+)</t>
  </si>
  <si>
    <t xml:space="preserve">Based on the vintage bin analysis
</t>
  </si>
  <si>
    <t>NonRes-Vintage bins-Draft Report-30Nov2023-Final.docx</t>
  </si>
  <si>
    <t>Shape</t>
  </si>
  <si>
    <t>CEC Prototype model
TRC Multifamily Prototypes study (2019)</t>
  </si>
  <si>
    <t>Total Floor Area (ft2)</t>
  </si>
  <si>
    <t>Aspect Ratio</t>
  </si>
  <si>
    <t>Number of Floors</t>
  </si>
  <si>
    <t>10 above-ground floors plus two underground parking garage  (190 ft x 66 ft)</t>
  </si>
  <si>
    <t>Roof type</t>
  </si>
  <si>
    <t>Flat roof</t>
  </si>
  <si>
    <t>WWR (above grade)</t>
  </si>
  <si>
    <t>South: 37.0%, East: 37.0%, North: 37.0%, West: 37.0%
Total 37.0%</t>
  </si>
  <si>
    <t>Window dimensions</t>
  </si>
  <si>
    <t>5 * 3</t>
  </si>
  <si>
    <t>Shading Geometry</t>
  </si>
  <si>
    <t>-</t>
  </si>
  <si>
    <t>Floor to floor height (feet)</t>
  </si>
  <si>
    <t>Residential: 10
Non-residential: 10
Parking: 15</t>
  </si>
  <si>
    <t>Floor to ceiling height (feet)</t>
  </si>
  <si>
    <r>
      <rPr>
        <sz val="10"/>
        <rFont val="Arial"/>
        <family val="2"/>
      </rPr>
      <t>Residential: 9</t>
    </r>
    <r>
      <rPr>
        <sz val="10"/>
        <color theme="1"/>
        <rFont val="Arial"/>
        <family val="2"/>
      </rPr>
      <t xml:space="preserve">
Non-residential: 10
Parking: 14</t>
    </r>
  </si>
  <si>
    <t>Glazing sill height (feet)</t>
  </si>
  <si>
    <t>3.1 ft (in first floor), 3.0 ft. (in upper floors)</t>
  </si>
  <si>
    <t>Above grade wall area (ft²)</t>
  </si>
  <si>
    <t>Gross wall area  (ft²)</t>
  </si>
  <si>
    <t>Roof area  (ft²)</t>
  </si>
  <si>
    <t>Underground Gross Wall Area  (ft²)</t>
  </si>
  <si>
    <t>Space Type</t>
  </si>
  <si>
    <t>Space/Thermal Zone</t>
  </si>
  <si>
    <t>Res/NR</t>
  </si>
  <si>
    <t>Schedule Category</t>
  </si>
  <si>
    <t>No. of Dwelling Units</t>
  </si>
  <si>
    <t>Dwelling Unit Type</t>
  </si>
  <si>
    <t>HVAC System Name (HVAC Zone)</t>
  </si>
  <si>
    <t>Conditioned [Y/N]</t>
  </si>
  <si>
    <t>Area Fraction</t>
  </si>
  <si>
    <t>Area (ft²)</t>
  </si>
  <si>
    <t>Volume
 [ft³]</t>
  </si>
  <si>
    <t>Multipliers</t>
  </si>
  <si>
    <t xml:space="preserve">People </t>
  </si>
  <si>
    <t xml:space="preserve">People 
(Persons/1,000 ft²)
[T24, 2025,Table 120.1-A] </t>
  </si>
  <si>
    <t>Convention, Conference, Multipurpose and Meeting Area</t>
  </si>
  <si>
    <t>F1 BUSINESS CENTER</t>
  </si>
  <si>
    <t>NR</t>
  </si>
  <si>
    <t>ResidentialCommon</t>
  </si>
  <si>
    <t>NA</t>
  </si>
  <si>
    <t>AHU1</t>
  </si>
  <si>
    <t>Y</t>
  </si>
  <si>
    <t>Spaces and Zoning layout</t>
  </si>
  <si>
    <t>Exercise/Fitness Center and Gymnasium Areas</t>
  </si>
  <si>
    <t>F1 FITNESS CENTER</t>
  </si>
  <si>
    <t>AHU2</t>
  </si>
  <si>
    <t>Office Area (&gt;250 square feet)</t>
  </si>
  <si>
    <t>F1 LEASING OFFICE</t>
  </si>
  <si>
    <t>AHU3</t>
  </si>
  <si>
    <t>Lobby, Main Entry</t>
  </si>
  <si>
    <t>F1 LOUNGE</t>
  </si>
  <si>
    <t>AHU4</t>
  </si>
  <si>
    <t>Retail Space</t>
  </si>
  <si>
    <t>F1 RETAIL E CORE</t>
  </si>
  <si>
    <t>Retail</t>
  </si>
  <si>
    <t>AHU5</t>
  </si>
  <si>
    <t>F1 RETAIL E OUTER</t>
  </si>
  <si>
    <t>AHU6</t>
  </si>
  <si>
    <t>F1 RETAIL W CORE</t>
  </si>
  <si>
    <t>AHU7</t>
  </si>
  <si>
    <t>F1 RETAIL W OUTER</t>
  </si>
  <si>
    <t>AHU8</t>
  </si>
  <si>
    <t>High-Rise Residential Living Spaces</t>
  </si>
  <si>
    <t>F10 1-BED N</t>
  </si>
  <si>
    <t>Res</t>
  </si>
  <si>
    <t>Residential</t>
  </si>
  <si>
    <t xml:space="preserve"> 1-Bed Type</t>
  </si>
  <si>
    <t>AHU9</t>
  </si>
  <si>
    <t>F10 1-BED SE</t>
  </si>
  <si>
    <t>AHU10</t>
  </si>
  <si>
    <t>F10 1-BED SW</t>
  </si>
  <si>
    <t>AHU11</t>
  </si>
  <si>
    <t>F10 2-BED N CORE</t>
  </si>
  <si>
    <t xml:space="preserve"> 2-Bed Type</t>
  </si>
  <si>
    <t>AHU12</t>
  </si>
  <si>
    <t>N</t>
  </si>
  <si>
    <t>F10 2-BED NE</t>
  </si>
  <si>
    <t>AHU13</t>
  </si>
  <si>
    <t>F10 2-BED NW</t>
  </si>
  <si>
    <t>AHU14</t>
  </si>
  <si>
    <t>F10 2-BED SE</t>
  </si>
  <si>
    <t>AHU15</t>
  </si>
  <si>
    <t>F10 2-BED SW</t>
  </si>
  <si>
    <t>AHU16</t>
  </si>
  <si>
    <t>Corridor Area</t>
  </si>
  <si>
    <t>F10 CORRIDOR</t>
  </si>
  <si>
    <t>AHU17</t>
  </si>
  <si>
    <t xml:space="preserve">Laundry Area </t>
  </si>
  <si>
    <t>F10 LAUNDRY</t>
  </si>
  <si>
    <t>AHU18</t>
  </si>
  <si>
    <t>F10 STUDIO N</t>
  </si>
  <si>
    <t>Studio Type</t>
  </si>
  <si>
    <t>AHU19</t>
  </si>
  <si>
    <t>F2-9 1-BED N</t>
  </si>
  <si>
    <t>1-Bed Type</t>
  </si>
  <si>
    <t>AHU20</t>
  </si>
  <si>
    <t>F2-9 1-BED SE</t>
  </si>
  <si>
    <t>AHU21</t>
  </si>
  <si>
    <t>F2-9 1-BED SW</t>
  </si>
  <si>
    <t>2-Bed Type</t>
  </si>
  <si>
    <t>AHU22</t>
  </si>
  <si>
    <t>F2-9 2-BED N CORE</t>
  </si>
  <si>
    <t>AHU23</t>
  </si>
  <si>
    <t>F2-9 2-BED NE</t>
  </si>
  <si>
    <t>AHU24</t>
  </si>
  <si>
    <t>F2-9 2-BED NW</t>
  </si>
  <si>
    <t>AHU25</t>
  </si>
  <si>
    <t>F2-9 2-BED SE</t>
  </si>
  <si>
    <t>AHU26</t>
  </si>
  <si>
    <t>F2-9 2-BED SW</t>
  </si>
  <si>
    <t>AHU27</t>
  </si>
  <si>
    <t xml:space="preserve"> Corridor Area</t>
  </si>
  <si>
    <t>F2-9 CORRIDOR</t>
  </si>
  <si>
    <t>AHU28</t>
  </si>
  <si>
    <t xml:space="preserve"> Lounge, Breakroom, or Waiting Area</t>
  </si>
  <si>
    <t>F2-9 LAUNDRY</t>
  </si>
  <si>
    <t>AHU29</t>
  </si>
  <si>
    <t>F2-9 STUDIO N</t>
  </si>
  <si>
    <t>AHU30</t>
  </si>
  <si>
    <t>Parking Garage Area (Parking Zone and Ramps)</t>
  </si>
  <si>
    <t>L1 PARKING GARAGE</t>
  </si>
  <si>
    <t>none</t>
  </si>
  <si>
    <t>L2 PARKING GARAGE</t>
  </si>
  <si>
    <t>Total (11 Space Types)</t>
  </si>
  <si>
    <t>Total (32 Spaces)</t>
  </si>
  <si>
    <t>Total (83 Dwelling Units)</t>
  </si>
  <si>
    <t>Total (4 Dwelling Unit Types)</t>
  </si>
  <si>
    <t>Total (112 Thermal Zones)</t>
  </si>
  <si>
    <t xml:space="preserve"> Total (30 Conditioned Zones, 1 Unconditioned Zones)</t>
  </si>
  <si>
    <t>Background Data [To be deleted prior to publication]</t>
  </si>
  <si>
    <t>Zone Summary</t>
  </si>
  <si>
    <t>Area [ft2]</t>
  </si>
  <si>
    <t>Conditioned (Y/N)</t>
  </si>
  <si>
    <t>Part of Total Floor Area (Y/N)</t>
  </si>
  <si>
    <t>Volume [ft3]</t>
  </si>
  <si>
    <t>Above Ground Gross Wall Area [ft2]</t>
  </si>
  <si>
    <t>Underground Gross Wall Area [ft2]</t>
  </si>
  <si>
    <t>Window Glass Area [ft2]</t>
  </si>
  <si>
    <t>Opening Area [ft2]</t>
  </si>
  <si>
    <t>Lighting [Btu/h-ft2]</t>
  </si>
  <si>
    <t>People [ft2 per person]</t>
  </si>
  <si>
    <t>THERMAL ZONE: F1 BUSINESS CENTER</t>
  </si>
  <si>
    <t>Yes</t>
  </si>
  <si>
    <t>Plug and Process [Btu/h-ft2]</t>
  </si>
  <si>
    <t>THERMAL ZONE: F1 FITNESS CENTER</t>
  </si>
  <si>
    <t>THERMAL ZONE: F1 LEASING OFFICE</t>
  </si>
  <si>
    <t>THERMAL ZONE: F1 LOUNGE</t>
  </si>
  <si>
    <t>THERMAL ZONE: F1 RETAIL E CORE</t>
  </si>
  <si>
    <t>No</t>
  </si>
  <si>
    <t>THERMAL ZONE: F1 RETAIL E OUTER</t>
  </si>
  <si>
    <t>THERMAL ZONE: F1 RETAIL W CORE</t>
  </si>
  <si>
    <t>THERMAL ZONE: F1 RETAIL W OUTER</t>
  </si>
  <si>
    <t>THERMAL ZONE: F10 1-BED N</t>
  </si>
  <si>
    <t>THERMAL ZONE: F10 1-BED SE</t>
  </si>
  <si>
    <t>THERMAL ZONE: F10 1-BED SW</t>
  </si>
  <si>
    <t>THERMAL ZONE: F10 2-BED N CORE</t>
  </si>
  <si>
    <t>THERMAL ZONE: F10 2-BED NE</t>
  </si>
  <si>
    <t>THERMAL ZONE: F10 2-BED NW</t>
  </si>
  <si>
    <t>THERMAL ZONE: F10 2-BED SE</t>
  </si>
  <si>
    <t>THERMAL ZONE: F10 2-BED SW</t>
  </si>
  <si>
    <t>THERMAL ZONE: F10 CORRIDOR</t>
  </si>
  <si>
    <t>THERMAL ZONE: F10 LAUNDRY</t>
  </si>
  <si>
    <t>THERMAL ZONE: F10 STUDIO N</t>
  </si>
  <si>
    <t>THERMAL ZONE: F2-9 1-BED N</t>
  </si>
  <si>
    <t>THERMAL ZONE: F2-9 1-BED SE</t>
  </si>
  <si>
    <t>THERMAL ZONE: F2-9 1-BED SW</t>
  </si>
  <si>
    <t>THERMAL ZONE: F2-9 2-BED N CORE</t>
  </si>
  <si>
    <t>THERMAL ZONE: F2-9 2-BED NE</t>
  </si>
  <si>
    <t>THERMAL ZONE: F2-9 2-BED NW</t>
  </si>
  <si>
    <t>THERMAL ZONE: F2-9 2-BED SE</t>
  </si>
  <si>
    <t>THERMAL ZONE: F2-9 2-BED SW</t>
  </si>
  <si>
    <t>THERMAL ZONE: F2-9 CORRIDOR</t>
  </si>
  <si>
    <t>THERMAL ZONE: F2-9 LAUNDRY</t>
  </si>
  <si>
    <t>THERMAL ZONE: F2-9 STUDIO N</t>
  </si>
  <si>
    <t>THERMAL ZONE: L1 PARKING GARAGE</t>
  </si>
  <si>
    <t>THERMAL ZONE: L2 PARKING GARAGE</t>
  </si>
  <si>
    <t>Total</t>
  </si>
  <si>
    <t>Conditioned Total</t>
  </si>
  <si>
    <t>Unconditioned Total</t>
  </si>
  <si>
    <t>Not Part of Total</t>
  </si>
  <si>
    <t>ResOtherZn:</t>
  </si>
  <si>
    <t xml:space="preserve">F1 Business Center </t>
  </si>
  <si>
    <t xml:space="preserve"> Area</t>
  </si>
  <si>
    <t xml:space="preserve"> ozHVACSystem: F1 Business Cent AirSys </t>
  </si>
  <si>
    <t xml:space="preserve"> SpcFunc</t>
  </si>
  <si>
    <t xml:space="preserve"> Conference, Multipurpose and Meeting Area</t>
  </si>
  <si>
    <t xml:space="preserve">F1 Corridor </t>
  </si>
  <si>
    <t xml:space="preserve"> ozHVACSystem: F1 Corridor AirSys </t>
  </si>
  <si>
    <t xml:space="preserve">F1 Fitness Center </t>
  </si>
  <si>
    <t xml:space="preserve"> ozHVACSystem: F1 Fitness Cente AirSys </t>
  </si>
  <si>
    <t xml:space="preserve"> Exercise/Fitness Center and Gymnasium Areas</t>
  </si>
  <si>
    <t xml:space="preserve">F1 Leasing Office </t>
  </si>
  <si>
    <t xml:space="preserve"> ozHVACSystem: F1 Leasing Offic AirSys </t>
  </si>
  <si>
    <t xml:space="preserve"> Office Area (&lt;250 square feet)</t>
  </si>
  <si>
    <t xml:space="preserve">F1 Lobby </t>
  </si>
  <si>
    <t xml:space="preserve"> ozHVACSystem: F1 Lobby AirSys </t>
  </si>
  <si>
    <t xml:space="preserve"> Lobby, Main Entry</t>
  </si>
  <si>
    <t xml:space="preserve">F1 Stairs </t>
  </si>
  <si>
    <t xml:space="preserve"> ozHVACSystem: F1 Stairs AirSys </t>
  </si>
  <si>
    <t xml:space="preserve"> Stairwell</t>
  </si>
  <si>
    <t xml:space="preserve">F2 Corridor </t>
  </si>
  <si>
    <t xml:space="preserve"> ozHVACSystem: F2 Corridor AirSys </t>
  </si>
  <si>
    <t xml:space="preserve">F2 Break Room </t>
  </si>
  <si>
    <t xml:space="preserve"> ozHVACSystem: F2 Break Room AirSys </t>
  </si>
  <si>
    <t xml:space="preserve">F2 Stairs </t>
  </si>
  <si>
    <t xml:space="preserve"> ozHVACSystem: F2 Stairs AirSys </t>
  </si>
  <si>
    <t xml:space="preserve">F3 Corridor </t>
  </si>
  <si>
    <t xml:space="preserve"> ozHVACSystem: F3 Corridor AirSys </t>
  </si>
  <si>
    <t xml:space="preserve">F3 Break Room </t>
  </si>
  <si>
    <t xml:space="preserve"> ozHVACSystem: F3 Break Room AirSys </t>
  </si>
  <si>
    <t xml:space="preserve">F3 Stairs </t>
  </si>
  <si>
    <t xml:space="preserve"> ozHVACSystem: F3 Stairs AirSys </t>
  </si>
  <si>
    <t xml:space="preserve">F4 Corridor </t>
  </si>
  <si>
    <t xml:space="preserve"> ozHVACSystem: F4 Corridor AirSys </t>
  </si>
  <si>
    <t xml:space="preserve">F4 Break Room </t>
  </si>
  <si>
    <t xml:space="preserve"> ozHVACSystem: F4 Break Room AirSys </t>
  </si>
  <si>
    <t xml:space="preserve">F4 Stairs </t>
  </si>
  <si>
    <t xml:space="preserve"> ozHVACSystem: F4 Stairs AirSys </t>
  </si>
  <si>
    <t xml:space="preserve">F5 Corridor </t>
  </si>
  <si>
    <t xml:space="preserve"> ozHVACSystem: F5 Corridor AirSys </t>
  </si>
  <si>
    <t xml:space="preserve">F5 Break Room </t>
  </si>
  <si>
    <t xml:space="preserve"> ozHVACSystem: F5 Break Room AirSys </t>
  </si>
  <si>
    <t xml:space="preserve">F5 Stairs </t>
  </si>
  <si>
    <t xml:space="preserve"> ozHVACSystem: F5 Stairs AirSys </t>
  </si>
  <si>
    <t xml:space="preserve">F6 Corridor </t>
  </si>
  <si>
    <t xml:space="preserve"> ozHVACSystem: F6 Corridor AirSys </t>
  </si>
  <si>
    <t xml:space="preserve">F6 Break Room </t>
  </si>
  <si>
    <t xml:space="preserve"> ozHVACSystem: F6 Break Room AirSys </t>
  </si>
  <si>
    <t xml:space="preserve">F6 Stairs </t>
  </si>
  <si>
    <t xml:space="preserve"> ozHVACSystem: F6 Stairs AirSys </t>
  </si>
  <si>
    <t xml:space="preserve">F7 Corridor </t>
  </si>
  <si>
    <t xml:space="preserve"> ozHVACSystem: F7 Corridor AirSys </t>
  </si>
  <si>
    <t xml:space="preserve">F7 Break Room </t>
  </si>
  <si>
    <t xml:space="preserve"> ozHVACSystem: F7 Break Room AirSys </t>
  </si>
  <si>
    <t xml:space="preserve">F7 Stairs </t>
  </si>
  <si>
    <t xml:space="preserve"> ozHVACSystem: F7 Stairs AirSys </t>
  </si>
  <si>
    <t xml:space="preserve">F8 Corridor </t>
  </si>
  <si>
    <t xml:space="preserve"> ozHVACSystem: F8 Corridor AirSys </t>
  </si>
  <si>
    <t xml:space="preserve">F8 Break Room </t>
  </si>
  <si>
    <t xml:space="preserve"> ozHVACSystem: F8 Break Room AirSys </t>
  </si>
  <si>
    <t xml:space="preserve">F8 Stairs </t>
  </si>
  <si>
    <t xml:space="preserve"> ozHVACSystem: F8 Stairs AirSys </t>
  </si>
  <si>
    <t xml:space="preserve">F9 Corridor </t>
  </si>
  <si>
    <t xml:space="preserve"> ozHVACSystem: F9 Corridor AirSys </t>
  </si>
  <si>
    <t xml:space="preserve">F9 Break Room </t>
  </si>
  <si>
    <t xml:space="preserve"> ozHVACSystem: F9 Break Room AirSys </t>
  </si>
  <si>
    <t xml:space="preserve">F9 Stairs </t>
  </si>
  <si>
    <t xml:space="preserve"> ozHVACSystem: F9 Stairs AirSys </t>
  </si>
  <si>
    <t xml:space="preserve">F10 Corridor </t>
  </si>
  <si>
    <t xml:space="preserve"> ozHVACSystem: F10 Corridor AirSys </t>
  </si>
  <si>
    <t xml:space="preserve">F10 Break Room </t>
  </si>
  <si>
    <t xml:space="preserve"> ozHVACSystem: F10 Break Room AirSys </t>
  </si>
  <si>
    <t xml:space="preserve">F10 Stairs </t>
  </si>
  <si>
    <t xml:space="preserve"> ozHVACSystem: F10 Stairs AirSys </t>
  </si>
  <si>
    <t xml:space="preserve">UG Garage </t>
  </si>
  <si>
    <t xml:space="preserve"> ozHVACSystem: Not Found </t>
  </si>
  <si>
    <t xml:space="preserve"> Parking Garage Area (Parking Zone and Ramps)</t>
  </si>
  <si>
    <t>Spc:</t>
  </si>
  <si>
    <t xml:space="preserve">F1 Retail E Core </t>
  </si>
  <si>
    <t xml:space="preserve"> SpcFuncDefaultsRef: Retail</t>
  </si>
  <si>
    <t xml:space="preserve">F1 Retail E Inner </t>
  </si>
  <si>
    <t xml:space="preserve">F1 Retail E Outer </t>
  </si>
  <si>
    <t xml:space="preserve">F1 Retail W Core </t>
  </si>
  <si>
    <t xml:space="preserve">F1 Retail W Inner </t>
  </si>
  <si>
    <t xml:space="preserve">F1 Retail W Outer </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</si>
  <si>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</si>
  <si>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</si>
  <si>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</si>
  <si>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</si>
  <si>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</si>
  <si>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</si>
  <si>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</si>
  <si>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</si>
  <si>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</si>
  <si>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</si>
  <si>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</si>
  <si>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</si>
  <si>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</si>
  <si>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</si>
  <si>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</si>
  <si>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</si>
  <si>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</si>
  <si>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</si>
  <si>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</si>
  <si>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</si>
  <si>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</si>
  <si>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</si>
  <si>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</si>
  <si>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External Wall_Podium (F1)</t>
  </si>
  <si>
    <t>ExtWall_MassLight_Nonres</t>
  </si>
  <si>
    <t>8-in cast-in-place concrete wall + insulation + air/water barrier +  exterior cladding + gypsum board</t>
  </si>
  <si>
    <t>U-factor IP</t>
  </si>
  <si>
    <t>Pre 1978</t>
  </si>
  <si>
    <t>N/A</t>
  </si>
  <si>
    <t>1978-1997</t>
  </si>
  <si>
    <t>1998-2007</t>
  </si>
  <si>
    <t>TABLE 1-I</t>
  </si>
  <si>
    <t>2008-2018</t>
  </si>
  <si>
    <t>TABLE 140.3-C</t>
  </si>
  <si>
    <t>2019+</t>
  </si>
  <si>
    <t xml:space="preserve">External Wall </t>
  </si>
  <si>
    <t>ExtWall_MetalFramed_Res</t>
  </si>
  <si>
    <t>Steel-frame walls + insulation + Gypsum board</t>
  </si>
  <si>
    <t>ASHRAE 90.1 Table A3.4.3.1, 3.5", R-0</t>
  </si>
  <si>
    <t>Title 24 1984 Table 2-53 BB, wall density less than 25</t>
  </si>
  <si>
    <t>TABLE 140.3-B</t>
  </si>
  <si>
    <t xml:space="preserve">TABLE 170.2-A ENVELOPE COMPONENT PACKAGE – Multifamily Standard Building Design 
Assuming  - &gt;1hr fire rating </t>
  </si>
  <si>
    <t>Roof</t>
  </si>
  <si>
    <t>FlatRoof_WoodFramedAndOther_Res</t>
  </si>
  <si>
    <t>Roof membrane or shingles + roof insulation + wood decking/sheathing + wood framing</t>
  </si>
  <si>
    <t>Considering 30 years for roof/ insulation replacement.</t>
  </si>
  <si>
    <t>TABLE 170.2-A ENVELOPE COMPONENT PACKAGE – Multifamily Standard Building Design</t>
  </si>
  <si>
    <t>Windows_ Dwelling Units</t>
  </si>
  <si>
    <t>FixedAndOperableWindow_Res</t>
  </si>
  <si>
    <t xml:space="preserve">CBECS 2018 shows that ~58% of Large Hotels that were built before 2000 are single pane </t>
  </si>
  <si>
    <t>U-factor</t>
  </si>
  <si>
    <t>ASHRAE Handbook of Fundamentals for single pane &amp; T24, 2013  for double pane (58%-42%)</t>
  </si>
  <si>
    <t>Double pane</t>
  </si>
  <si>
    <t xml:space="preserve"> Table 1-I</t>
  </si>
  <si>
    <t xml:space="preserve">Table 140.3-C  </t>
  </si>
  <si>
    <t>TABLE 170.2-A (High rise  residential  in multifamily section)</t>
  </si>
  <si>
    <t>SHGC</t>
  </si>
  <si>
    <t xml:space="preserve"> TABLE 1-I (based on non north with WWR 30-40%)</t>
  </si>
  <si>
    <t xml:space="preserve">Table 140.3-C </t>
  </si>
  <si>
    <t>TABLE 170.2-A (High rise  residential  in multifamily section)
Table 110.6-B: Climate zones 1, 3, 5 and 16</t>
  </si>
  <si>
    <t>Windows_ Nonres (F1)</t>
  </si>
  <si>
    <t>FixedWindow_NonRes</t>
  </si>
  <si>
    <t>Table1-H</t>
  </si>
  <si>
    <t xml:space="preserve">Table 140.3-B </t>
  </si>
  <si>
    <t>Table 140.3-B</t>
  </si>
  <si>
    <t>Table 1-H (based on non north with WWR 30-40% )</t>
  </si>
  <si>
    <t>Table 140.3-B  (100% fixed, 0% operable)</t>
  </si>
  <si>
    <t>* Based on PNNL scorecard assumption.</t>
  </si>
  <si>
    <t>Infiltration</t>
  </si>
  <si>
    <t>Source</t>
  </si>
  <si>
    <t>ACH50</t>
  </si>
  <si>
    <t>DOE reference buildings (pre/post 1980</t>
  </si>
  <si>
    <t>All</t>
  </si>
  <si>
    <t>2025 Nonresidential and Multifamily ACM
§6.6 / §6.6.1</t>
  </si>
  <si>
    <t>Multifamily infiltration is modeled differently compared to other nonresidential models. Specifically, according to 2025 Nonresidentail and Multifamily ACM, infilitration is modeled per ACH 50 metrics.</t>
  </si>
  <si>
    <t>N:\Prj_SUS\2023\S23668 SCE CA Prototypes Development\Technical\NR\0_Input data\Envelope\Prescriptive criteria on Nonres-Title 24-19Jan2025.xlsx</t>
  </si>
  <si>
    <t>N:\Prj_SUS\2023\S23668 SCE CA Prototypes Development\Technical\NR\0_Input data\Infiltration  rate\Infiltration Calculation.xlsx</t>
  </si>
  <si>
    <t xml:space="preserve">Percentage of operable to fix windows </t>
  </si>
  <si>
    <t>Existing stock infiltration assumptions</t>
  </si>
  <si>
    <t>Perimeter</t>
  </si>
  <si>
    <t>ft</t>
  </si>
  <si>
    <t>Area</t>
  </si>
  <si>
    <t>ft2</t>
  </si>
  <si>
    <r>
      <rPr>
        <sz val="11"/>
        <color rgb="FF000000"/>
        <rFont val="Calibri"/>
        <family val="2"/>
      </rPr>
      <t xml:space="preserve">Stories = </t>
    </r>
    <r>
      <rPr>
        <b/>
        <sz val="11"/>
        <color rgb="FF000000"/>
        <rFont val="Calibri"/>
        <family val="2"/>
      </rPr>
      <t>10</t>
    </r>
    <r>
      <rPr>
        <sz val="11"/>
        <color rgb="FF000000"/>
        <rFont val="Calibri"/>
        <family val="2"/>
      </rPr>
      <t xml:space="preserve"> → total height = </t>
    </r>
    <r>
      <rPr>
        <b/>
        <sz val="11"/>
        <color rgb="FF000000"/>
        <rFont val="Calibri"/>
        <family val="2"/>
      </rPr>
      <t>100 ft</t>
    </r>
    <r>
      <rPr>
        <sz val="11"/>
        <color rgb="FF000000"/>
        <rFont val="Calibri"/>
        <family val="2"/>
      </rPr>
      <t xml:space="preserve"> (10 ft/floor)</t>
    </r>
  </si>
  <si>
    <r>
      <rPr>
        <sz val="11"/>
        <color rgb="FF000000"/>
        <rFont val="Calibri"/>
        <family val="2"/>
      </rPr>
      <t xml:space="preserve">Wall area = 452× 100 = </t>
    </r>
    <r>
      <rPr>
        <b/>
        <sz val="11"/>
        <color rgb="FF000000"/>
        <rFont val="Calibri"/>
        <family val="2"/>
      </rPr>
      <t>45,200 ft²</t>
    </r>
    <r>
      <rPr>
        <sz val="11"/>
        <color rgb="FF000000"/>
        <rFont val="Calibri"/>
        <family val="2"/>
      </rPr>
      <t xml:space="preserve"> (= </t>
    </r>
    <r>
      <rPr>
        <b/>
        <sz val="11"/>
        <color rgb="FF000000"/>
        <rFont val="Calibri"/>
        <family val="2"/>
      </rPr>
      <t>4,199.22 m²</t>
    </r>
    <r>
      <rPr>
        <sz val="11"/>
        <color rgb="FF000000"/>
        <rFont val="Calibri"/>
        <family val="2"/>
      </rPr>
      <t>)</t>
    </r>
  </si>
  <si>
    <r>
      <rPr>
        <sz val="11"/>
        <color rgb="FF000000"/>
        <rFont val="Calibri"/>
        <family val="2"/>
      </rPr>
      <t xml:space="preserve">Roof area = </t>
    </r>
    <r>
      <rPr>
        <b/>
        <sz val="11"/>
        <color rgb="FF000000"/>
        <rFont val="Calibri"/>
        <family val="2"/>
      </rPr>
      <t>12,540 ft²</t>
    </r>
    <r>
      <rPr>
        <sz val="11"/>
        <color rgb="FF000000"/>
        <rFont val="Calibri"/>
        <family val="2"/>
      </rPr>
      <t xml:space="preserve"> (= </t>
    </r>
    <r>
      <rPr>
        <b/>
        <sz val="11"/>
        <color rgb="FF000000"/>
        <rFont val="Calibri"/>
        <family val="2"/>
      </rPr>
      <t>1,165.0 m²</t>
    </r>
    <r>
      <rPr>
        <sz val="11"/>
        <color rgb="FF000000"/>
        <rFont val="Calibri"/>
        <family val="2"/>
      </rPr>
      <t>)</t>
    </r>
  </si>
  <si>
    <r>
      <rPr>
        <sz val="11"/>
        <color rgb="FF000000"/>
        <rFont val="Calibri"/>
        <family val="2"/>
      </rPr>
      <t xml:space="preserve">Exterior area (walls + roof) = </t>
    </r>
    <r>
      <rPr>
        <b/>
        <sz val="11"/>
        <color rgb="FF000000"/>
        <rFont val="Calibri"/>
        <family val="2"/>
      </rPr>
      <t>57,740 ft²</t>
    </r>
    <r>
      <rPr>
        <sz val="11"/>
        <color rgb="FF000000"/>
        <rFont val="Calibri"/>
        <family val="2"/>
      </rPr>
      <t xml:space="preserve"> (= </t>
    </r>
    <r>
      <rPr>
        <b/>
        <sz val="11"/>
        <color rgb="FF000000"/>
        <rFont val="Calibri"/>
        <family val="2"/>
      </rPr>
      <t>5,364.22 m²</t>
    </r>
    <r>
      <rPr>
        <sz val="11"/>
        <color rgb="FF000000"/>
        <rFont val="Calibri"/>
        <family val="2"/>
      </rPr>
      <t>)</t>
    </r>
  </si>
  <si>
    <r>
      <rPr>
        <sz val="11"/>
        <color rgb="FF000000"/>
        <rFont val="Calibri"/>
        <family val="2"/>
      </rPr>
      <t xml:space="preserve">Volume: 12,540 × 100 = </t>
    </r>
    <r>
      <rPr>
        <b/>
        <sz val="11"/>
        <color rgb="FF000000"/>
        <rFont val="Calibri"/>
        <family val="2"/>
      </rPr>
      <t>1,254,000 ft³</t>
    </r>
    <r>
      <rPr>
        <sz val="11"/>
        <color rgb="FF000000"/>
        <rFont val="Calibri"/>
        <family val="2"/>
      </rPr>
      <t xml:space="preserve"> (= </t>
    </r>
    <r>
      <rPr>
        <b/>
        <sz val="11"/>
        <color rgb="FF000000"/>
        <rFont val="Calibri"/>
        <family val="2"/>
      </rPr>
      <t>35,509.32 m³</t>
    </r>
    <r>
      <rPr>
        <sz val="11"/>
        <color rgb="FF000000"/>
        <rFont val="Calibri"/>
        <family val="2"/>
      </rPr>
      <t>)</t>
    </r>
  </si>
  <si>
    <r>
      <rPr>
        <sz val="11"/>
        <color rgb="FF000000"/>
        <rFont val="Calibri"/>
        <family val="2"/>
      </rPr>
      <t xml:space="preserve">Q=0.001133×5,364.22=6.078 m3/s (≈ </t>
    </r>
    <r>
      <rPr>
        <b/>
        <sz val="11"/>
        <color rgb="FF000000"/>
        <rFont val="Calibri"/>
        <family val="2"/>
      </rPr>
      <t>12,879 cfm</t>
    </r>
    <r>
      <rPr>
        <sz val="11"/>
        <color rgb="FF000000"/>
        <rFont val="Calibri"/>
        <family val="2"/>
      </rPr>
      <t>)</t>
    </r>
  </si>
  <si>
    <t>Reference: DOE Commercial Reference Building: Flow per Exterior Surface Area {m3/s-m2}</t>
  </si>
  <si>
    <t>ACH (natural/operational)</t>
  </si>
  <si>
    <t>ACH=Q×3600​/V</t>
  </si>
  <si>
    <r>
      <rPr>
        <b/>
        <sz val="12"/>
        <color rgb="FF000000"/>
        <rFont val="Calibri"/>
        <family val="2"/>
      </rPr>
      <t>Walls + roof:</t>
    </r>
    <r>
      <rPr>
        <sz val="11"/>
        <color rgb="FF000000"/>
        <rFont val="Calibri"/>
        <family val="2"/>
      </rPr>
      <t xml:space="preserve"> 0.616 h−1</t>
    </r>
  </si>
  <si>
    <t>ACH₅₀ (at 50 Pa)</t>
  </si>
  <si>
    <t>ACH50​=ACHnat​*(50/4​)^0.65</t>
  </si>
  <si>
    <t>3.18 h−1</t>
  </si>
  <si>
    <t>Windows_Dwelling Units</t>
  </si>
  <si>
    <t>Mid-Rise Apartment</t>
  </si>
  <si>
    <t xml:space="preserve">Fixed Windows </t>
  </si>
  <si>
    <t>U factor</t>
  </si>
  <si>
    <t>TABLE 1-I  (50% north with WWR 20-30% + 50% non north with WWR 30-40% )</t>
  </si>
  <si>
    <t>Windows_ Nonres</t>
  </si>
  <si>
    <t xml:space="preserve">Operable Windows </t>
  </si>
  <si>
    <t xml:space="preserve"> TABLE 1-I (50% north with WWR 20-30% + 50% non north with WWR 30-40%) </t>
  </si>
  <si>
    <t>TABLE 1-H (50% north with WWR 20-30% + 50% non north with WWR 30-40% )</t>
  </si>
  <si>
    <t>High-rise/Hotel</t>
  </si>
  <si>
    <t>Windows</t>
  </si>
  <si>
    <t>North</t>
  </si>
  <si>
    <t>20-30% WWR</t>
  </si>
  <si>
    <t>RSHGC</t>
  </si>
  <si>
    <t>Non_x0002_North</t>
  </si>
  <si>
    <t>30-40% WWR</t>
  </si>
  <si>
    <t>Nonres</t>
  </si>
  <si>
    <t>TABLE 1-H</t>
  </si>
  <si>
    <t xml:space="preserve">Guest room </t>
  </si>
  <si>
    <t>45% of north+10% of east and west + 45% of west</t>
  </si>
  <si>
    <t xml:space="preserve">Heating </t>
  </si>
  <si>
    <t>Cooling</t>
  </si>
  <si>
    <t>Air Distribution</t>
  </si>
  <si>
    <t xml:space="preserve">Existing  </t>
  </si>
  <si>
    <t>Gas Boiler</t>
  </si>
  <si>
    <t>Chiller</t>
  </si>
  <si>
    <t>FPFC</t>
  </si>
  <si>
    <t>Non-Residential Tenent (Retail)</t>
  </si>
  <si>
    <t>VAV</t>
  </si>
  <si>
    <t>New Construction</t>
  </si>
  <si>
    <t>CAV</t>
  </si>
  <si>
    <t>T24 2025</t>
  </si>
  <si>
    <t>*Based on NR ACM 2025 - Table 26</t>
  </si>
  <si>
    <t>Efficiency of HVAC system</t>
  </si>
  <si>
    <t>Upgrade/Installed year</t>
  </si>
  <si>
    <t>Gas boiler: Efficiency 80%</t>
  </si>
  <si>
    <t xml:space="preserve">Air cooled chiller
EER=9.56 </t>
  </si>
  <si>
    <t>Chiller: Table 110.2-D (converting COP 2.8 to W)
Boiler: T24, Table 110.2-K</t>
  </si>
  <si>
    <t>EER=9.56</t>
  </si>
  <si>
    <t>CFR Energy 2010:Title 10- Table 9</t>
  </si>
  <si>
    <t>RES:
HSPF:7.5
For SZHPDF: Furnace efficiency: 80%</t>
  </si>
  <si>
    <t>SEER2: 14.3</t>
  </si>
  <si>
    <t>Title 20, 2023 Table E-6</t>
  </si>
  <si>
    <t xml:space="preserve">Non-Res
</t>
  </si>
  <si>
    <t>11.0 EER, 14.1 IEER
Dual Fuel: 10.8 EER, 13.9 IEER</t>
  </si>
  <si>
    <t>Title 24, 2025 able 110.2 footnote a</t>
  </si>
  <si>
    <t>Fan power</t>
  </si>
  <si>
    <t>Approach</t>
  </si>
  <si>
    <t>System</t>
  </si>
  <si>
    <t>Total Static Pressure (TSP)
(in w.c.)
[PNNL 20405, 2010, Table 5.11]</t>
  </si>
  <si>
    <t>Fan Efficiency
[ACM 2025]</t>
  </si>
  <si>
    <t>Fan Motor and Drive Efficiency 
[ACM 2025, Table 14]</t>
  </si>
  <si>
    <t>W/cfm
[ACM 2025, Table 15]</t>
  </si>
  <si>
    <t>Data Source</t>
  </si>
  <si>
    <t>Existing</t>
  </si>
  <si>
    <t>PNNL TSP</t>
  </si>
  <si>
    <t>VAV System &gt;4,648 cfm</t>
  </si>
  <si>
    <t>The full-load efficiency of the motor serving the fan- will be determined based on ACM 2025, Table 14</t>
  </si>
  <si>
    <t xml:space="preserve"> ACM 2025, PNNL 2010 TSD</t>
  </si>
  <si>
    <t>SZAC/SZHP</t>
  </si>
  <si>
    <t>Break horse power (bhp)=(Supply cfm*TSP in w.c.)/(6356*Fan efficiency)</t>
  </si>
  <si>
    <t>Fan power (w/cfm) = bhp/motor and drive efficiency *746</t>
  </si>
  <si>
    <t>ACM 2025</t>
  </si>
  <si>
    <t>ACM 2025 - Table 14</t>
  </si>
  <si>
    <t>5,000 &lt;cfm; ≤ 10,000 cfm</t>
  </si>
  <si>
    <t>SZAC</t>
  </si>
  <si>
    <t>SZHP</t>
  </si>
  <si>
    <t>Setpoint</t>
  </si>
  <si>
    <t>School Heating Setpoint (F)</t>
  </si>
  <si>
    <t>T24 2025 - Appendix 5.4B</t>
  </si>
  <si>
    <t>School Heating Setback (F)</t>
  </si>
  <si>
    <t>School Cooling Setpoint (F)</t>
  </si>
  <si>
    <t>School Cooling Setback (F)</t>
  </si>
  <si>
    <t>Heating Setpoint (F)</t>
  </si>
  <si>
    <t>T24 2022 - Appendix 5.4B</t>
  </si>
  <si>
    <t>Heating Setback (F)</t>
  </si>
  <si>
    <t>Cooling Setpoint (F)</t>
  </si>
  <si>
    <t>Cooling Setback (F)</t>
  </si>
  <si>
    <t>Space Thermal Zone</t>
  </si>
  <si>
    <t>Number of People</t>
  </si>
  <si>
    <r>
      <t>Floor Area (ft</t>
    </r>
    <r>
      <rPr>
        <b/>
        <vertAlign val="superscript"/>
        <sz val="10"/>
        <color theme="1"/>
        <rFont val="Arial"/>
        <family val="2"/>
      </rPr>
      <t>2</t>
    </r>
    <r>
      <rPr>
        <b/>
        <sz val="10"/>
        <color theme="1"/>
        <rFont val="Arial"/>
        <family val="2"/>
      </rPr>
      <t>)</t>
    </r>
  </si>
  <si>
    <t>cfm/person
(T24, 2025, Equation 120.1-F and Table 120.1-A)</t>
  </si>
  <si>
    <t>cfm (whole-dwelling continuous mechanical ventilation rate)
Res: Equation 160.2-B</t>
  </si>
  <si>
    <t>cfm/ft²  
(T24, 2025, Equation 120.1-F and Table 120.1-A)</t>
  </si>
  <si>
    <t>Required Exhaust Rate-CFM/ft²-
 (T24,  2025, Table 120.1-B – Minimum Exhaust Rates)</t>
  </si>
  <si>
    <t>Total cfm 
Driven by People</t>
  </si>
  <si>
    <t>Total cfm 
Driven by Area</t>
  </si>
  <si>
    <t>Total cfm 
Driven by Exhaust</t>
  </si>
  <si>
    <t>Total cfm</t>
  </si>
  <si>
    <t>Balanced IAQ fan - only applies to new construction</t>
  </si>
  <si>
    <t>WH Type</t>
  </si>
  <si>
    <t xml:space="preserve"> Efficiency</t>
  </si>
  <si>
    <t>Tank volume (gal)</t>
  </si>
  <si>
    <t>Tank loss</t>
  </si>
  <si>
    <t>Gas</t>
  </si>
  <si>
    <t>2024 CASE Report: A Comprehensive, High Efficiency Solution for Water Heating in Multifamily Buildings
2022 CASE Report: Multifamily Domestic Hot Water Distribution
Engineering Judgment</t>
  </si>
  <si>
    <t>* Title 24 2025: §170.2(d)3: Gas Storage with recirculation and solar water heating system)</t>
  </si>
  <si>
    <t>Peak Hot Water Consumption</t>
  </si>
  <si>
    <t>Space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</si>
  <si>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</si>
  <si>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</si>
  <si>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</si>
  <si>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</si>
  <si>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</si>
  <si>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</si>
  <si>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</si>
  <si>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</si>
  <si>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</si>
  <si>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</si>
  <si>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</si>
  <si>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Off/On Cycle Loss Coefficient to Ambient Temperature (Btu/h-F)</t>
  </si>
  <si>
    <t>Gas Storage WH</t>
  </si>
  <si>
    <t>BTU/hr</t>
  </si>
  <si>
    <t>Design supply temperature (F)</t>
  </si>
  <si>
    <t>Ref: T24 2022 - Appendix 5.4B</t>
  </si>
  <si>
    <t>Standby Loss for Existing</t>
  </si>
  <si>
    <t>Btu/h</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</si>
  <si>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</si>
  <si>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</si>
  <si>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</si>
  <si>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</si>
  <si>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</si>
  <si>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</si>
  <si>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</si>
  <si>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</si>
  <si>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</si>
  <si>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https://caenergywise.com/design-guides/Advanced-Water-Heating-Design-Guide.pdf</t>
  </si>
  <si>
    <t xml:space="preserve">New Construction </t>
  </si>
  <si>
    <t>LPD (W/ft²)</t>
  </si>
  <si>
    <t>Additional LPD for Portable Lighting (W/ft²)</t>
  </si>
  <si>
    <t xml:space="preserve">LPD (W/ft²) </t>
  </si>
  <si>
    <t xml:space="preserve">T24, 2025, Table 170.2-M
(Area category method) </t>
  </si>
  <si>
    <t xml:space="preserve">T24, 2016, Table 140.6 C   
(Area category method) </t>
  </si>
  <si>
    <t>CEC 2025 Single-Family ACM
Appendix E - Table 2 and 8</t>
  </si>
  <si>
    <t xml:space="preserve">CEC 2016 Single-Family ACM
Section 2.2.12 </t>
  </si>
  <si>
    <t>*Annual kWh=100+0.1775×CFA (ft²)(Eq. 1)</t>
  </si>
  <si>
    <t>Motion Controlled Luminaires (W)</t>
  </si>
  <si>
    <t>Non-motion Controlled Luminaires (W)</t>
  </si>
  <si>
    <t>Total (W)</t>
  </si>
  <si>
    <t>T24, 2022 &amp; 2025
2019 Outdoor Lighting CASE report 
 PNNL 90.1-2010 TSD</t>
  </si>
  <si>
    <t>Exterior Lighting</t>
  </si>
  <si>
    <t>Items (Assume LZ2)</t>
  </si>
  <si>
    <t>Assumptions
[2019 Outdoor Lighting CASE Report &amp; PNNL 90.1-2010 TSD]</t>
  </si>
  <si>
    <t>Unit</t>
  </si>
  <si>
    <t>Lighting Power Allowance 
[T24, 2025, Table 140.7-A &amp; 140.7-B]</t>
  </si>
  <si>
    <t>Exterior Lighting Power (W)</t>
  </si>
  <si>
    <t>IWA (Initial Wage Allowance)</t>
  </si>
  <si>
    <t>(W)</t>
  </si>
  <si>
    <t>Parking area</t>
  </si>
  <si>
    <t xml:space="preserve"> 400 ft² for every parking space 
1.5 parking space per living unit for residential
1 parking space per 360 ft² of gross building area</t>
  </si>
  <si>
    <t>(ft²)</t>
  </si>
  <si>
    <t>(W/ft²)</t>
  </si>
  <si>
    <t>Building Entrance</t>
  </si>
  <si>
    <t>2 building entrance for NR (1 per 10,000 ft² footprint)</t>
  </si>
  <si>
    <t>(count)</t>
  </si>
  <si>
    <t>(W/ea)</t>
  </si>
  <si>
    <t>Hardscape Ornamental Light</t>
  </si>
  <si>
    <t>0.1 ft² per ft² of gross building area for hardscape ornamental light</t>
  </si>
  <si>
    <t>Building façade</t>
  </si>
  <si>
    <t>0.1 W per ft² of facade area 
Façade Area = Perimeter × 0.5 × 30 ft (30 ft is the max height that is lit) * 
The 0.5 factor assumes that only half of the perimeter walls are lit.
-Formula ia developed based on the 2019 Outdoor Lighting CASE report</t>
  </si>
  <si>
    <t>Sales canopy</t>
  </si>
  <si>
    <t>0.1 ft2 per ft2 of gross bldg area</t>
  </si>
  <si>
    <t>Motion controlled Luminaires</t>
  </si>
  <si>
    <t>Non-motion-controlled Luminaires</t>
  </si>
  <si>
    <t>*Developed based on 2019 Outdoor Lighting CASE Report</t>
  </si>
  <si>
    <t>Perimeter (ft)</t>
  </si>
  <si>
    <t>Total floor area (ft²)</t>
  </si>
  <si>
    <t>Floors (above floor)</t>
  </si>
  <si>
    <t>Number of dwelling units</t>
  </si>
  <si>
    <t xml:space="preserve">Existing Prototypes: </t>
  </si>
  <si>
    <t>Exterior lighting load (W)</t>
  </si>
  <si>
    <t xml:space="preserve">PNNL 90.1 2022, San Diego </t>
  </si>
  <si>
    <t>CPUC 2024</t>
  </si>
  <si>
    <t xml:space="preserve">No </t>
  </si>
  <si>
    <t>T24, part6, 2025, 130.2(c)3</t>
  </si>
  <si>
    <t>Plug load Intensity (W/ft2)</t>
  </si>
  <si>
    <t>Plug load and schedules project with CEC, 2025</t>
  </si>
  <si>
    <t>Plug load and schedules project with CBECC-COM, 2019</t>
  </si>
  <si>
    <t>Elevator</t>
  </si>
  <si>
    <t xml:space="preserve">No of Elevator </t>
  </si>
  <si>
    <t>Design Load (W)</t>
  </si>
  <si>
    <t>New Construction and Existing</t>
  </si>
  <si>
    <t>Design Load based on PNNL ASHRAE 90.1 2022 HighRise Apartment prototype --- per T24 2025 §120.6 (f)</t>
  </si>
  <si>
    <t>Assumptions for elevators:</t>
  </si>
  <si>
    <t xml:space="preserve">One elevator for approximately 50,000 ft² in use. </t>
  </si>
  <si>
    <t>https://buildingandinteriors.com/find-the-magic-number-elevators-per-building/</t>
  </si>
  <si>
    <t>For every two floors or two and a half floors, one more elevator was added.</t>
  </si>
  <si>
    <t>An in-use rate of 70% for the floor area was assumed, based on engineering judgment.</t>
  </si>
  <si>
    <t xml:space="preserve">Calculated number of Elevators: </t>
  </si>
  <si>
    <t>Same as PNNL assumptions</t>
  </si>
  <si>
    <t>Calculate Elevator load (kw)based on ACM 2022:</t>
  </si>
  <si>
    <t xml:space="preserve">76 kW is PNNL ASHRE 90.1 2019 elevator load </t>
  </si>
  <si>
    <t>ACM 2022 suggestion for elevator load (kW):</t>
  </si>
  <si>
    <t>Elevator load will be defined as exterior load not equipment load  (Same as PNNL ASHRAE 90.1 Large Hotel prototype).</t>
  </si>
  <si>
    <t>Zone</t>
  </si>
  <si>
    <t>Schedule</t>
  </si>
  <si>
    <t>Day</t>
  </si>
  <si>
    <t>Hour</t>
  </si>
  <si>
    <t>Living Area</t>
  </si>
  <si>
    <t>Occupancy</t>
  </si>
  <si>
    <t>T24 2022 - Appendix 5.4B 
[ResidentialLiving]</t>
  </si>
  <si>
    <t>Weekday</t>
  </si>
  <si>
    <t>Saturday</t>
  </si>
  <si>
    <t>Sunday</t>
  </si>
  <si>
    <t>Lights</t>
  </si>
  <si>
    <t>ElecEquipment</t>
  </si>
  <si>
    <t>HVACAvail</t>
  </si>
  <si>
    <t>GasEquipment</t>
  </si>
  <si>
    <t>HtgSetpt</t>
  </si>
  <si>
    <t>ClgSetpt</t>
  </si>
  <si>
    <t>Refrigeration</t>
  </si>
  <si>
    <t>Common Use Area</t>
  </si>
  <si>
    <t>T24 2022 - Appendix 5.4B
[ResidentialCommon]</t>
  </si>
  <si>
    <t>ServiceHotWater</t>
  </si>
  <si>
    <t>T24 2022 - Appendix 5.4B, [Retail]</t>
  </si>
  <si>
    <t>T24 2022 - Appendix 5.4B [Retail]</t>
  </si>
  <si>
    <t>Other</t>
  </si>
  <si>
    <t>Building</t>
  </si>
  <si>
    <t>T24 2022 - Appendix 5.4B, [Apartment]</t>
  </si>
  <si>
    <t>ExtLightingNonMotionCtrl</t>
  </si>
  <si>
    <t>ExtLightingMotionCtrl</t>
  </si>
  <si>
    <t xml:space="preserve">Based on Activity level schedules in  CEC Prototypes </t>
  </si>
  <si>
    <t>RetailSalePeopleActivityLevel</t>
  </si>
  <si>
    <t>Meeting RM</t>
  </si>
  <si>
    <t>MeetingAreaPeopleActivityLevel</t>
  </si>
  <si>
    <t>Office</t>
  </si>
  <si>
    <t>FunctionalAreaPeopleActivityLevel</t>
  </si>
  <si>
    <t>Corridor, Exercise Area, Lobby, Stair, Lounge</t>
  </si>
  <si>
    <t>CommonAreaPeopleActivityLevel</t>
  </si>
  <si>
    <t> </t>
  </si>
  <si>
    <t>CZ</t>
  </si>
  <si>
    <t>Total Floorspace (Thousand of ft2)</t>
  </si>
  <si>
    <t>Electric Energy Intensity (kWh/ft2)</t>
  </si>
  <si>
    <t>Annual Gas Intensity (kBTU/ft2)</t>
  </si>
  <si>
    <t>Vintage Bin</t>
  </si>
  <si>
    <t>Pre-1978</t>
  </si>
  <si>
    <t>Not available</t>
  </si>
  <si>
    <t>Statewide</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</si>
  <si>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</si>
  <si>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</si>
  <si>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</si>
  <si>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</si>
  <si>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</si>
  <si>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</si>
  <si>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</si>
  <si>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</si>
  <si>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</si>
  <si>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</si>
  <si>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</si>
  <si>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</si>
  <si>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</si>
  <si>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</si>
  <si>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</si>
  <si>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</si>
  <si>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</si>
  <si>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</si>
  <si>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</si>
  <si>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</si>
  <si>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</si>
  <si>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</si>
  <si>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</si>
  <si>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Electrical, Mechanical, Telephone Rooms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</si>
  <si>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</si>
  <si>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</si>
  <si>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</si>
  <si>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</si>
  <si>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</si>
  <si>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</si>
  <si>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</si>
  <si>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</si>
  <si>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</si>
  <si>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</si>
  <si>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</si>
  <si>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</si>
  <si>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</si>
  <si>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</si>
  <si>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Library (Reading Area)</t>
  </si>
  <si>
    <t>Library (Stacks Area)</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</si>
  <si>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</si>
  <si>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</si>
  <si>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</si>
  <si>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</si>
  <si>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</si>
  <si>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</si>
  <si>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</si>
  <si>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</si>
  <si>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(Daylight Adaptation Zones)</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</si>
  <si>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</si>
  <si>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</si>
  <si>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</si>
  <si>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</si>
  <si>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</si>
  <si>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</si>
  <si>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</si>
  <si>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</si>
  <si>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</si>
  <si>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</si>
  <si>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</si>
  <si>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</si>
  <si>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</si>
  <si>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</si>
  <si>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</si>
  <si>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</si>
  <si>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</si>
  <si>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</si>
  <si>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</si>
  <si>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</si>
  <si>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Hotel/Motel Guest Room</t>
  </si>
  <si>
    <t>All other</t>
  </si>
  <si>
    <t>Attic</t>
  </si>
  <si>
    <t>Reception Area</t>
  </si>
  <si>
    <t>Plenum</t>
  </si>
  <si>
    <t>IT Room (EPD 12)</t>
  </si>
  <si>
    <t>Computer Room (EPD 20)</t>
  </si>
  <si>
    <t>Server Room (EPD 45)</t>
  </si>
  <si>
    <t>ResidentialSpcPeopleActivityLevel</t>
  </si>
  <si>
    <t>ResidentialLiving</t>
  </si>
  <si>
    <t>ASHRAE 90.1, 2022, Table A3.3.3.1, 3.5", R-0</t>
  </si>
  <si>
    <t>Copied from High-rise office alternative requirements (Table 2-53W): Package A with heat capacity around 10 (Btu/F-ft²)</t>
  </si>
  <si>
    <t>Table 1-H</t>
  </si>
  <si>
    <t>Table 140.3-B (Nonres)</t>
  </si>
  <si>
    <t>Residential common (corridors/laundry)</t>
  </si>
  <si>
    <t>VAV (Gas Boiler &amp; hot water reheat)</t>
  </si>
  <si>
    <t>Residential Tenent</t>
  </si>
  <si>
    <t>SZHP (DX)</t>
  </si>
  <si>
    <t>ResStock 2022 &amp; T24 (2008, 2013)  
Engineering judgment</t>
  </si>
  <si>
    <t>NORESCO, Updated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</si>
</sst>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
    <numFmt numFmtId="167" formatCode="0.000"/>
    <numFmt numFmtId="168" formatCode="_(* #,##0_);_(* \(#,##0\);_(* &quot;-&quot;??_);_(@_)"/>
    <numFmt numFmtId="169" formatCode="0.00000"/>
    <numFmt numFmtId="170" formatCode="#,##0;\-0;[Color15]0"/>
  </numFmts>
  <fonts count="46" x14ac:knownFonts="1">
    <font>
      <sz val="11"/>
      <color theme="1"/>
      <name val="Calibri"/>
      <family val="2"/>
      <scheme val="minor"/>
    </font>
    <font>
      <sz val="10"/>
      <name val="Arial"/>
      <family val="2"/>
    </font>
    <font>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sz val="12"/>
      <color theme="1"/>
      <name val="Aptos"/>
      <family val="2"/>
    </font>
    <font>
      <b/>
      <sz val="12"/>
      <color rgb="FFFFFFFF"/>
      <name val="Arial"/>
      <family val="2"/>
    </font>
    <font>
      <sz val="8"/>
      <color theme="1"/>
      <name val="Arial"/>
      <family val="2"/>
    </font>
    <font>
      <sz val="10"/>
      <color theme="0" tint="-0.499984740745262"/>
      <name val="Arial"/>
      <family val="2"/>
    </font>
    <font>
      <sz val="10"/>
      <color theme="0" tint="-0.499984740745262"/>
      <name val="Calibri"/>
      <family val="2"/>
      <scheme val="minor"/>
    </font>
    <font>
      <sz val="10"/>
      <color rgb="FF0070C0"/>
      <name val="Arial"/>
      <family val="2"/>
    </font>
    <font>
      <sz val="11"/>
      <name val="Calibri"/>
      <family val="2"/>
      <scheme val="minor"/>
    </font>
    <font>
      <b/>
      <sz val="10"/>
      <color rgb="FF0000CC"/>
      <name val="Arial"/>
      <family val="2"/>
    </font>
    <font>
      <b/>
      <sz val="10"/>
      <color theme="0"/>
      <name val="Arial"/>
      <family val="2"/>
    </font>
    <font>
      <sz val="10"/>
      <color theme="0" tint="-0.34998626667073579"/>
      <name val="Arial"/>
      <family val="2"/>
    </font>
    <font>
      <sz val="11"/>
      <color rgb="FF000000"/>
      <name val="Calibri"/>
      <family val="2"/>
    </font>
    <font>
      <b/>
      <sz val="11"/>
      <color rgb="FF000000"/>
      <name val="Calibri"/>
      <family val="2"/>
    </font>
    <font>
      <b/>
      <sz val="12"/>
      <color rgb="FF000000"/>
      <name val="Calibri"/>
      <family val="2"/>
    </font>
    <font>
      <sz val="10"/>
      <name val="Calibri"/>
      <family val="2"/>
      <scheme val="minor"/>
    </font>
    <font>
      <b/>
      <vertAlign val="superscript"/>
      <sz val="10"/>
      <color theme="1"/>
      <name val="Arial"/>
      <family val="2"/>
    </font>
    <font>
      <sz val="9"/>
      <name val="Arial"/>
      <family val="2"/>
    </font>
    <font>
      <sz val="9"/>
      <color rgb="FF0070C0"/>
      <name val="Arial"/>
      <family val="2"/>
    </font>
    <font>
      <sz val="9"/>
      <color rgb="FF000000"/>
      <name val="Arial"/>
      <family val="2"/>
    </font>
    <font>
      <b/>
      <sz val="11"/>
      <color theme="1"/>
      <name val="Arial"/>
      <family val="2"/>
    </font>
    <font>
      <sz val="9"/>
      <name val="Arial"/>
      <family val="2"/>
    </font>
  </fonts>
  <fills count="1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1" tint="0.34998626667073579"/>
        <bgColor indexed="64"/>
      </patternFill>
    </fill>
    <fill>
      <patternFill patternType="solid">
        <fgColor rgb="FF203764"/>
        <bgColor rgb="FF000000"/>
      </patternFill>
    </fill>
    <fill>
      <patternFill patternType="solid">
        <fgColor rgb="FFD9E1F2"/>
        <bgColor rgb="FF000000"/>
      </patternFill>
    </fill>
    <fill>
      <patternFill patternType="solid">
        <fgColor rgb="FFDDDDFF"/>
        <bgColor indexed="64"/>
      </patternFill>
    </fill>
    <fill>
      <patternFill patternType="lightUp"/>
    </fill>
    <fill>
      <patternFill patternType="solid">
        <fgColor theme="0" tint="-0.249977111117893"/>
        <bgColor indexed="64"/>
      </patternFill>
    </fill>
    <fill>
      <patternFill patternType="solid">
        <fgColor theme="0" tint="-0.34998626667073579"/>
        <bgColor indexed="64"/>
      </patternFill>
    </fill>
    <fill>
      <patternFill patternType="solid">
        <fgColor rgb="FF92D050"/>
        <bgColor rgb="FF000000"/>
      </patternFill>
    </fill>
  </fills>
  <borders count="172">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theme="0" tint="-0.499984740745262"/>
      </left>
      <right/>
      <top/>
      <bottom/>
      <diagonal/>
    </border>
    <border>
      <left style="thin">
        <color theme="0" tint="-0.499984740745262"/>
      </left>
      <right style="thin">
        <color theme="0" tint="-0.499984740745262"/>
      </right>
      <top style="medium">
        <color indexed="64"/>
      </top>
      <bottom/>
      <diagonal/>
    </border>
    <border>
      <left style="thin">
        <color theme="0" tint="-0.499984740745262"/>
      </left>
      <right/>
      <top style="medium">
        <color indexed="64"/>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diagonal/>
    </border>
    <border>
      <left style="thin">
        <color theme="0" tint="-0.499984740745262"/>
      </left>
      <right style="thin">
        <color theme="0" tint="-0.499984740745262"/>
      </right>
      <top/>
      <bottom style="medium">
        <color indexed="64"/>
      </bottom>
      <diagonal/>
    </border>
    <border>
      <left style="thin">
        <color theme="0" tint="-0.499984740745262"/>
      </left>
      <right/>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diagonal/>
    </border>
    <border>
      <left style="medium">
        <color indexed="64"/>
      </left>
      <right style="thin">
        <color theme="0" tint="-0.499984740745262"/>
      </right>
      <top/>
      <bottom/>
      <diagonal/>
    </border>
    <border>
      <left style="medium">
        <color indexed="64"/>
      </left>
      <right style="thin">
        <color theme="0" tint="-0.499984740745262"/>
      </right>
      <top/>
      <bottom style="medium">
        <color indexed="64"/>
      </bottom>
      <diagonal/>
    </border>
    <border>
      <left/>
      <right/>
      <top style="thin">
        <color theme="1"/>
      </top>
      <bottom/>
      <diagonal/>
    </border>
    <border>
      <left/>
      <right/>
      <top/>
      <bottom style="thin">
        <color theme="1"/>
      </bottom>
      <diagonal/>
    </border>
    <border>
      <left/>
      <right style="thin">
        <color indexed="64"/>
      </right>
      <top/>
      <bottom style="thin">
        <color theme="1"/>
      </bottom>
      <diagonal/>
    </border>
    <border>
      <left/>
      <right style="thin">
        <color indexed="64"/>
      </right>
      <top style="thin">
        <color theme="1"/>
      </top>
      <bottom/>
      <diagonal/>
    </border>
    <border>
      <left style="medium">
        <color indexed="64"/>
      </left>
      <right style="thin">
        <color theme="0" tint="-0.499984740745262"/>
      </right>
      <top style="medium">
        <color indexed="64"/>
      </top>
      <bottom/>
      <diagonal/>
    </border>
    <border>
      <left/>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right style="thin">
        <color theme="0" tint="-0.499984740745262"/>
      </right>
      <top style="thin">
        <color theme="0" tint="-0.499984740745262"/>
      </top>
      <bottom/>
      <diagonal/>
    </border>
    <border>
      <left style="thin">
        <color indexed="64"/>
      </left>
      <right style="medium">
        <color indexed="64"/>
      </right>
      <top style="thin">
        <color indexed="64"/>
      </top>
      <bottom/>
      <diagonal/>
    </border>
    <border>
      <left/>
      <right style="thin">
        <color theme="1" tint="0.499984740745262"/>
      </right>
      <top style="thin">
        <color theme="1" tint="0.499984740745262"/>
      </top>
      <bottom/>
      <diagonal/>
    </border>
    <border>
      <left style="thin">
        <color rgb="FF000000"/>
      </left>
      <right style="thin">
        <color rgb="FF000000"/>
      </right>
      <top style="thin">
        <color rgb="FF000000"/>
      </top>
      <bottom/>
      <diagonal/>
    </border>
    <border>
      <left/>
      <right style="thin">
        <color rgb="FF595959"/>
      </right>
      <top style="thin">
        <color rgb="FF595959"/>
      </top>
      <bottom style="thin">
        <color rgb="FF595959"/>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style="medium">
        <color theme="1" tint="0.34998626667073579"/>
      </right>
      <top style="thin">
        <color indexed="64"/>
      </top>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top style="medium">
        <color theme="1" tint="0.34998626667073579"/>
      </top>
      <bottom style="thin">
        <color rgb="FF000000"/>
      </bottom>
      <diagonal/>
    </border>
    <border>
      <left style="thin">
        <color theme="1" tint="0.34998626667073579"/>
      </left>
      <right style="medium">
        <color indexed="64"/>
      </right>
      <top style="thin">
        <color theme="1" tint="0.34998626667073579"/>
      </top>
      <bottom style="thin">
        <color theme="1" tint="0.34998626667073579"/>
      </bottom>
      <diagonal/>
    </border>
    <border>
      <left/>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right/>
      <top style="thin">
        <color rgb="FF000000"/>
      </top>
      <bottom style="medium">
        <color theme="1" tint="0.34998626667073579"/>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indexed="64"/>
      </left>
      <right style="medium">
        <color indexed="64"/>
      </right>
      <top style="medium">
        <color rgb="FF000000"/>
      </top>
      <bottom style="thin">
        <color indexed="64"/>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indexed="64"/>
      </left>
      <right style="medium">
        <color indexed="64"/>
      </right>
      <top style="thin">
        <color indexed="64"/>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right/>
      <top style="thin">
        <color theme="1" tint="0.34998626667073579"/>
      </top>
      <bottom style="thin">
        <color theme="1" tint="0.34998626667073579"/>
      </bottom>
      <diagonal/>
    </border>
    <border>
      <left style="thin">
        <color theme="1" tint="0.34998626667073579"/>
      </left>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rgb="FF000000"/>
      </right>
      <top style="thin">
        <color rgb="FF000000"/>
      </top>
      <bottom style="medium">
        <color theme="1" tint="0.34998626667073579"/>
      </bottom>
      <diagonal/>
    </border>
    <border>
      <left style="medium">
        <color indexed="64"/>
      </left>
      <right style="thin">
        <color theme="1" tint="0.34998626667073579"/>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medium">
        <color indexed="64"/>
      </left>
      <right style="thin">
        <color theme="1" tint="0.34998626667073579"/>
      </right>
      <top style="medium">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style="medium">
        <color indexed="64"/>
      </left>
      <right style="thin">
        <color theme="1" tint="0.34998626667073579"/>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theme="1" tint="0.34998626667073579"/>
      </right>
      <top style="medium">
        <color indexed="64"/>
      </top>
      <bottom/>
      <diagonal/>
    </border>
    <border>
      <left style="thin">
        <color rgb="FF000000"/>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indexed="64"/>
      </left>
      <right style="thin">
        <color rgb="FF000000"/>
      </right>
      <top style="thin">
        <color indexed="64"/>
      </top>
      <bottom style="thin">
        <color rgb="FF000000"/>
      </bottom>
      <diagonal/>
    </border>
    <border>
      <left style="thin">
        <color indexed="64"/>
      </left>
      <right/>
      <top/>
      <bottom style="thin">
        <color rgb="FF000000"/>
      </bottom>
      <diagonal/>
    </border>
    <border>
      <left/>
      <right/>
      <top/>
      <bottom style="thin">
        <color rgb="FF000000"/>
      </bottom>
      <diagonal/>
    </border>
    <border>
      <left style="thin">
        <color indexed="64"/>
      </left>
      <right style="thin">
        <color rgb="FF000000"/>
      </right>
      <top/>
      <bottom style="thin">
        <color indexed="64"/>
      </bottom>
      <diagonal/>
    </border>
    <border>
      <left style="thin">
        <color indexed="64"/>
      </left>
      <right style="thin">
        <color rgb="FF000000"/>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s>
  <cellStyleXfs count="13">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5" fillId="0" borderId="0"/>
    <xf numFmtId="0" fontId="7" fillId="0" borderId="0" applyNumberFormat="0" applyFill="0" applyBorder="0" applyAlignment="0" applyProtection="0"/>
    <xf numFmtId="43" fontId="2" fillId="0" borderId="0" applyFont="0" applyFill="0" applyBorder="0" applyAlignment="0" applyProtection="0"/>
    <xf numFmtId="0" fontId="2" fillId="0" borderId="0"/>
    <xf numFmtId="9" fontId="5" fillId="0" borderId="0" applyFont="0" applyFill="0" applyBorder="0" applyAlignment="0" applyProtection="0"/>
    <xf numFmtId="0" fontId="12" fillId="0" borderId="0"/>
    <xf numFmtId="0" fontId="14" fillId="0" borderId="0" applyNumberFormat="0" applyFill="0" applyBorder="0" applyAlignment="0" applyProtection="0"/>
    <xf numFmtId="0" fontId="5" fillId="0" borderId="0"/>
    <xf numFmtId="0" fontId="5" fillId="0" borderId="0"/>
  </cellStyleXfs>
  <cellXfs count="625">
    <xf numFmtId="0" fontId="0" fillId="0" borderId="0" xfId="0"/>
    <xf numFmtId="0" fontId="0" fillId="0" borderId="0" xfId="0" applyAlignment="1">
      <alignment horizontal="center" vertical="center"/>
    </xf>
    <xf numFmtId="0" fontId="10" fillId="0" borderId="0" xfId="0" applyFont="1"/>
    <xf numFmtId="0" fontId="10" fillId="0" borderId="0" xfId="0" applyFont="1" applyAlignment="1">
      <alignment horizontal="center" vertical="center"/>
    </xf>
    <xf numFmtId="0" fontId="5" fillId="0" borderId="0" xfId="0" applyFont="1"/>
    <xf numFmtId="0" fontId="6" fillId="0" borderId="0" xfId="0" applyFont="1"/>
    <xf numFmtId="0" fontId="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center" vertical="center" wrapText="1"/>
    </xf>
    <xf numFmtId="0" fontId="14" fillId="0" borderId="0" xfId="5" applyFont="1"/>
    <xf numFmtId="0" fontId="13"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5" fillId="0" borderId="2" xfId="0" applyFont="1" applyBorder="1" applyAlignment="1">
      <alignment vertical="center"/>
    </xf>
    <xf numFmtId="0" fontId="5" fillId="0" borderId="2" xfId="0" applyFont="1" applyBorder="1" applyAlignment="1">
      <alignment vertical="center" wrapText="1"/>
    </xf>
    <xf numFmtId="0" fontId="17" fillId="5" borderId="2" xfId="0" applyFont="1" applyFill="1" applyBorder="1" applyAlignment="1">
      <alignment vertical="center"/>
    </xf>
    <xf numFmtId="0" fontId="17" fillId="5" borderId="2" xfId="0" applyFont="1" applyFill="1" applyBorder="1" applyAlignment="1">
      <alignment horizontal="left" vertical="center"/>
    </xf>
    <xf numFmtId="3" fontId="5" fillId="0" borderId="2" xfId="7" applyNumberFormat="1" applyFont="1" applyBorder="1" applyAlignment="1">
      <alignment horizontal="center" vertical="center"/>
    </xf>
    <xf numFmtId="1" fontId="1" fillId="0" borderId="2" xfId="7" applyNumberFormat="1" applyFont="1" applyBorder="1" applyAlignment="1">
      <alignment horizontal="center" vertical="center"/>
    </xf>
    <xf numFmtId="3" fontId="9" fillId="0" borderId="2" xfId="3" applyNumberFormat="1" applyFont="1" applyBorder="1" applyAlignment="1">
      <alignment horizontal="center" vertical="center" wrapText="1"/>
    </xf>
    <xf numFmtId="3" fontId="9" fillId="0" borderId="2" xfId="3" applyNumberFormat="1" applyFont="1" applyFill="1" applyBorder="1" applyAlignment="1">
      <alignment horizontal="center" vertical="center" wrapText="1"/>
    </xf>
    <xf numFmtId="165" fontId="5" fillId="0" borderId="0" xfId="0" applyNumberFormat="1" applyFont="1" applyAlignment="1">
      <alignment horizontal="center" vertical="center"/>
    </xf>
    <xf numFmtId="0" fontId="1" fillId="0" borderId="0" xfId="0" applyFont="1" applyAlignment="1">
      <alignment vertical="top"/>
    </xf>
    <xf numFmtId="0" fontId="5" fillId="0" borderId="0" xfId="0" applyFont="1" applyAlignment="1">
      <alignment horizontal="center" vertical="top" wrapText="1"/>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xf>
    <xf numFmtId="0" fontId="6" fillId="2" borderId="0" xfId="0" applyFont="1" applyFill="1" applyAlignment="1">
      <alignment horizontal="center"/>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xf>
    <xf numFmtId="9" fontId="5" fillId="0" borderId="0" xfId="2" applyFont="1" applyFill="1" applyBorder="1" applyAlignment="1">
      <alignment horizontal="center" vertical="center"/>
    </xf>
    <xf numFmtId="0" fontId="6" fillId="0" borderId="0" xfId="0" applyFont="1" applyAlignment="1">
      <alignment horizontal="left" vertical="center" wrapText="1"/>
    </xf>
    <xf numFmtId="1" fontId="5" fillId="0" borderId="0" xfId="0" applyNumberFormat="1" applyFont="1"/>
    <xf numFmtId="9" fontId="5" fillId="0" borderId="0" xfId="2" applyFont="1" applyFill="1" applyBorder="1"/>
    <xf numFmtId="9" fontId="5" fillId="0" borderId="0" xfId="0" applyNumberFormat="1" applyFont="1"/>
    <xf numFmtId="9" fontId="6" fillId="0" borderId="0" xfId="2" applyFont="1" applyFill="1" applyBorder="1"/>
    <xf numFmtId="164" fontId="5" fillId="0" borderId="0" xfId="0" applyNumberFormat="1" applyFont="1"/>
    <xf numFmtId="0" fontId="21" fillId="0" borderId="0" xfId="0" applyFont="1" applyAlignment="1">
      <alignment horizontal="left" vertical="center"/>
    </xf>
    <xf numFmtId="0" fontId="19" fillId="0" borderId="0" xfId="0" applyFont="1" applyAlignment="1">
      <alignment wrapText="1"/>
    </xf>
    <xf numFmtId="0" fontId="5" fillId="0" borderId="21" xfId="4" applyBorder="1" applyAlignment="1">
      <alignment horizontal="center" vertical="center"/>
    </xf>
    <xf numFmtId="0" fontId="22" fillId="5" borderId="9" xfId="0" applyFont="1" applyFill="1" applyBorder="1" applyAlignment="1">
      <alignment horizontal="center" vertical="center" wrapText="1"/>
    </xf>
    <xf numFmtId="0" fontId="22" fillId="5" borderId="9" xfId="0" applyFont="1" applyFill="1" applyBorder="1" applyAlignment="1">
      <alignment horizontal="center" vertical="center"/>
    </xf>
    <xf numFmtId="9" fontId="5" fillId="0" borderId="21" xfId="2" applyFont="1" applyFill="1" applyBorder="1" applyAlignment="1">
      <alignment horizontal="center" vertical="center"/>
    </xf>
    <xf numFmtId="3" fontId="5" fillId="0" borderId="2" xfId="0" applyNumberFormat="1" applyFont="1" applyBorder="1" applyAlignment="1">
      <alignment horizontal="center" vertical="center"/>
    </xf>
    <xf numFmtId="2" fontId="5" fillId="0" borderId="21" xfId="0" applyNumberFormat="1" applyFont="1" applyBorder="1" applyAlignment="1">
      <alignment horizontal="center" vertical="center"/>
    </xf>
    <xf numFmtId="0" fontId="20" fillId="0" borderId="0" xfId="0" applyFont="1" applyAlignment="1">
      <alignment horizontal="center" vertical="center"/>
    </xf>
    <xf numFmtId="0" fontId="23" fillId="3" borderId="0" xfId="0" applyFont="1" applyFill="1" applyAlignment="1">
      <alignment vertical="center" wrapText="1"/>
    </xf>
    <xf numFmtId="0" fontId="20" fillId="3" borderId="0" xfId="0" applyFont="1" applyFill="1" applyAlignment="1">
      <alignment horizontal="center" vertical="center"/>
    </xf>
    <xf numFmtId="165" fontId="20" fillId="3" borderId="0" xfId="0" applyNumberFormat="1" applyFont="1" applyFill="1" applyAlignment="1">
      <alignment horizontal="center" vertical="center"/>
    </xf>
    <xf numFmtId="0" fontId="17" fillId="5" borderId="24" xfId="0" applyFont="1" applyFill="1" applyBorder="1" applyAlignment="1">
      <alignment horizontal="center" vertical="center" wrapText="1"/>
    </xf>
    <xf numFmtId="168" fontId="5" fillId="0" borderId="21" xfId="6" applyNumberFormat="1" applyFont="1" applyBorder="1" applyAlignment="1">
      <alignment horizontal="center" vertical="center"/>
    </xf>
    <xf numFmtId="0" fontId="21" fillId="0" borderId="0" xfId="0" applyFont="1" applyAlignment="1">
      <alignment horizontal="left"/>
    </xf>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5" fillId="0" borderId="0" xfId="8" applyNumberFormat="1" applyFont="1" applyFill="1" applyBorder="1" applyAlignment="1">
      <alignment horizontal="center"/>
    </xf>
    <xf numFmtId="9" fontId="5" fillId="0" borderId="21" xfId="0" applyNumberFormat="1" applyFont="1" applyBorder="1" applyAlignment="1">
      <alignment horizontal="center"/>
    </xf>
    <xf numFmtId="0" fontId="6" fillId="0" borderId="0" xfId="4" applyFont="1" applyAlignment="1">
      <alignment horizontal="center"/>
    </xf>
    <xf numFmtId="3" fontId="5" fillId="0" borderId="0" xfId="0" applyNumberFormat="1" applyFont="1" applyAlignment="1">
      <alignment horizontal="center" vertical="center"/>
    </xf>
    <xf numFmtId="0" fontId="11" fillId="0" borderId="0" xfId="0" applyFont="1" applyAlignment="1">
      <alignment vertical="center"/>
    </xf>
    <xf numFmtId="9" fontId="5" fillId="0" borderId="23" xfId="0" applyNumberFormat="1" applyFont="1" applyBorder="1" applyAlignment="1">
      <alignment horizontal="center"/>
    </xf>
    <xf numFmtId="0" fontId="24" fillId="0" borderId="0" xfId="0" applyFont="1"/>
    <xf numFmtId="0" fontId="25" fillId="2" borderId="0" xfId="0" applyFont="1" applyFill="1"/>
    <xf numFmtId="0" fontId="24" fillId="0" borderId="0" xfId="0" applyFont="1" applyAlignment="1">
      <alignment wrapText="1"/>
    </xf>
    <xf numFmtId="0" fontId="24" fillId="0" borderId="0" xfId="0" applyFont="1" applyAlignment="1">
      <alignment horizontal="center"/>
    </xf>
    <xf numFmtId="166" fontId="1" fillId="0" borderId="2" xfId="1" applyNumberFormat="1" applyBorder="1" applyAlignment="1">
      <alignment horizontal="center" vertical="center" wrapText="1"/>
    </xf>
    <xf numFmtId="0" fontId="7" fillId="0" borderId="0" xfId="5" applyAlignment="1">
      <alignment vertical="center"/>
    </xf>
    <xf numFmtId="0" fontId="5" fillId="0" borderId="0" xfId="4" applyAlignment="1">
      <alignment horizontal="center" vertical="center"/>
    </xf>
    <xf numFmtId="9" fontId="5" fillId="0" borderId="0" xfId="0" applyNumberFormat="1" applyFont="1" applyAlignment="1">
      <alignment horizontal="center"/>
    </xf>
    <xf numFmtId="9" fontId="5" fillId="0" borderId="0" xfId="0" applyNumberFormat="1" applyFont="1" applyAlignment="1">
      <alignment horizontal="left"/>
    </xf>
    <xf numFmtId="0" fontId="9" fillId="0" borderId="2" xfId="0" applyFont="1" applyBorder="1" applyAlignment="1">
      <alignment horizontal="center" vertical="center" wrapText="1"/>
    </xf>
    <xf numFmtId="10" fontId="5" fillId="0" borderId="2" xfId="0" applyNumberFormat="1" applyFont="1" applyBorder="1" applyAlignment="1">
      <alignment horizontal="center" vertical="center" wrapText="1"/>
    </xf>
    <xf numFmtId="0" fontId="1" fillId="0" borderId="2" xfId="0" applyFont="1" applyBorder="1" applyAlignment="1">
      <alignment horizontal="left" vertical="center"/>
    </xf>
    <xf numFmtId="0" fontId="9" fillId="0" borderId="2" xfId="3" applyFont="1" applyFill="1" applyBorder="1" applyAlignment="1">
      <alignment horizontal="left" vertical="top" wrapText="1"/>
    </xf>
    <xf numFmtId="2" fontId="1" fillId="0" borderId="2" xfId="0" applyNumberFormat="1" applyFont="1" applyBorder="1" applyAlignment="1">
      <alignment horizontal="center" vertical="center"/>
    </xf>
    <xf numFmtId="9" fontId="9" fillId="0" borderId="2" xfId="2" applyFont="1" applyBorder="1" applyAlignment="1">
      <alignment horizontal="center" vertical="center" wrapText="1"/>
    </xf>
    <xf numFmtId="3" fontId="9" fillId="0" borderId="2" xfId="0" applyNumberFormat="1" applyFont="1" applyBorder="1" applyAlignment="1">
      <alignment horizontal="center" vertical="center" wrapText="1"/>
    </xf>
    <xf numFmtId="165" fontId="9" fillId="0" borderId="2" xfId="0" applyNumberFormat="1" applyFont="1" applyBorder="1" applyAlignment="1">
      <alignment horizontal="center" vertical="center" wrapText="1"/>
    </xf>
    <xf numFmtId="165" fontId="1" fillId="0" borderId="2" xfId="7" applyNumberFormat="1" applyFont="1" applyBorder="1" applyAlignment="1">
      <alignment horizontal="center" vertical="center"/>
    </xf>
    <xf numFmtId="3" fontId="1" fillId="0" borderId="2" xfId="0" applyNumberFormat="1" applyFont="1" applyBorder="1" applyAlignment="1">
      <alignment horizontal="center" vertical="center"/>
    </xf>
    <xf numFmtId="0" fontId="26" fillId="0" borderId="0" xfId="0" applyFont="1" applyAlignment="1">
      <alignment vertical="center"/>
    </xf>
    <xf numFmtId="0" fontId="1" fillId="0" borderId="0" xfId="0" applyFont="1" applyAlignment="1">
      <alignment horizontal="center" vertical="center" wrapText="1"/>
    </xf>
    <xf numFmtId="0" fontId="28" fillId="0" borderId="0" xfId="0" applyFont="1"/>
    <xf numFmtId="169" fontId="28" fillId="0" borderId="0" xfId="0" applyNumberFormat="1" applyFont="1"/>
    <xf numFmtId="0" fontId="6" fillId="5" borderId="24" xfId="0" applyFont="1" applyFill="1" applyBorder="1" applyAlignment="1">
      <alignment horizontal="center" vertical="center" wrapText="1"/>
    </xf>
    <xf numFmtId="9" fontId="5" fillId="0" borderId="2" xfId="0" applyNumberFormat="1" applyFont="1" applyBorder="1" applyAlignment="1">
      <alignment horizontal="center"/>
    </xf>
    <xf numFmtId="0" fontId="20" fillId="0" borderId="3" xfId="0" applyFont="1" applyBorder="1" applyAlignment="1">
      <alignment horizontal="left"/>
    </xf>
    <xf numFmtId="0" fontId="20" fillId="0" borderId="8" xfId="0" applyFont="1" applyBorder="1" applyAlignment="1">
      <alignment horizontal="left"/>
    </xf>
    <xf numFmtId="0" fontId="29" fillId="0" borderId="46" xfId="0" applyFont="1" applyBorder="1"/>
    <xf numFmtId="0" fontId="29" fillId="0" borderId="0" xfId="0" applyFont="1"/>
    <xf numFmtId="0" fontId="30" fillId="0" borderId="47" xfId="0" applyFont="1" applyBorder="1" applyAlignment="1">
      <alignment horizontal="right" vertical="center" wrapText="1"/>
    </xf>
    <xf numFmtId="0" fontId="29" fillId="0" borderId="0" xfId="0" applyFont="1" applyAlignment="1">
      <alignment wrapText="1"/>
    </xf>
    <xf numFmtId="0" fontId="29" fillId="0" borderId="0" xfId="0" applyFont="1" applyAlignment="1">
      <alignment horizontal="center"/>
    </xf>
    <xf numFmtId="0" fontId="30" fillId="0" borderId="0" xfId="0" applyFont="1" applyAlignment="1">
      <alignment vertical="center"/>
    </xf>
    <xf numFmtId="0" fontId="30" fillId="11" borderId="0" xfId="0" applyFont="1" applyFill="1" applyAlignment="1">
      <alignment vertical="center"/>
    </xf>
    <xf numFmtId="0" fontId="30" fillId="0" borderId="0" xfId="0" applyFont="1" applyAlignment="1">
      <alignment wrapText="1"/>
    </xf>
    <xf numFmtId="0" fontId="30" fillId="0" borderId="0" xfId="0" applyFont="1"/>
    <xf numFmtId="0" fontId="30" fillId="0" borderId="0" xfId="0" applyFont="1" applyAlignment="1">
      <alignment vertical="center" wrapText="1"/>
    </xf>
    <xf numFmtId="0" fontId="30" fillId="0" borderId="0" xfId="0" applyFont="1" applyAlignment="1">
      <alignment horizontal="center" wrapText="1"/>
    </xf>
    <xf numFmtId="0" fontId="30" fillId="0" borderId="0" xfId="0" applyFont="1" applyAlignment="1">
      <alignment horizontal="right" wrapText="1"/>
    </xf>
    <xf numFmtId="0" fontId="30" fillId="0" borderId="0" xfId="0" applyFont="1" applyAlignment="1">
      <alignment horizontal="right"/>
    </xf>
    <xf numFmtId="0" fontId="29" fillId="0" borderId="11" xfId="0" applyFont="1" applyBorder="1"/>
    <xf numFmtId="0" fontId="29" fillId="0" borderId="12" xfId="0" applyFont="1" applyBorder="1"/>
    <xf numFmtId="0" fontId="29" fillId="0" borderId="15" xfId="0" applyFont="1" applyBorder="1"/>
    <xf numFmtId="0" fontId="30" fillId="0" borderId="48" xfId="0" applyFont="1" applyBorder="1" applyAlignment="1">
      <alignment horizontal="right" vertical="center" wrapText="1"/>
    </xf>
    <xf numFmtId="0" fontId="29" fillId="0" borderId="49" xfId="0" applyFont="1" applyBorder="1"/>
    <xf numFmtId="0" fontId="30" fillId="0" borderId="17" xfId="0" applyFont="1" applyBorder="1" applyAlignment="1">
      <alignment horizontal="right" vertical="center" wrapText="1"/>
    </xf>
    <xf numFmtId="0" fontId="30" fillId="0" borderId="18" xfId="0" applyFont="1" applyBorder="1" applyAlignment="1">
      <alignment horizontal="right" vertical="center" wrapText="1"/>
    </xf>
    <xf numFmtId="2" fontId="29" fillId="0" borderId="0" xfId="0" applyNumberFormat="1" applyFont="1"/>
    <xf numFmtId="2" fontId="29" fillId="0" borderId="15" xfId="0" applyNumberFormat="1" applyFont="1" applyBorder="1"/>
    <xf numFmtId="0" fontId="29" fillId="0" borderId="47" xfId="0" applyFont="1" applyBorder="1"/>
    <xf numFmtId="0" fontId="29" fillId="0" borderId="42" xfId="0" applyFont="1" applyBorder="1" applyAlignment="1">
      <alignment horizontal="center" vertical="center"/>
    </xf>
    <xf numFmtId="0" fontId="29" fillId="0" borderId="37" xfId="0" applyFont="1" applyBorder="1" applyAlignment="1">
      <alignment horizontal="center" vertical="center"/>
    </xf>
    <xf numFmtId="0" fontId="29" fillId="0" borderId="41" xfId="0" applyFont="1" applyBorder="1" applyAlignment="1">
      <alignment horizontal="center" vertical="center"/>
    </xf>
    <xf numFmtId="0" fontId="29" fillId="0" borderId="0" xfId="0" applyFont="1" applyAlignment="1">
      <alignment vertical="center" wrapText="1"/>
    </xf>
    <xf numFmtId="0" fontId="29" fillId="0" borderId="38" xfId="0" applyFont="1" applyBorder="1" applyAlignment="1">
      <alignment horizontal="center" vertical="center"/>
    </xf>
    <xf numFmtId="0" fontId="29" fillId="0" borderId="17" xfId="0" applyFont="1" applyBorder="1"/>
    <xf numFmtId="0" fontId="6" fillId="5" borderId="52" xfId="0" applyFont="1" applyFill="1" applyBorder="1" applyAlignment="1">
      <alignment horizontal="center" vertical="center"/>
    </xf>
    <xf numFmtId="0" fontId="6" fillId="10" borderId="52" xfId="0" applyFont="1" applyFill="1" applyBorder="1" applyAlignment="1">
      <alignment horizontal="center" vertical="center" wrapText="1"/>
    </xf>
    <xf numFmtId="0" fontId="6" fillId="10" borderId="53" xfId="0" applyFont="1" applyFill="1" applyBorder="1" applyAlignment="1">
      <alignment horizontal="center" vertical="center"/>
    </xf>
    <xf numFmtId="0" fontId="22" fillId="10" borderId="52" xfId="0" applyFont="1" applyFill="1" applyBorder="1" applyAlignment="1">
      <alignment horizontal="center" vertical="center"/>
    </xf>
    <xf numFmtId="0" fontId="31" fillId="3" borderId="56" xfId="0" applyFont="1" applyFill="1" applyBorder="1" applyAlignment="1">
      <alignment horizontal="left" vertical="center"/>
    </xf>
    <xf numFmtId="0" fontId="5" fillId="3" borderId="57" xfId="0" applyFont="1" applyFill="1" applyBorder="1" applyAlignment="1">
      <alignment horizontal="left" vertical="center"/>
    </xf>
    <xf numFmtId="0" fontId="5" fillId="3" borderId="57" xfId="0" applyFont="1" applyFill="1" applyBorder="1" applyAlignment="1">
      <alignment vertical="center"/>
    </xf>
    <xf numFmtId="0" fontId="21" fillId="3" borderId="57" xfId="0" applyFont="1" applyFill="1" applyBorder="1" applyAlignment="1">
      <alignment horizontal="center" vertical="center" wrapText="1"/>
    </xf>
    <xf numFmtId="0" fontId="5" fillId="3" borderId="57" xfId="0" applyFont="1" applyFill="1" applyBorder="1"/>
    <xf numFmtId="0" fontId="5" fillId="3" borderId="58" xfId="0" applyFont="1" applyFill="1" applyBorder="1"/>
    <xf numFmtId="0" fontId="31" fillId="3" borderId="59" xfId="0" applyFont="1" applyFill="1" applyBorder="1" applyAlignment="1">
      <alignment horizontal="left" vertical="center"/>
    </xf>
    <xf numFmtId="0" fontId="5" fillId="3" borderId="0" xfId="0" applyFont="1" applyFill="1"/>
    <xf numFmtId="9" fontId="5" fillId="3" borderId="0" xfId="0" applyNumberFormat="1" applyFont="1" applyFill="1"/>
    <xf numFmtId="0" fontId="5" fillId="3" borderId="60" xfId="0" applyFont="1" applyFill="1" applyBorder="1"/>
    <xf numFmtId="0" fontId="1" fillId="0" borderId="0" xfId="0" applyFont="1" applyAlignment="1">
      <alignment horizontal="center" vertical="center"/>
    </xf>
    <xf numFmtId="0" fontId="6" fillId="5" borderId="53" xfId="0" applyFont="1" applyFill="1" applyBorder="1" applyAlignment="1">
      <alignment horizontal="center" vertical="center" wrapText="1"/>
    </xf>
    <xf numFmtId="0" fontId="6" fillId="5" borderId="53" xfId="0" applyFont="1" applyFill="1" applyBorder="1" applyAlignment="1">
      <alignment horizontal="center" vertical="center"/>
    </xf>
    <xf numFmtId="1" fontId="5" fillId="0" borderId="52" xfId="2" applyNumberFormat="1" applyFont="1" applyFill="1" applyBorder="1" applyAlignment="1">
      <alignment horizontal="center" vertical="center"/>
    </xf>
    <xf numFmtId="1" fontId="5" fillId="0" borderId="52" xfId="0" applyNumberFormat="1" applyFont="1" applyBorder="1" applyAlignment="1">
      <alignment horizontal="center" vertical="center"/>
    </xf>
    <xf numFmtId="10" fontId="5" fillId="0" borderId="52" xfId="2" applyNumberFormat="1" applyFont="1" applyFill="1" applyBorder="1" applyAlignment="1">
      <alignment horizontal="center"/>
    </xf>
    <xf numFmtId="0" fontId="5" fillId="0" borderId="52" xfId="0" applyFont="1" applyBorder="1" applyAlignment="1">
      <alignment vertical="center" wrapText="1"/>
    </xf>
    <xf numFmtId="1" fontId="5" fillId="0" borderId="2" xfId="0" applyNumberFormat="1" applyFont="1" applyBorder="1" applyAlignment="1">
      <alignment horizontal="center" vertical="center" wrapText="1"/>
    </xf>
    <xf numFmtId="0" fontId="17" fillId="5" borderId="52" xfId="0" applyFont="1" applyFill="1" applyBorder="1" applyAlignment="1">
      <alignment horizontal="center" vertical="center" wrapText="1"/>
    </xf>
    <xf numFmtId="1" fontId="9" fillId="0" borderId="63" xfId="3" applyNumberFormat="1" applyFont="1" applyBorder="1" applyAlignment="1">
      <alignment horizontal="left" vertical="center" wrapText="1"/>
    </xf>
    <xf numFmtId="0" fontId="17" fillId="5" borderId="63" xfId="0" applyFont="1" applyFill="1" applyBorder="1" applyAlignment="1">
      <alignment horizontal="left" vertical="center" wrapText="1"/>
    </xf>
    <xf numFmtId="0" fontId="17" fillId="0" borderId="0" xfId="0" applyFont="1" applyAlignment="1">
      <alignment vertical="center" wrapText="1"/>
    </xf>
    <xf numFmtId="0" fontId="5" fillId="0" borderId="63" xfId="0" applyFont="1" applyBorder="1" applyAlignment="1">
      <alignment horizontal="left" vertical="center" wrapText="1"/>
    </xf>
    <xf numFmtId="0" fontId="9" fillId="0" borderId="63" xfId="3" applyFont="1" applyBorder="1" applyAlignment="1">
      <alignment horizontal="left" vertical="center" wrapText="1"/>
    </xf>
    <xf numFmtId="0" fontId="8" fillId="0" borderId="0" xfId="0" applyFont="1" applyAlignment="1">
      <alignment vertical="center"/>
    </xf>
    <xf numFmtId="0" fontId="10" fillId="0" borderId="0" xfId="0" applyFont="1" applyAlignment="1">
      <alignment vertical="center" wrapText="1"/>
    </xf>
    <xf numFmtId="2" fontId="5" fillId="0" borderId="0" xfId="0" applyNumberFormat="1" applyFont="1" applyAlignment="1">
      <alignment horizontal="center" vertical="center" wrapText="1"/>
    </xf>
    <xf numFmtId="0" fontId="15" fillId="0" borderId="0" xfId="0" applyFont="1" applyAlignment="1">
      <alignment vertical="center"/>
    </xf>
    <xf numFmtId="0" fontId="15" fillId="0" borderId="0" xfId="0" applyFont="1" applyAlignment="1">
      <alignment vertical="center" wrapText="1"/>
    </xf>
    <xf numFmtId="0" fontId="0" fillId="0" borderId="0" xfId="0" applyAlignment="1">
      <alignment vertical="center" wrapText="1"/>
    </xf>
    <xf numFmtId="2" fontId="5" fillId="0" borderId="2" xfId="0" applyNumberFormat="1" applyFont="1" applyBorder="1" applyAlignment="1">
      <alignment horizontal="center" vertical="center" wrapText="1"/>
    </xf>
    <xf numFmtId="2" fontId="1" fillId="0" borderId="2" xfId="0" applyNumberFormat="1" applyFont="1" applyBorder="1" applyAlignment="1">
      <alignment horizontal="center" vertical="center" wrapText="1"/>
    </xf>
    <xf numFmtId="3" fontId="6" fillId="0" borderId="0" xfId="0" applyNumberFormat="1" applyFont="1" applyAlignment="1">
      <alignment vertical="center"/>
    </xf>
    <xf numFmtId="3" fontId="5" fillId="0" borderId="0" xfId="0" applyNumberFormat="1" applyFont="1" applyAlignment="1">
      <alignment vertical="center"/>
    </xf>
    <xf numFmtId="3" fontId="5" fillId="0" borderId="0" xfId="0" applyNumberFormat="1" applyFont="1" applyAlignment="1">
      <alignment vertical="center" wrapText="1"/>
    </xf>
    <xf numFmtId="0" fontId="22" fillId="5" borderId="9" xfId="0" applyFont="1" applyFill="1" applyBorder="1" applyAlignment="1">
      <alignment horizontal="left" vertical="center" wrapText="1"/>
    </xf>
    <xf numFmtId="0" fontId="22" fillId="5" borderId="52" xfId="0" applyFont="1" applyFill="1" applyBorder="1" applyAlignment="1">
      <alignment horizontal="center" vertical="center" wrapText="1"/>
    </xf>
    <xf numFmtId="0" fontId="5" fillId="0" borderId="2" xfId="0" applyFont="1" applyBorder="1" applyAlignment="1">
      <alignment horizontal="right" vertical="center"/>
    </xf>
    <xf numFmtId="170" fontId="5" fillId="0" borderId="2" xfId="0" applyNumberFormat="1" applyFont="1" applyBorder="1" applyAlignment="1">
      <alignment vertical="center"/>
    </xf>
    <xf numFmtId="0" fontId="5" fillId="0" borderId="8" xfId="0" applyFont="1" applyBorder="1" applyAlignment="1">
      <alignment vertical="center" wrapText="1"/>
    </xf>
    <xf numFmtId="168" fontId="5" fillId="0" borderId="8" xfId="6" applyNumberFormat="1" applyFont="1" applyBorder="1" applyAlignment="1">
      <alignment horizontal="right" vertical="center"/>
    </xf>
    <xf numFmtId="170" fontId="1" fillId="0" borderId="2" xfId="0" applyNumberFormat="1" applyFont="1" applyBorder="1" applyAlignment="1">
      <alignment vertical="center"/>
    </xf>
    <xf numFmtId="0" fontId="5" fillId="0" borderId="9" xfId="0" applyFont="1" applyBorder="1" applyAlignment="1">
      <alignment vertical="center"/>
    </xf>
    <xf numFmtId="0" fontId="5" fillId="0" borderId="12" xfId="0" applyFont="1" applyBorder="1" applyAlignment="1">
      <alignment vertical="center"/>
    </xf>
    <xf numFmtId="168" fontId="5" fillId="0" borderId="12" xfId="6" applyNumberFormat="1" applyFont="1" applyBorder="1" applyAlignment="1">
      <alignment horizontal="right" vertical="center"/>
    </xf>
    <xf numFmtId="170" fontId="1" fillId="6" borderId="8" xfId="0" applyNumberFormat="1" applyFont="1" applyFill="1" applyBorder="1" applyAlignment="1">
      <alignment vertical="center"/>
    </xf>
    <xf numFmtId="0" fontId="0" fillId="0" borderId="0" xfId="0" applyAlignment="1">
      <alignment horizontal="left" vertical="center"/>
    </xf>
    <xf numFmtId="170" fontId="32" fillId="0" borderId="0" xfId="0" applyNumberFormat="1" applyFont="1" applyAlignment="1">
      <alignment vertical="center"/>
    </xf>
    <xf numFmtId="0" fontId="15" fillId="0" borderId="0" xfId="0" applyFont="1"/>
    <xf numFmtId="170" fontId="32" fillId="0" borderId="0" xfId="0" applyNumberFormat="1" applyFont="1"/>
    <xf numFmtId="3" fontId="5" fillId="0" borderId="0" xfId="0" applyNumberFormat="1" applyFont="1" applyAlignment="1">
      <alignment horizontal="left"/>
    </xf>
    <xf numFmtId="0" fontId="33" fillId="0" borderId="0" xfId="0" applyFont="1"/>
    <xf numFmtId="0" fontId="5" fillId="4" borderId="66" xfId="0" applyFont="1" applyFill="1" applyBorder="1"/>
    <xf numFmtId="0" fontId="5" fillId="4" borderId="66" xfId="0" applyFont="1" applyFill="1" applyBorder="1" applyAlignment="1">
      <alignment horizontal="center" vertical="center"/>
    </xf>
    <xf numFmtId="3" fontId="5" fillId="0" borderId="66" xfId="0" applyNumberFormat="1" applyFont="1" applyBorder="1" applyAlignment="1">
      <alignment horizontal="center"/>
    </xf>
    <xf numFmtId="168" fontId="1" fillId="0" borderId="2" xfId="6" applyNumberFormat="1" applyFont="1" applyBorder="1" applyAlignment="1">
      <alignment horizontal="right" vertical="center" wrapText="1"/>
    </xf>
    <xf numFmtId="0" fontId="1" fillId="0" borderId="52" xfId="1" quotePrefix="1" applyBorder="1" applyAlignment="1">
      <alignment horizontal="center" vertical="center" wrapText="1"/>
    </xf>
    <xf numFmtId="0" fontId="35" fillId="0" borderId="21" xfId="0" applyFont="1" applyBorder="1" applyAlignment="1">
      <alignment horizontal="left" vertical="top" wrapText="1"/>
    </xf>
    <xf numFmtId="168" fontId="35" fillId="0" borderId="21" xfId="6" applyNumberFormat="1" applyFont="1" applyBorder="1" applyAlignment="1">
      <alignment horizontal="center" vertical="center" wrapText="1"/>
    </xf>
    <xf numFmtId="3" fontId="5" fillId="0" borderId="0" xfId="0" applyNumberFormat="1" applyFont="1"/>
    <xf numFmtId="166" fontId="5" fillId="0" borderId="2" xfId="7" applyNumberFormat="1" applyFont="1" applyBorder="1" applyAlignment="1">
      <alignment horizontal="center" vertical="center"/>
    </xf>
    <xf numFmtId="3" fontId="5" fillId="0" borderId="0" xfId="0" applyNumberFormat="1" applyFont="1" applyAlignment="1">
      <alignment horizontal="center" vertical="top" wrapText="1"/>
    </xf>
    <xf numFmtId="0" fontId="28" fillId="6" borderId="0" xfId="0" applyFont="1" applyFill="1"/>
    <xf numFmtId="0" fontId="10" fillId="6" borderId="0" xfId="0" applyFont="1" applyFill="1"/>
    <xf numFmtId="0" fontId="29" fillId="0" borderId="67" xfId="0" applyFont="1" applyBorder="1" applyAlignment="1">
      <alignment horizontal="center" vertical="center"/>
    </xf>
    <xf numFmtId="0" fontId="29" fillId="0" borderId="25" xfId="0" applyFont="1" applyBorder="1" applyAlignment="1">
      <alignment horizontal="center" vertical="center"/>
    </xf>
    <xf numFmtId="0" fontId="29" fillId="0" borderId="68" xfId="0" applyFont="1" applyBorder="1" applyAlignment="1">
      <alignment horizontal="center" vertical="center"/>
    </xf>
    <xf numFmtId="0" fontId="29" fillId="0" borderId="69" xfId="0" applyFont="1" applyBorder="1" applyAlignment="1">
      <alignment horizontal="center" vertical="center"/>
    </xf>
    <xf numFmtId="0" fontId="6" fillId="5" borderId="24" xfId="0" applyFont="1" applyFill="1" applyBorder="1" applyAlignment="1">
      <alignment horizontal="center" vertical="center"/>
    </xf>
    <xf numFmtId="0" fontId="17" fillId="5" borderId="9" xfId="0" applyFont="1" applyFill="1" applyBorder="1" applyAlignment="1">
      <alignment horizontal="center" vertical="center" wrapText="1"/>
    </xf>
    <xf numFmtId="2" fontId="20" fillId="0" borderId="2" xfId="0" applyNumberFormat="1" applyFont="1" applyBorder="1" applyAlignment="1">
      <alignment horizontal="center" vertical="center"/>
    </xf>
    <xf numFmtId="2" fontId="20" fillId="0" borderId="1" xfId="0" applyNumberFormat="1" applyFont="1" applyBorder="1" applyAlignment="1">
      <alignment horizontal="center" vertical="center"/>
    </xf>
    <xf numFmtId="2" fontId="20" fillId="0" borderId="4" xfId="0" applyNumberFormat="1" applyFont="1" applyBorder="1" applyAlignment="1">
      <alignment horizontal="center" vertical="center"/>
    </xf>
    <xf numFmtId="2" fontId="20" fillId="0" borderId="27" xfId="0" applyNumberFormat="1" applyFont="1" applyBorder="1" applyAlignment="1">
      <alignment horizontal="center" vertical="center"/>
    </xf>
    <xf numFmtId="2" fontId="20" fillId="0" borderId="6" xfId="0" applyNumberFormat="1" applyFont="1" applyBorder="1" applyAlignment="1">
      <alignment horizontal="center" vertical="center"/>
    </xf>
    <xf numFmtId="2" fontId="20" fillId="0" borderId="9" xfId="0" applyNumberFormat="1" applyFont="1" applyBorder="1" applyAlignment="1">
      <alignment horizontal="center" vertical="center"/>
    </xf>
    <xf numFmtId="2" fontId="20" fillId="0" borderId="70" xfId="0" applyNumberFormat="1" applyFont="1" applyBorder="1" applyAlignment="1">
      <alignment horizontal="center" vertical="center"/>
    </xf>
    <xf numFmtId="2" fontId="20" fillId="0" borderId="5" xfId="0" applyNumberFormat="1" applyFont="1" applyBorder="1" applyAlignment="1">
      <alignment horizontal="center" vertical="center"/>
    </xf>
    <xf numFmtId="1" fontId="20" fillId="0" borderId="4" xfId="0" applyNumberFormat="1" applyFont="1" applyBorder="1" applyAlignment="1">
      <alignment horizontal="center" vertical="center"/>
    </xf>
    <xf numFmtId="0" fontId="6" fillId="5" borderId="43" xfId="0" applyFont="1" applyFill="1" applyBorder="1" applyAlignment="1">
      <alignment horizontal="center" vertical="center"/>
    </xf>
    <xf numFmtId="0" fontId="6" fillId="5" borderId="38" xfId="0" applyFont="1" applyFill="1" applyBorder="1" applyAlignment="1">
      <alignment horizontal="center" vertical="center"/>
    </xf>
    <xf numFmtId="0" fontId="13" fillId="2" borderId="0" xfId="0" applyFont="1" applyFill="1"/>
    <xf numFmtId="0" fontId="13" fillId="2" borderId="0" xfId="0" applyFont="1" applyFill="1" applyAlignment="1">
      <alignment wrapText="1"/>
    </xf>
    <xf numFmtId="0" fontId="13" fillId="2" borderId="0" xfId="0" applyFont="1" applyFill="1" applyAlignment="1">
      <alignment horizontal="left"/>
    </xf>
    <xf numFmtId="0" fontId="13" fillId="2" borderId="0" xfId="0" applyFont="1" applyFill="1" applyAlignment="1">
      <alignment horizontal="center"/>
    </xf>
    <xf numFmtId="0" fontId="10" fillId="0" borderId="0" xfId="0" applyFont="1" applyAlignment="1">
      <alignment wrapText="1"/>
    </xf>
    <xf numFmtId="0" fontId="10" fillId="0" borderId="0" xfId="0" applyFont="1" applyAlignment="1">
      <alignment horizontal="center"/>
    </xf>
    <xf numFmtId="2" fontId="10" fillId="0" borderId="0" xfId="0" applyNumberFormat="1" applyFont="1" applyAlignment="1">
      <alignment horizontal="center" vertical="center"/>
    </xf>
    <xf numFmtId="3" fontId="9" fillId="0" borderId="0" xfId="3" applyNumberFormat="1" applyFont="1" applyBorder="1" applyAlignment="1">
      <alignment horizontal="center" vertical="center" wrapText="1"/>
    </xf>
    <xf numFmtId="0" fontId="5" fillId="0" borderId="0" xfId="0" applyFont="1" applyAlignment="1">
      <alignment horizontal="center"/>
    </xf>
    <xf numFmtId="0" fontId="36" fillId="0" borderId="0" xfId="0" applyFont="1"/>
    <xf numFmtId="167" fontId="10" fillId="0" borderId="0" xfId="0" applyNumberFormat="1" applyFont="1"/>
    <xf numFmtId="0" fontId="38" fillId="0" borderId="0" xfId="0" applyFont="1" applyAlignment="1">
      <alignment vertical="center"/>
    </xf>
    <xf numFmtId="2" fontId="10" fillId="0" borderId="0" xfId="0" applyNumberFormat="1" applyFont="1"/>
    <xf numFmtId="0" fontId="7" fillId="0" borderId="0" xfId="5" applyAlignment="1">
      <alignment horizontal="left"/>
    </xf>
    <xf numFmtId="0" fontId="1" fillId="0" borderId="2" xfId="0" applyFont="1" applyBorder="1" applyAlignment="1">
      <alignment horizontal="center" vertical="center" wrapText="1"/>
    </xf>
    <xf numFmtId="0" fontId="1" fillId="0" borderId="0" xfId="0" applyFont="1"/>
    <xf numFmtId="0" fontId="21" fillId="0" borderId="0" xfId="0" applyFont="1"/>
    <xf numFmtId="0" fontId="21" fillId="0" borderId="0" xfId="0" applyFont="1" applyAlignment="1">
      <alignment wrapText="1"/>
    </xf>
    <xf numFmtId="0" fontId="5" fillId="0" borderId="2" xfId="0" applyFont="1" applyBorder="1" applyAlignment="1">
      <alignment horizontal="left" vertical="center"/>
    </xf>
    <xf numFmtId="0" fontId="5" fillId="0" borderId="0" xfId="0" applyFont="1" applyAlignment="1">
      <alignment horizontal="left" vertical="top"/>
    </xf>
    <xf numFmtId="1" fontId="5" fillId="0" borderId="2" xfId="0" applyNumberFormat="1" applyFont="1" applyBorder="1" applyAlignment="1">
      <alignment horizontal="center" vertical="center"/>
    </xf>
    <xf numFmtId="168" fontId="5" fillId="0" borderId="0" xfId="6" applyNumberFormat="1" applyFont="1" applyBorder="1" applyAlignment="1">
      <alignment horizontal="left" vertical="center"/>
    </xf>
    <xf numFmtId="168" fontId="5" fillId="0" borderId="0" xfId="0" applyNumberFormat="1" applyFont="1"/>
    <xf numFmtId="2" fontId="5" fillId="0" borderId="0" xfId="0" applyNumberFormat="1" applyFont="1" applyAlignment="1">
      <alignment horizontal="left"/>
    </xf>
    <xf numFmtId="0" fontId="5" fillId="3" borderId="63" xfId="0" applyFont="1" applyFill="1" applyBorder="1" applyAlignment="1">
      <alignment horizontal="center" vertical="center"/>
    </xf>
    <xf numFmtId="3" fontId="5" fillId="3" borderId="63" xfId="6" applyNumberFormat="1" applyFont="1" applyFill="1" applyBorder="1" applyAlignment="1">
      <alignment horizontal="center" vertical="center"/>
    </xf>
    <xf numFmtId="3" fontId="5" fillId="0" borderId="0" xfId="0" applyNumberFormat="1" applyFont="1" applyAlignment="1">
      <alignment horizontal="center"/>
    </xf>
    <xf numFmtId="168" fontId="5" fillId="0" borderId="63" xfId="0" applyNumberFormat="1" applyFont="1" applyBorder="1" applyAlignment="1">
      <alignment horizontal="center" vertical="center"/>
    </xf>
    <xf numFmtId="168" fontId="5" fillId="0" borderId="63" xfId="6" applyNumberFormat="1" applyFont="1" applyBorder="1" applyAlignment="1">
      <alignment horizontal="center" vertical="center"/>
    </xf>
    <xf numFmtId="1" fontId="5" fillId="0" borderId="63" xfId="0" applyNumberFormat="1" applyFont="1" applyBorder="1" applyAlignment="1">
      <alignment horizontal="center" vertical="center"/>
    </xf>
    <xf numFmtId="168" fontId="5" fillId="0" borderId="63" xfId="6" applyNumberFormat="1" applyFont="1" applyBorder="1" applyAlignment="1">
      <alignment horizontal="center" vertical="center" wrapText="1"/>
    </xf>
    <xf numFmtId="4" fontId="5" fillId="0" borderId="63" xfId="0" applyNumberFormat="1" applyFont="1" applyBorder="1" applyAlignment="1">
      <alignment horizontal="center"/>
    </xf>
    <xf numFmtId="4" fontId="5" fillId="0" borderId="63" xfId="6" applyNumberFormat="1" applyFont="1" applyBorder="1" applyAlignment="1">
      <alignment horizontal="center" vertical="center" wrapText="1"/>
    </xf>
    <xf numFmtId="3" fontId="5" fillId="0" borderId="63" xfId="0" applyNumberFormat="1" applyFont="1" applyBorder="1" applyAlignment="1">
      <alignment horizontal="center"/>
    </xf>
    <xf numFmtId="3" fontId="5" fillId="0" borderId="63" xfId="6" applyNumberFormat="1" applyFont="1" applyBorder="1" applyAlignment="1">
      <alignment horizontal="center" vertical="center" wrapText="1"/>
    </xf>
    <xf numFmtId="3" fontId="5" fillId="0" borderId="63" xfId="6" applyNumberFormat="1" applyFont="1" applyBorder="1" applyAlignment="1">
      <alignment horizontal="center" vertical="center"/>
    </xf>
    <xf numFmtId="0" fontId="39" fillId="0" borderId="47" xfId="0" applyFont="1" applyBorder="1" applyAlignment="1">
      <alignment horizontal="right" vertical="center" wrapText="1"/>
    </xf>
    <xf numFmtId="0" fontId="39" fillId="0" borderId="48" xfId="0" applyFont="1" applyBorder="1" applyAlignment="1">
      <alignment horizontal="right" vertical="center" wrapText="1"/>
    </xf>
    <xf numFmtId="2" fontId="5" fillId="0" borderId="2" xfId="0" applyNumberFormat="1" applyFont="1" applyBorder="1" applyAlignment="1">
      <alignment horizontal="center" vertical="center"/>
    </xf>
    <xf numFmtId="0" fontId="11" fillId="7" borderId="0" xfId="0" applyFont="1" applyFill="1" applyAlignment="1">
      <alignment vertical="center" wrapText="1"/>
    </xf>
    <xf numFmtId="0" fontId="17" fillId="5" borderId="71" xfId="0" applyFont="1" applyFill="1" applyBorder="1" applyAlignment="1">
      <alignment horizontal="center" vertical="center" wrapText="1"/>
    </xf>
    <xf numFmtId="1" fontId="5" fillId="0" borderId="63" xfId="6" applyNumberFormat="1" applyFont="1" applyBorder="1" applyAlignment="1">
      <alignment horizontal="center" vertical="center"/>
    </xf>
    <xf numFmtId="0" fontId="1" fillId="0" borderId="8" xfId="0" applyFont="1" applyBorder="1" applyAlignment="1">
      <alignment horizontal="right" vertical="center"/>
    </xf>
    <xf numFmtId="0" fontId="21" fillId="0" borderId="2" xfId="0" applyFont="1" applyBorder="1" applyAlignment="1">
      <alignment horizontal="center" vertical="center" wrapText="1"/>
    </xf>
    <xf numFmtId="0" fontId="21" fillId="0" borderId="73" xfId="0" applyFont="1" applyBorder="1" applyAlignment="1">
      <alignment horizontal="center" vertical="center" wrapText="1"/>
    </xf>
    <xf numFmtId="0" fontId="5" fillId="0" borderId="23" xfId="4" applyBorder="1" applyAlignment="1">
      <alignment horizontal="center" vertical="center"/>
    </xf>
    <xf numFmtId="0" fontId="20" fillId="0" borderId="74" xfId="0" applyFont="1" applyBorder="1" applyAlignment="1">
      <alignment horizontal="center" vertical="center"/>
    </xf>
    <xf numFmtId="0" fontId="20" fillId="0" borderId="8" xfId="0" applyFont="1" applyBorder="1" applyAlignment="1">
      <alignment horizontal="center" vertical="center"/>
    </xf>
    <xf numFmtId="0" fontId="20" fillId="0" borderId="75" xfId="0" applyFont="1" applyBorder="1" applyAlignment="1">
      <alignment horizontal="center" vertical="center"/>
    </xf>
    <xf numFmtId="0" fontId="20" fillId="0" borderId="12" xfId="0" applyFont="1" applyBorder="1" applyAlignment="1">
      <alignment horizontal="center" vertical="center"/>
    </xf>
    <xf numFmtId="0" fontId="20" fillId="0" borderId="18" xfId="0" applyFont="1" applyBorder="1" applyAlignment="1">
      <alignment horizontal="center" vertical="center"/>
    </xf>
    <xf numFmtId="2" fontId="20" fillId="0" borderId="16" xfId="0" applyNumberFormat="1" applyFont="1" applyBorder="1" applyAlignment="1">
      <alignment horizontal="center" vertical="center"/>
    </xf>
    <xf numFmtId="2" fontId="20" fillId="0" borderId="76" xfId="0" applyNumberFormat="1" applyFont="1" applyBorder="1" applyAlignment="1">
      <alignment horizontal="center" vertical="center"/>
    </xf>
    <xf numFmtId="165" fontId="5" fillId="0" borderId="52" xfId="2" applyNumberFormat="1" applyFont="1" applyFill="1" applyBorder="1" applyAlignment="1">
      <alignment horizontal="center"/>
    </xf>
    <xf numFmtId="165" fontId="5" fillId="0" borderId="52" xfId="0" applyNumberFormat="1" applyFont="1" applyBorder="1"/>
    <xf numFmtId="165" fontId="5" fillId="0" borderId="52" xfId="0" applyNumberFormat="1" applyFont="1" applyBorder="1" applyAlignment="1">
      <alignment vertical="center" wrapText="1"/>
    </xf>
    <xf numFmtId="165" fontId="5" fillId="0" borderId="52" xfId="0" applyNumberFormat="1" applyFont="1" applyBorder="1" applyAlignment="1">
      <alignment horizontal="center" vertical="center"/>
    </xf>
    <xf numFmtId="168" fontId="5" fillId="0" borderId="2" xfId="6" applyNumberFormat="1" applyFont="1" applyBorder="1" applyAlignment="1">
      <alignment horizontal="center" vertical="center"/>
    </xf>
    <xf numFmtId="0" fontId="6" fillId="5" borderId="2" xfId="0" applyFont="1" applyFill="1" applyBorder="1" applyAlignment="1">
      <alignment vertical="center"/>
    </xf>
    <xf numFmtId="0" fontId="9" fillId="0" borderId="2" xfId="3" applyFont="1" applyBorder="1" applyAlignment="1">
      <alignment vertical="center" wrapText="1"/>
    </xf>
    <xf numFmtId="0" fontId="9" fillId="0" borderId="0" xfId="3" applyFont="1" applyBorder="1" applyAlignment="1">
      <alignment vertical="center" wrapText="1"/>
    </xf>
    <xf numFmtId="0" fontId="0" fillId="0" borderId="0" xfId="0" applyAlignment="1">
      <alignment vertical="center"/>
    </xf>
    <xf numFmtId="0" fontId="24" fillId="0" borderId="0" xfId="0" applyFont="1" applyAlignment="1">
      <alignment vertical="center"/>
    </xf>
    <xf numFmtId="167" fontId="5" fillId="0" borderId="52" xfId="0" applyNumberFormat="1" applyFont="1" applyBorder="1" applyAlignment="1">
      <alignment horizontal="center" vertical="center"/>
    </xf>
    <xf numFmtId="0" fontId="6" fillId="5" borderId="52" xfId="0" applyFont="1" applyFill="1" applyBorder="1" applyAlignment="1">
      <alignment horizontal="center" vertical="center" wrapText="1"/>
    </xf>
    <xf numFmtId="0" fontId="5" fillId="6" borderId="52" xfId="0" applyFont="1" applyFill="1" applyBorder="1" applyAlignment="1">
      <alignment horizontal="center" vertical="center"/>
    </xf>
    <xf numFmtId="167" fontId="5" fillId="13" borderId="52" xfId="0" applyNumberFormat="1" applyFont="1" applyFill="1" applyBorder="1" applyAlignment="1">
      <alignment horizontal="center" vertical="center"/>
    </xf>
    <xf numFmtId="0" fontId="1" fillId="14" borderId="52" xfId="0" applyFont="1" applyFill="1" applyBorder="1" applyAlignment="1">
      <alignment horizontal="center" vertical="center"/>
    </xf>
    <xf numFmtId="167" fontId="5" fillId="14" borderId="52" xfId="0" applyNumberFormat="1" applyFont="1" applyFill="1" applyBorder="1" applyAlignment="1">
      <alignment horizontal="center" vertical="center"/>
    </xf>
    <xf numFmtId="167" fontId="5" fillId="4" borderId="52" xfId="0" applyNumberFormat="1" applyFont="1" applyFill="1" applyBorder="1" applyAlignment="1">
      <alignment horizontal="center" vertical="center"/>
    </xf>
    <xf numFmtId="167" fontId="5" fillId="6" borderId="52" xfId="0" applyNumberFormat="1" applyFont="1" applyFill="1" applyBorder="1" applyAlignment="1">
      <alignment horizontal="center" vertical="center"/>
    </xf>
    <xf numFmtId="0" fontId="5" fillId="14" borderId="52" xfId="0" applyFont="1" applyFill="1" applyBorder="1" applyAlignment="1">
      <alignment horizontal="center" vertical="center"/>
    </xf>
    <xf numFmtId="0" fontId="5" fillId="13" borderId="52" xfId="0" applyFont="1" applyFill="1" applyBorder="1" applyAlignment="1">
      <alignment horizontal="center" vertical="center"/>
    </xf>
    <xf numFmtId="0" fontId="5" fillId="4" borderId="52" xfId="0" applyFont="1" applyFill="1" applyBorder="1" applyAlignment="1">
      <alignment horizontal="center" vertical="center"/>
    </xf>
    <xf numFmtId="0" fontId="6" fillId="5" borderId="21" xfId="0" applyFont="1" applyFill="1" applyBorder="1" applyAlignment="1">
      <alignment horizontal="center" vertical="center" wrapText="1"/>
    </xf>
    <xf numFmtId="0" fontId="6" fillId="5" borderId="34" xfId="0" applyFont="1" applyFill="1" applyBorder="1" applyAlignment="1">
      <alignment horizontal="center" vertical="center"/>
    </xf>
    <xf numFmtId="0" fontId="5" fillId="6" borderId="52" xfId="0" applyFont="1" applyFill="1" applyBorder="1" applyAlignment="1">
      <alignment horizontal="center" vertical="center" wrapText="1"/>
    </xf>
    <xf numFmtId="0" fontId="1" fillId="14" borderId="52" xfId="0" applyFont="1" applyFill="1" applyBorder="1" applyAlignment="1">
      <alignment horizontal="center" vertical="center" wrapText="1"/>
    </xf>
    <xf numFmtId="0" fontId="5" fillId="14" borderId="52" xfId="0" applyFont="1" applyFill="1" applyBorder="1" applyAlignment="1">
      <alignment horizontal="center" vertical="center" wrapText="1"/>
    </xf>
    <xf numFmtId="0" fontId="1" fillId="13" borderId="52" xfId="0" applyFont="1" applyFill="1" applyBorder="1" applyAlignment="1">
      <alignment horizontal="center" vertical="center" wrapText="1"/>
    </xf>
    <xf numFmtId="0" fontId="1" fillId="4" borderId="52" xfId="0" applyFont="1" applyFill="1" applyBorder="1" applyAlignment="1">
      <alignment horizontal="center" vertical="center" wrapText="1"/>
    </xf>
    <xf numFmtId="0" fontId="9" fillId="0" borderId="2" xfId="3" applyFont="1" applyFill="1" applyBorder="1" applyAlignment="1">
      <alignment horizontal="left" vertical="center" wrapText="1"/>
    </xf>
    <xf numFmtId="167" fontId="1" fillId="4" borderId="52" xfId="0" applyNumberFormat="1" applyFont="1" applyFill="1" applyBorder="1" applyAlignment="1">
      <alignment horizontal="center" vertical="center" wrapText="1"/>
    </xf>
    <xf numFmtId="1" fontId="5" fillId="0" borderId="0" xfId="0" applyNumberFormat="1" applyFont="1" applyAlignment="1">
      <alignment horizontal="left" vertical="center"/>
    </xf>
    <xf numFmtId="0" fontId="18" fillId="5" borderId="52" xfId="0" applyFont="1" applyFill="1" applyBorder="1" applyAlignment="1">
      <alignment horizontal="center" vertical="center" wrapText="1"/>
    </xf>
    <xf numFmtId="3" fontId="5" fillId="0" borderId="52" xfId="7" applyNumberFormat="1" applyFont="1" applyBorder="1" applyAlignment="1">
      <alignment horizontal="center" vertical="center"/>
    </xf>
    <xf numFmtId="0" fontId="20" fillId="0" borderId="83" xfId="0" applyFont="1" applyBorder="1" applyAlignment="1">
      <alignment horizontal="center" vertical="center"/>
    </xf>
    <xf numFmtId="2" fontId="20" fillId="0" borderId="84" xfId="0" applyNumberFormat="1" applyFont="1" applyBorder="1" applyAlignment="1">
      <alignment horizontal="center" vertical="center"/>
    </xf>
    <xf numFmtId="2" fontId="20" fillId="0" borderId="85" xfId="0" applyNumberFormat="1" applyFont="1" applyBorder="1" applyAlignment="1">
      <alignment horizontal="center" vertical="center"/>
    </xf>
    <xf numFmtId="167" fontId="20" fillId="0" borderId="0" xfId="0" applyNumberFormat="1" applyFont="1" applyAlignment="1">
      <alignment horizontal="center" vertical="center"/>
    </xf>
    <xf numFmtId="0" fontId="20" fillId="0" borderId="86" xfId="0" applyFont="1" applyBorder="1" applyAlignment="1">
      <alignment horizontal="center" vertical="center"/>
    </xf>
    <xf numFmtId="2" fontId="20" fillId="0" borderId="77" xfId="0" applyNumberFormat="1" applyFont="1" applyBorder="1" applyAlignment="1">
      <alignment horizontal="center" vertical="center"/>
    </xf>
    <xf numFmtId="2" fontId="20" fillId="0" borderId="87" xfId="0" applyNumberFormat="1" applyFont="1" applyBorder="1" applyAlignment="1">
      <alignment horizontal="center" vertical="center"/>
    </xf>
    <xf numFmtId="0" fontId="20" fillId="0" borderId="88" xfId="0" applyFont="1" applyBorder="1" applyAlignment="1">
      <alignment horizontal="center" vertical="center"/>
    </xf>
    <xf numFmtId="2" fontId="20" fillId="0" borderId="72" xfId="0" applyNumberFormat="1" applyFont="1" applyBorder="1" applyAlignment="1">
      <alignment horizontal="center" vertical="center"/>
    </xf>
    <xf numFmtId="2" fontId="20" fillId="0" borderId="89" xfId="0" applyNumberFormat="1" applyFont="1" applyBorder="1" applyAlignment="1">
      <alignment horizontal="center" vertical="center"/>
    </xf>
    <xf numFmtId="0" fontId="20" fillId="0" borderId="90" xfId="0" applyFont="1" applyBorder="1" applyAlignment="1">
      <alignment horizontal="center" vertical="center"/>
    </xf>
    <xf numFmtId="2" fontId="20" fillId="0" borderId="91" xfId="0" applyNumberFormat="1" applyFont="1" applyBorder="1" applyAlignment="1">
      <alignment horizontal="center" vertical="center"/>
    </xf>
    <xf numFmtId="2" fontId="20" fillId="0" borderId="92" xfId="0" applyNumberFormat="1" applyFont="1" applyBorder="1" applyAlignment="1">
      <alignment horizontal="center" vertical="center"/>
    </xf>
    <xf numFmtId="2" fontId="20" fillId="0" borderId="93" xfId="0" applyNumberFormat="1" applyFont="1" applyBorder="1" applyAlignment="1">
      <alignment horizontal="center" vertical="center"/>
    </xf>
    <xf numFmtId="2" fontId="20" fillId="0" borderId="97" xfId="0" applyNumberFormat="1" applyFont="1" applyBorder="1" applyAlignment="1">
      <alignment horizontal="center" vertical="center"/>
    </xf>
    <xf numFmtId="2" fontId="20" fillId="0" borderId="79" xfId="0" applyNumberFormat="1" applyFont="1" applyBorder="1" applyAlignment="1">
      <alignment horizontal="center" vertical="center"/>
    </xf>
    <xf numFmtId="2" fontId="20" fillId="0" borderId="80" xfId="0" applyNumberFormat="1" applyFont="1" applyBorder="1" applyAlignment="1">
      <alignment horizontal="center" vertical="center"/>
    </xf>
    <xf numFmtId="2" fontId="20" fillId="0" borderId="52" xfId="0" applyNumberFormat="1" applyFont="1" applyBorder="1" applyAlignment="1">
      <alignment horizontal="center" vertical="center"/>
    </xf>
    <xf numFmtId="2" fontId="20" fillId="0" borderId="82" xfId="0" applyNumberFormat="1" applyFont="1" applyBorder="1" applyAlignment="1">
      <alignment horizontal="center" vertical="center"/>
    </xf>
    <xf numFmtId="2" fontId="20" fillId="0" borderId="95" xfId="0" applyNumberFormat="1" applyFont="1" applyBorder="1" applyAlignment="1">
      <alignment horizontal="center" vertical="center"/>
    </xf>
    <xf numFmtId="2" fontId="20" fillId="0" borderId="96" xfId="0" applyNumberFormat="1" applyFont="1" applyBorder="1" applyAlignment="1">
      <alignment horizontal="center" vertical="center"/>
    </xf>
    <xf numFmtId="0" fontId="20" fillId="0" borderId="102" xfId="0" applyFont="1" applyBorder="1" applyAlignment="1">
      <alignment horizontal="center" vertical="center"/>
    </xf>
    <xf numFmtId="0" fontId="20" fillId="0" borderId="104" xfId="0" applyFont="1" applyBorder="1" applyAlignment="1">
      <alignment horizontal="center" vertical="center"/>
    </xf>
    <xf numFmtId="0" fontId="20" fillId="0" borderId="107" xfId="0" applyFont="1" applyBorder="1" applyAlignment="1">
      <alignment horizontal="center" vertical="center"/>
    </xf>
    <xf numFmtId="0" fontId="20" fillId="0" borderId="111" xfId="0" applyFont="1" applyBorder="1" applyAlignment="1">
      <alignment horizontal="center" vertical="center"/>
    </xf>
    <xf numFmtId="165" fontId="41" fillId="0" borderId="109" xfId="0" applyNumberFormat="1" applyFont="1" applyBorder="1" applyAlignment="1">
      <alignment horizontal="center" vertical="center"/>
    </xf>
    <xf numFmtId="165" fontId="41" fillId="0" borderId="112" xfId="0" applyNumberFormat="1" applyFont="1" applyBorder="1" applyAlignment="1">
      <alignment horizontal="center" vertical="center"/>
    </xf>
    <xf numFmtId="0" fontId="20" fillId="0" borderId="62" xfId="0" applyFont="1" applyBorder="1" applyAlignment="1">
      <alignment horizontal="center" vertical="center"/>
    </xf>
    <xf numFmtId="165" fontId="41" fillId="0" borderId="52" xfId="0" applyNumberFormat="1" applyFont="1" applyBorder="1" applyAlignment="1">
      <alignment horizontal="center" vertical="center"/>
    </xf>
    <xf numFmtId="165" fontId="41" fillId="0" borderId="114" xfId="0" applyNumberFormat="1" applyFont="1" applyBorder="1" applyAlignment="1">
      <alignment horizontal="center" vertical="center"/>
    </xf>
    <xf numFmtId="0" fontId="20" fillId="0" borderId="119" xfId="0" applyFont="1" applyBorder="1" applyAlignment="1">
      <alignment horizontal="center" vertical="center"/>
    </xf>
    <xf numFmtId="165" fontId="41" fillId="0" borderId="116" xfId="0" applyNumberFormat="1" applyFont="1" applyBorder="1" applyAlignment="1">
      <alignment horizontal="center" vertical="center"/>
    </xf>
    <xf numFmtId="165" fontId="41" fillId="0" borderId="120" xfId="0" applyNumberFormat="1" applyFont="1" applyBorder="1" applyAlignment="1">
      <alignment horizontal="center" vertical="center"/>
    </xf>
    <xf numFmtId="0" fontId="20" fillId="0" borderId="123" xfId="0" applyFont="1" applyBorder="1" applyAlignment="1">
      <alignment horizontal="center" vertical="center"/>
    </xf>
    <xf numFmtId="1" fontId="41" fillId="0" borderId="55" xfId="0" applyNumberFormat="1" applyFont="1" applyBorder="1" applyAlignment="1">
      <alignment horizontal="center" vertical="center"/>
    </xf>
    <xf numFmtId="1" fontId="41" fillId="0" borderId="124" xfId="0" applyNumberFormat="1" applyFont="1" applyBorder="1" applyAlignment="1">
      <alignment horizontal="center" vertical="center"/>
    </xf>
    <xf numFmtId="1" fontId="41" fillId="0" borderId="52" xfId="0" applyNumberFormat="1" applyFont="1" applyBorder="1" applyAlignment="1">
      <alignment horizontal="center" vertical="center"/>
    </xf>
    <xf numFmtId="1" fontId="41" fillId="0" borderId="82" xfId="0" applyNumberFormat="1" applyFont="1" applyBorder="1" applyAlignment="1">
      <alignment horizontal="center" vertical="center"/>
    </xf>
    <xf numFmtId="0" fontId="20" fillId="0" borderId="127" xfId="0" applyFont="1" applyBorder="1" applyAlignment="1">
      <alignment horizontal="center" vertical="center"/>
    </xf>
    <xf numFmtId="1" fontId="41" fillId="0" borderId="95" xfId="0" applyNumberFormat="1" applyFont="1" applyBorder="1" applyAlignment="1">
      <alignment horizontal="center" vertical="center"/>
    </xf>
    <xf numFmtId="1" fontId="41" fillId="0" borderId="96" xfId="0" applyNumberFormat="1" applyFont="1" applyBorder="1" applyAlignment="1">
      <alignment horizontal="center" vertical="center"/>
    </xf>
    <xf numFmtId="0" fontId="20" fillId="0" borderId="129" xfId="0" applyFont="1" applyBorder="1" applyAlignment="1">
      <alignment horizontal="center" vertical="center"/>
    </xf>
    <xf numFmtId="1" fontId="41" fillId="0" borderId="79" xfId="0" applyNumberFormat="1" applyFont="1" applyBorder="1" applyAlignment="1">
      <alignment horizontal="center" vertical="center"/>
    </xf>
    <xf numFmtId="1" fontId="41" fillId="0" borderId="80" xfId="0" applyNumberFormat="1" applyFont="1" applyBorder="1" applyAlignment="1">
      <alignment horizontal="center" vertical="center"/>
    </xf>
    <xf numFmtId="2" fontId="5" fillId="0" borderId="9" xfId="0" applyNumberFormat="1" applyFont="1" applyBorder="1" applyAlignment="1">
      <alignment horizontal="center" vertical="center" wrapText="1"/>
    </xf>
    <xf numFmtId="0" fontId="6" fillId="5" borderId="0" xfId="0" applyFont="1" applyFill="1" applyAlignment="1">
      <alignment horizontal="center" vertical="center"/>
    </xf>
    <xf numFmtId="2" fontId="5" fillId="0" borderId="3" xfId="0" applyNumberFormat="1" applyFont="1" applyBorder="1" applyAlignment="1">
      <alignment horizontal="center" vertical="center" wrapText="1"/>
    </xf>
    <xf numFmtId="0" fontId="6" fillId="5" borderId="34" xfId="0" applyFont="1" applyFill="1" applyBorder="1" applyAlignment="1">
      <alignment horizontal="center" vertical="center" wrapText="1"/>
    </xf>
    <xf numFmtId="0" fontId="29" fillId="0" borderId="31" xfId="0" applyFont="1" applyBorder="1" applyAlignment="1">
      <alignment horizontal="center" vertical="center"/>
    </xf>
    <xf numFmtId="0" fontId="29" fillId="0" borderId="0" xfId="0" applyFont="1" applyAlignment="1">
      <alignment horizontal="center" vertical="center"/>
    </xf>
    <xf numFmtId="0" fontId="29" fillId="0" borderId="28" xfId="0" applyFont="1" applyBorder="1" applyAlignment="1">
      <alignment horizontal="center" vertical="center"/>
    </xf>
    <xf numFmtId="165" fontId="5" fillId="0" borderId="52" xfId="0" applyNumberFormat="1" applyFont="1" applyBorder="1" applyAlignment="1">
      <alignment horizontal="center" vertical="center" wrapText="1"/>
    </xf>
    <xf numFmtId="0" fontId="5" fillId="0" borderId="136" xfId="0" applyFont="1" applyBorder="1" applyAlignment="1">
      <alignment horizontal="center" vertical="center"/>
    </xf>
    <xf numFmtId="0" fontId="20" fillId="0" borderId="15" xfId="0" applyFont="1" applyBorder="1" applyAlignment="1">
      <alignment horizontal="center" vertical="center"/>
    </xf>
    <xf numFmtId="2" fontId="20" fillId="0" borderId="13" xfId="0" applyNumberFormat="1" applyFont="1" applyBorder="1" applyAlignment="1">
      <alignment horizontal="center" vertical="center"/>
    </xf>
    <xf numFmtId="2" fontId="20" fillId="0" borderId="140" xfId="0" applyNumberFormat="1" applyFont="1" applyBorder="1" applyAlignment="1">
      <alignment horizontal="center" vertical="center"/>
    </xf>
    <xf numFmtId="0" fontId="22" fillId="10" borderId="2" xfId="0" applyFont="1" applyFill="1" applyBorder="1" applyAlignment="1">
      <alignment horizontal="center" vertical="center"/>
    </xf>
    <xf numFmtId="1" fontId="20" fillId="0" borderId="1" xfId="0" applyNumberFormat="1" applyFont="1" applyBorder="1" applyAlignment="1">
      <alignment horizontal="center" vertical="center"/>
    </xf>
    <xf numFmtId="1" fontId="20" fillId="0" borderId="13" xfId="0" applyNumberFormat="1" applyFont="1" applyBorder="1" applyAlignment="1">
      <alignment horizontal="center" vertical="center"/>
    </xf>
    <xf numFmtId="1" fontId="20" fillId="0" borderId="140" xfId="0" applyNumberFormat="1" applyFont="1" applyBorder="1" applyAlignment="1">
      <alignment horizontal="center" vertical="center"/>
    </xf>
    <xf numFmtId="1" fontId="20" fillId="0" borderId="9" xfId="0" applyNumberFormat="1" applyFont="1" applyBorder="1" applyAlignment="1">
      <alignment horizontal="center" vertical="center"/>
    </xf>
    <xf numFmtId="1" fontId="20" fillId="0" borderId="70" xfId="0" applyNumberFormat="1" applyFont="1" applyBorder="1" applyAlignment="1">
      <alignment horizontal="center" vertical="center"/>
    </xf>
    <xf numFmtId="0" fontId="20" fillId="0" borderId="141" xfId="0" applyFont="1" applyBorder="1" applyAlignment="1">
      <alignment horizontal="center" vertical="center"/>
    </xf>
    <xf numFmtId="1" fontId="20" fillId="0" borderId="79" xfId="0" applyNumberFormat="1" applyFont="1" applyBorder="1" applyAlignment="1">
      <alignment horizontal="center" vertical="center"/>
    </xf>
    <xf numFmtId="1" fontId="20" fillId="0" borderId="80" xfId="0" applyNumberFormat="1" applyFont="1" applyBorder="1" applyAlignment="1">
      <alignment horizontal="center" vertical="center"/>
    </xf>
    <xf numFmtId="1" fontId="20" fillId="0" borderId="52" xfId="0" applyNumberFormat="1" applyFont="1" applyBorder="1" applyAlignment="1">
      <alignment horizontal="center" vertical="center"/>
    </xf>
    <xf numFmtId="1" fontId="20" fillId="0" borderId="82" xfId="0" applyNumberFormat="1" applyFont="1" applyBorder="1" applyAlignment="1">
      <alignment horizontal="center" vertical="center"/>
    </xf>
    <xf numFmtId="1" fontId="20" fillId="0" borderId="95" xfId="0" applyNumberFormat="1" applyFont="1" applyBorder="1" applyAlignment="1">
      <alignment horizontal="center" vertical="center"/>
    </xf>
    <xf numFmtId="1" fontId="20" fillId="0" borderId="96" xfId="0" applyNumberFormat="1" applyFont="1" applyBorder="1" applyAlignment="1">
      <alignment horizontal="center" vertical="center"/>
    </xf>
    <xf numFmtId="0" fontId="22" fillId="15" borderId="0" xfId="0" applyFont="1" applyFill="1"/>
    <xf numFmtId="0" fontId="5" fillId="0" borderId="0" xfId="0" applyFont="1" applyAlignment="1">
      <alignment vertical="center" wrapText="1"/>
    </xf>
    <xf numFmtId="0" fontId="5" fillId="0" borderId="0" xfId="0" applyFont="1" applyAlignment="1">
      <alignment horizontal="left" vertical="center"/>
    </xf>
    <xf numFmtId="0" fontId="5" fillId="0" borderId="0" xfId="0" applyFont="1" applyAlignment="1">
      <alignment horizontal="left"/>
    </xf>
    <xf numFmtId="0" fontId="5" fillId="0" borderId="9" xfId="0" applyFont="1" applyBorder="1" applyAlignment="1">
      <alignment horizontal="center" vertical="center" wrapText="1"/>
    </xf>
    <xf numFmtId="0" fontId="5" fillId="0" borderId="53" xfId="0" applyFont="1" applyBorder="1" applyAlignment="1">
      <alignment horizontal="center" vertical="center"/>
    </xf>
    <xf numFmtId="0" fontId="5" fillId="0" borderId="52" xfId="0" applyFont="1" applyBorder="1" applyAlignment="1">
      <alignment horizontal="center" vertical="center" wrapText="1"/>
    </xf>
    <xf numFmtId="0" fontId="5" fillId="0" borderId="52" xfId="0" applyFont="1" applyBorder="1" applyAlignment="1">
      <alignment horizontal="center" vertical="center"/>
    </xf>
    <xf numFmtId="0" fontId="19" fillId="0" borderId="0" xfId="0" applyFont="1" applyAlignment="1">
      <alignment horizontal="left" vertical="center" wrapText="1"/>
    </xf>
    <xf numFmtId="0" fontId="5" fillId="0" borderId="2" xfId="0" applyFont="1" applyBorder="1" applyAlignment="1">
      <alignment horizontal="center" vertical="center"/>
    </xf>
    <xf numFmtId="0" fontId="1"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9" xfId="0" applyFont="1" applyBorder="1" applyAlignment="1">
      <alignment horizontal="center" vertical="center"/>
    </xf>
    <xf numFmtId="0" fontId="6" fillId="5"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6" fillId="5" borderId="9" xfId="0" applyFont="1" applyFill="1" applyBorder="1" applyAlignment="1">
      <alignment horizontal="center" vertical="center"/>
    </xf>
    <xf numFmtId="0" fontId="17" fillId="5" borderId="2" xfId="0" applyFont="1" applyFill="1" applyBorder="1" applyAlignment="1">
      <alignment horizontal="center" vertical="center" wrapText="1"/>
    </xf>
    <xf numFmtId="9" fontId="5" fillId="0" borderId="23" xfId="2" applyFont="1" applyFill="1" applyBorder="1" applyAlignment="1">
      <alignment horizontal="center" vertical="center"/>
    </xf>
    <xf numFmtId="0" fontId="22" fillId="5" borderId="2" xfId="0" applyFont="1" applyFill="1" applyBorder="1" applyAlignment="1">
      <alignment horizontal="center" vertical="center"/>
    </xf>
    <xf numFmtId="0" fontId="9" fillId="0" borderId="2" xfId="3" applyFont="1" applyFill="1" applyBorder="1" applyAlignment="1">
      <alignment horizontal="center" vertical="center" wrapText="1"/>
    </xf>
    <xf numFmtId="0" fontId="17" fillId="5" borderId="156" xfId="0" applyFont="1" applyFill="1" applyBorder="1" applyAlignment="1">
      <alignment horizontal="center" vertical="center" wrapText="1"/>
    </xf>
    <xf numFmtId="3" fontId="17" fillId="5" borderId="156" xfId="0" applyNumberFormat="1" applyFont="1" applyFill="1" applyBorder="1" applyAlignment="1">
      <alignment horizontal="center" vertical="center" wrapText="1"/>
    </xf>
    <xf numFmtId="0" fontId="17" fillId="5" borderId="157" xfId="0" applyFont="1" applyFill="1" applyBorder="1" applyAlignment="1">
      <alignment horizontal="center" vertical="center" wrapText="1"/>
    </xf>
    <xf numFmtId="0" fontId="5" fillId="0" borderId="159" xfId="0" applyFont="1" applyBorder="1" applyAlignment="1">
      <alignment horizontal="left" vertical="center"/>
    </xf>
    <xf numFmtId="0" fontId="5" fillId="0" borderId="161" xfId="0" applyFont="1" applyBorder="1" applyAlignment="1">
      <alignment horizontal="center" vertical="center" wrapText="1"/>
    </xf>
    <xf numFmtId="1" fontId="5" fillId="0" borderId="161" xfId="0" applyNumberFormat="1" applyFont="1" applyBorder="1" applyAlignment="1">
      <alignment horizontal="center" vertical="center" wrapText="1"/>
    </xf>
    <xf numFmtId="0" fontId="5" fillId="0" borderId="163" xfId="0" applyFont="1" applyBorder="1" applyAlignment="1">
      <alignment vertical="center" wrapText="1"/>
    </xf>
    <xf numFmtId="3" fontId="5" fillId="0" borderId="2" xfId="0" applyNumberFormat="1" applyFont="1" applyBorder="1" applyAlignment="1">
      <alignment horizontal="center" vertical="center" wrapText="1"/>
    </xf>
    <xf numFmtId="3" fontId="5" fillId="0" borderId="161" xfId="0" applyNumberFormat="1" applyFont="1" applyBorder="1" applyAlignment="1">
      <alignment horizontal="center" vertical="center" wrapText="1"/>
    </xf>
    <xf numFmtId="0" fontId="5" fillId="0" borderId="158" xfId="0" applyFont="1" applyBorder="1" applyAlignment="1">
      <alignment vertical="center" wrapText="1"/>
    </xf>
    <xf numFmtId="0" fontId="5" fillId="0" borderId="160" xfId="0" applyFont="1" applyBorder="1" applyAlignment="1">
      <alignment vertical="center" wrapText="1"/>
    </xf>
    <xf numFmtId="0" fontId="17" fillId="5" borderId="155" xfId="0" applyFont="1" applyFill="1" applyBorder="1" applyAlignment="1">
      <alignment vertical="center" wrapText="1"/>
    </xf>
    <xf numFmtId="37" fontId="5" fillId="0" borderId="52" xfId="6" applyNumberFormat="1" applyFont="1" applyFill="1" applyBorder="1" applyAlignment="1">
      <alignment horizontal="center" vertical="center"/>
    </xf>
    <xf numFmtId="0" fontId="9" fillId="0" borderId="2" xfId="3" applyFont="1" applyBorder="1" applyAlignment="1">
      <alignment horizontal="left" vertical="center" wrapText="1"/>
    </xf>
    <xf numFmtId="0" fontId="5" fillId="0" borderId="16" xfId="0" applyFont="1" applyBorder="1" applyAlignment="1">
      <alignment horizontal="center" vertical="center" wrapText="1"/>
    </xf>
    <xf numFmtId="0" fontId="5" fillId="0" borderId="16" xfId="0" applyFont="1" applyBorder="1" applyAlignment="1">
      <alignment horizontal="center" vertical="center"/>
    </xf>
    <xf numFmtId="0" fontId="1" fillId="0" borderId="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11" fillId="7" borderId="0" xfId="0" applyFont="1" applyFill="1" applyAlignment="1">
      <alignment horizontal="center" vertical="center"/>
    </xf>
    <xf numFmtId="0" fontId="5" fillId="0" borderId="0" xfId="0" applyFont="1" applyAlignment="1">
      <alignment vertical="center" wrapText="1"/>
    </xf>
    <xf numFmtId="0" fontId="5" fillId="0" borderId="0" xfId="0" applyFont="1" applyAlignment="1">
      <alignment horizontal="left" vertical="center"/>
    </xf>
    <xf numFmtId="0" fontId="5" fillId="0" borderId="0" xfId="0" applyFont="1" applyAlignment="1">
      <alignment horizontal="left"/>
    </xf>
    <xf numFmtId="0" fontId="16" fillId="0" borderId="17" xfId="0" applyFont="1" applyBorder="1" applyAlignment="1">
      <alignment horizontal="left" vertical="center"/>
    </xf>
    <xf numFmtId="0" fontId="11" fillId="7" borderId="3" xfId="1" applyFont="1" applyFill="1" applyBorder="1" applyAlignment="1">
      <alignment horizontal="center" vertical="center" wrapText="1"/>
    </xf>
    <xf numFmtId="0" fontId="11" fillId="7" borderId="7" xfId="1" applyFont="1" applyFill="1" applyBorder="1" applyAlignment="1">
      <alignment horizontal="center" vertical="center" wrapText="1"/>
    </xf>
    <xf numFmtId="0" fontId="5" fillId="0" borderId="9"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6" xfId="0" applyFont="1" applyBorder="1" applyAlignment="1">
      <alignment horizontal="center" vertical="center" wrapText="1"/>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0" borderId="20" xfId="0" applyFont="1" applyBorder="1" applyAlignment="1">
      <alignment horizontal="center" vertical="center"/>
    </xf>
    <xf numFmtId="0" fontId="6" fillId="0" borderId="0" xfId="0" applyFont="1" applyAlignment="1">
      <alignment horizontal="center" vertical="center"/>
    </xf>
    <xf numFmtId="0" fontId="6" fillId="0" borderId="19" xfId="0" applyFont="1" applyBorder="1" applyAlignment="1">
      <alignment horizontal="center" vertical="center"/>
    </xf>
    <xf numFmtId="0" fontId="6" fillId="0" borderId="33"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11" fillId="7" borderId="3" xfId="0" applyFont="1" applyFill="1" applyBorder="1" applyAlignment="1">
      <alignment horizontal="center" vertical="center"/>
    </xf>
    <xf numFmtId="0" fontId="11" fillId="7" borderId="7" xfId="0" applyFont="1" applyFill="1" applyBorder="1" applyAlignment="1">
      <alignment horizontal="center" vertical="center"/>
    </xf>
    <xf numFmtId="0" fontId="5" fillId="0" borderId="52" xfId="0" applyFont="1" applyBorder="1" applyAlignment="1">
      <alignment horizontal="center" vertical="center" wrapText="1"/>
    </xf>
    <xf numFmtId="0" fontId="5" fillId="0" borderId="52" xfId="0" applyFont="1" applyBorder="1" applyAlignment="1">
      <alignment horizontal="center" vertical="center"/>
    </xf>
    <xf numFmtId="0" fontId="5" fillId="0" borderId="77" xfId="0" applyFont="1" applyBorder="1" applyAlignment="1">
      <alignment horizontal="center" vertical="center" wrapText="1"/>
    </xf>
    <xf numFmtId="0" fontId="5" fillId="0" borderId="53" xfId="0" applyFont="1" applyBorder="1" applyAlignment="1">
      <alignment horizontal="center" vertical="center"/>
    </xf>
    <xf numFmtId="0" fontId="5" fillId="0" borderId="54" xfId="0" applyFont="1" applyBorder="1" applyAlignment="1">
      <alignment horizontal="center" vertical="center"/>
    </xf>
    <xf numFmtId="0" fontId="5" fillId="0" borderId="55" xfId="0" applyFont="1" applyBorder="1" applyAlignment="1">
      <alignment horizontal="center" vertical="center"/>
    </xf>
    <xf numFmtId="0" fontId="11" fillId="7" borderId="17" xfId="0" applyFont="1" applyFill="1" applyBorder="1" applyAlignment="1">
      <alignment horizontal="center" vertical="center" wrapText="1"/>
    </xf>
    <xf numFmtId="0" fontId="1" fillId="0" borderId="52" xfId="0" applyFont="1" applyBorder="1" applyAlignment="1">
      <alignment horizontal="center" vertical="center" wrapText="1"/>
    </xf>
    <xf numFmtId="0" fontId="5" fillId="4" borderId="52" xfId="0" applyFont="1" applyFill="1" applyBorder="1" applyAlignment="1">
      <alignment horizontal="center" vertical="center" wrapText="1"/>
    </xf>
    <xf numFmtId="0" fontId="5" fillId="0" borderId="62" xfId="0" applyFont="1" applyBorder="1" applyAlignment="1">
      <alignment horizontal="center" vertical="center"/>
    </xf>
    <xf numFmtId="0" fontId="1" fillId="0" borderId="52" xfId="0" applyFont="1" applyBorder="1" applyAlignment="1">
      <alignment horizontal="center" vertical="center"/>
    </xf>
    <xf numFmtId="0" fontId="7" fillId="0" borderId="52" xfId="5" applyBorder="1" applyAlignment="1">
      <alignment horizontal="center" vertical="center" wrapText="1"/>
    </xf>
    <xf numFmtId="0" fontId="29" fillId="0" borderId="30" xfId="0" applyFont="1" applyBorder="1" applyAlignment="1">
      <alignment horizontal="center" vertical="center"/>
    </xf>
    <xf numFmtId="0" fontId="29" fillId="0" borderId="32" xfId="0" applyFont="1" applyBorder="1" applyAlignment="1">
      <alignment horizontal="center" vertic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9" fillId="0" borderId="33" xfId="0" applyFont="1" applyBorder="1" applyAlignment="1">
      <alignment horizontal="center" vertical="center"/>
    </xf>
    <xf numFmtId="0" fontId="29" fillId="0" borderId="29" xfId="0" applyFont="1" applyBorder="1" applyAlignment="1">
      <alignment horizontal="center" vertical="center"/>
    </xf>
    <xf numFmtId="0" fontId="29" fillId="0" borderId="36"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40" xfId="0" applyFont="1" applyBorder="1" applyAlignment="1">
      <alignment horizontal="center" vertical="center" wrapText="1"/>
    </xf>
    <xf numFmtId="0" fontId="29" fillId="0" borderId="50" xfId="0" applyFont="1" applyBorder="1" applyAlignment="1">
      <alignment horizontal="center" vertical="center"/>
    </xf>
    <xf numFmtId="0" fontId="29" fillId="0" borderId="44" xfId="0" applyFont="1" applyBorder="1" applyAlignment="1">
      <alignment horizontal="center" vertical="center"/>
    </xf>
    <xf numFmtId="0" fontId="29" fillId="0" borderId="45" xfId="0" applyFont="1" applyBorder="1" applyAlignment="1">
      <alignment horizontal="center" vertical="center"/>
    </xf>
    <xf numFmtId="0" fontId="29" fillId="0" borderId="50" xfId="0" applyFont="1" applyBorder="1" applyAlignment="1">
      <alignment horizontal="center" vertical="center" wrapText="1"/>
    </xf>
    <xf numFmtId="0" fontId="29" fillId="0" borderId="44" xfId="0" applyFont="1" applyBorder="1" applyAlignment="1">
      <alignment horizontal="center" vertical="center" wrapText="1"/>
    </xf>
    <xf numFmtId="0" fontId="29" fillId="0" borderId="45" xfId="0" applyFont="1" applyBorder="1" applyAlignment="1">
      <alignment horizontal="center" vertical="center" wrapText="1"/>
    </xf>
    <xf numFmtId="0" fontId="29" fillId="0" borderId="35" xfId="0" applyFont="1" applyBorder="1" applyAlignment="1">
      <alignment horizontal="center" vertical="center"/>
    </xf>
    <xf numFmtId="0" fontId="29" fillId="0" borderId="22" xfId="0" applyFont="1" applyBorder="1" applyAlignment="1">
      <alignment horizontal="center" vertical="center"/>
    </xf>
    <xf numFmtId="0" fontId="29" fillId="0" borderId="39" xfId="0" applyFont="1" applyBorder="1" applyAlignment="1">
      <alignment horizontal="center" vertical="center"/>
    </xf>
    <xf numFmtId="0" fontId="10" fillId="0" borderId="0" xfId="0" applyFont="1" applyAlignment="1">
      <alignment horizontal="center" vertical="center" wrapText="1"/>
    </xf>
    <xf numFmtId="0" fontId="5" fillId="0" borderId="135" xfId="0" applyFont="1" applyBorder="1" applyAlignment="1">
      <alignment horizontal="center" vertical="center"/>
    </xf>
    <xf numFmtId="0" fontId="7" fillId="0" borderId="53" xfId="5" applyBorder="1" applyAlignment="1">
      <alignment horizontal="center" vertical="center" wrapText="1"/>
    </xf>
    <xf numFmtId="0" fontId="7" fillId="0" borderId="123" xfId="5" applyBorder="1" applyAlignment="1">
      <alignment horizontal="center" vertical="center" wrapText="1"/>
    </xf>
    <xf numFmtId="0" fontId="11" fillId="7" borderId="61" xfId="0" applyFont="1" applyFill="1" applyBorder="1" applyAlignment="1">
      <alignment horizontal="center" vertical="center"/>
    </xf>
    <xf numFmtId="0" fontId="11" fillId="7" borderId="134" xfId="0" applyFont="1" applyFill="1" applyBorder="1" applyAlignment="1">
      <alignment horizontal="center" vertical="center"/>
    </xf>
    <xf numFmtId="0" fontId="11" fillId="7" borderId="62" xfId="0" applyFont="1" applyFill="1" applyBorder="1" applyAlignment="1">
      <alignment horizontal="center"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11" fillId="7" borderId="0" xfId="0" applyFont="1" applyFill="1" applyAlignment="1">
      <alignment horizontal="center" vertical="center" wrapText="1"/>
    </xf>
    <xf numFmtId="0" fontId="5" fillId="0" borderId="137" xfId="0" applyFont="1" applyBorder="1" applyAlignment="1">
      <alignment horizontal="center" vertical="center" wrapText="1"/>
    </xf>
    <xf numFmtId="0" fontId="5" fillId="0" borderId="138" xfId="0" applyFont="1" applyBorder="1" applyAlignment="1">
      <alignment horizontal="center" vertical="center" wrapText="1"/>
    </xf>
    <xf numFmtId="0" fontId="5" fillId="0" borderId="153" xfId="0" applyFont="1" applyBorder="1" applyAlignment="1">
      <alignment horizontal="center" vertical="center" wrapText="1"/>
    </xf>
    <xf numFmtId="0" fontId="5" fillId="0" borderId="152" xfId="0" applyFont="1" applyBorder="1" applyAlignment="1">
      <alignment horizontal="center" vertical="center" wrapText="1"/>
    </xf>
    <xf numFmtId="0" fontId="5" fillId="0" borderId="139" xfId="0" applyFont="1" applyBorder="1" applyAlignment="1">
      <alignment horizontal="center" vertical="center" wrapText="1"/>
    </xf>
    <xf numFmtId="0" fontId="5" fillId="0" borderId="169" xfId="0" applyFont="1" applyBorder="1" applyAlignment="1">
      <alignment horizontal="center" vertical="center"/>
    </xf>
    <xf numFmtId="0" fontId="5" fillId="0" borderId="140" xfId="0" applyFont="1" applyBorder="1" applyAlignment="1">
      <alignment horizontal="center" vertical="center"/>
    </xf>
    <xf numFmtId="0" fontId="5" fillId="0" borderId="170" xfId="0" applyFont="1" applyBorder="1" applyAlignment="1">
      <alignment horizontal="center" vertical="center"/>
    </xf>
    <xf numFmtId="0" fontId="17" fillId="5" borderId="10"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1" fillId="0" borderId="168" xfId="0" applyFont="1" applyBorder="1" applyAlignment="1">
      <alignment horizontal="center" vertical="center" wrapText="1"/>
    </xf>
    <xf numFmtId="0" fontId="1" fillId="0" borderId="15" xfId="0" applyFont="1" applyBorder="1" applyAlignment="1">
      <alignment horizontal="center" vertical="center" wrapText="1"/>
    </xf>
    <xf numFmtId="0" fontId="5" fillId="0" borderId="167" xfId="0" quotePrefix="1" applyFont="1" applyBorder="1" applyAlignment="1">
      <alignment horizontal="center" vertical="center" wrapText="1"/>
    </xf>
    <xf numFmtId="0" fontId="5" fillId="0" borderId="166" xfId="0" quotePrefix="1" applyFont="1" applyBorder="1" applyAlignment="1">
      <alignment horizontal="center" vertical="center" wrapText="1"/>
    </xf>
    <xf numFmtId="0" fontId="1" fillId="0" borderId="2" xfId="0" applyFont="1" applyBorder="1" applyAlignment="1">
      <alignment horizontal="center" vertical="center" wrapText="1"/>
    </xf>
    <xf numFmtId="0" fontId="1" fillId="0" borderId="27" xfId="0" applyFont="1" applyBorder="1" applyAlignment="1">
      <alignment horizontal="center" vertical="center" wrapText="1"/>
    </xf>
    <xf numFmtId="0" fontId="5" fillId="0" borderId="171" xfId="0" applyFont="1" applyBorder="1" applyAlignment="1">
      <alignment horizontal="center" vertical="center" wrapText="1"/>
    </xf>
    <xf numFmtId="0" fontId="1" fillId="0" borderId="169" xfId="0" applyFont="1" applyBorder="1" applyAlignment="1">
      <alignment horizontal="center" vertical="center" wrapText="1"/>
    </xf>
    <xf numFmtId="0" fontId="1" fillId="0" borderId="140" xfId="0" applyFont="1" applyBorder="1" applyAlignment="1">
      <alignment horizontal="center" vertical="center"/>
    </xf>
    <xf numFmtId="0" fontId="1" fillId="0" borderId="170" xfId="0" applyFont="1" applyBorder="1" applyAlignment="1">
      <alignment horizontal="center" vertical="center"/>
    </xf>
    <xf numFmtId="0" fontId="19" fillId="0" borderId="0" xfId="0" applyFont="1" applyAlignment="1">
      <alignment horizontal="left" vertical="center" wrapText="1"/>
    </xf>
    <xf numFmtId="0" fontId="1" fillId="0" borderId="2" xfId="0" applyFont="1" applyBorder="1" applyAlignment="1">
      <alignment horizontal="center" vertical="center"/>
    </xf>
    <xf numFmtId="0" fontId="5" fillId="0" borderId="53" xfId="0" applyFont="1" applyBorder="1" applyAlignment="1">
      <alignment horizontal="center" vertical="center" wrapText="1"/>
    </xf>
    <xf numFmtId="0" fontId="5" fillId="0" borderId="54" xfId="0" applyFont="1" applyBorder="1" applyAlignment="1">
      <alignment horizontal="center" vertical="center" wrapText="1"/>
    </xf>
    <xf numFmtId="0" fontId="5" fillId="0" borderId="55" xfId="0" applyFont="1" applyBorder="1" applyAlignment="1">
      <alignment horizontal="center" vertical="center" wrapText="1"/>
    </xf>
    <xf numFmtId="0" fontId="27" fillId="9" borderId="51" xfId="0" applyFont="1" applyFill="1" applyBorder="1" applyAlignment="1">
      <alignment horizontal="center" vertical="center"/>
    </xf>
    <xf numFmtId="0" fontId="5" fillId="12" borderId="53" xfId="0" quotePrefix="1" applyFont="1" applyFill="1" applyBorder="1" applyAlignment="1">
      <alignment horizontal="center" vertical="center" wrapText="1"/>
    </xf>
    <xf numFmtId="0" fontId="5" fillId="12" borderId="54" xfId="0" quotePrefix="1" applyFont="1" applyFill="1" applyBorder="1" applyAlignment="1">
      <alignment horizontal="center" vertical="center" wrapText="1"/>
    </xf>
    <xf numFmtId="0" fontId="5" fillId="0" borderId="53" xfId="0" applyFont="1" applyBorder="1" applyAlignment="1">
      <alignment horizontal="center"/>
    </xf>
    <xf numFmtId="0" fontId="5" fillId="0" borderId="55" xfId="0" applyFont="1" applyBorder="1" applyAlignment="1">
      <alignment horizontal="center"/>
    </xf>
    <xf numFmtId="0" fontId="5" fillId="0" borderId="61" xfId="0" applyFont="1" applyBorder="1" applyAlignment="1">
      <alignment horizontal="center" vertical="center"/>
    </xf>
    <xf numFmtId="0" fontId="0" fillId="0" borderId="2" xfId="0" applyBorder="1" applyAlignment="1">
      <alignment horizontal="center" vertical="center" wrapText="1"/>
    </xf>
    <xf numFmtId="0" fontId="11" fillId="7" borderId="2"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11" fillId="7" borderId="164" xfId="0" applyFont="1" applyFill="1" applyBorder="1" applyAlignment="1">
      <alignment horizontal="center" vertical="center" wrapText="1"/>
    </xf>
    <xf numFmtId="0" fontId="11" fillId="7" borderId="165" xfId="0" applyFont="1" applyFill="1" applyBorder="1" applyAlignment="1">
      <alignment horizontal="center" vertical="center" wrapText="1"/>
    </xf>
    <xf numFmtId="0" fontId="5" fillId="0" borderId="0" xfId="0" applyFont="1" applyAlignment="1">
      <alignment horizontal="left" wrapText="1"/>
    </xf>
    <xf numFmtId="0" fontId="17" fillId="5" borderId="63" xfId="0" applyFont="1" applyFill="1" applyBorder="1" applyAlignment="1">
      <alignment horizontal="center" vertical="center" wrapText="1"/>
    </xf>
    <xf numFmtId="0" fontId="5" fillId="0" borderId="9" xfId="0" applyFont="1" applyBorder="1" applyAlignment="1">
      <alignment horizontal="center" vertical="top" wrapText="1"/>
    </xf>
    <xf numFmtId="0" fontId="5" fillId="0" borderId="162" xfId="0" applyFont="1" applyBorder="1" applyAlignment="1">
      <alignment horizontal="center" vertical="top" wrapText="1"/>
    </xf>
    <xf numFmtId="0" fontId="6" fillId="5"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1" fillId="0" borderId="9"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9" xfId="0" applyFont="1" applyBorder="1" applyAlignment="1">
      <alignment horizontal="center" vertical="center"/>
    </xf>
    <xf numFmtId="0" fontId="1" fillId="0" borderId="13" xfId="0" applyFont="1" applyBorder="1" applyAlignment="1">
      <alignment horizontal="center" vertical="center"/>
    </xf>
    <xf numFmtId="0" fontId="1" fillId="0" borderId="16" xfId="0" applyFont="1" applyBorder="1" applyAlignment="1">
      <alignment horizontal="center" vertical="center"/>
    </xf>
    <xf numFmtId="0" fontId="5" fillId="6" borderId="2" xfId="0" applyFont="1" applyFill="1" applyBorder="1" applyAlignment="1">
      <alignment horizontal="left" vertical="center"/>
    </xf>
    <xf numFmtId="0" fontId="34" fillId="8" borderId="64" xfId="0" applyFont="1" applyFill="1" applyBorder="1" applyAlignment="1">
      <alignment horizontal="center"/>
    </xf>
    <xf numFmtId="0" fontId="34" fillId="8" borderId="65" xfId="0" applyFont="1" applyFill="1" applyBorder="1" applyAlignment="1">
      <alignment horizontal="center"/>
    </xf>
    <xf numFmtId="0" fontId="11" fillId="7" borderId="17" xfId="0" applyFont="1" applyFill="1" applyBorder="1" applyAlignment="1">
      <alignment horizontal="center" vertical="center"/>
    </xf>
    <xf numFmtId="0" fontId="22" fillId="5" borderId="61" xfId="0" applyFont="1" applyFill="1" applyBorder="1" applyAlignment="1">
      <alignment horizontal="center" vertical="center" wrapText="1"/>
    </xf>
    <xf numFmtId="0" fontId="22" fillId="5" borderId="62" xfId="0" applyFont="1" applyFill="1" applyBorder="1" applyAlignment="1">
      <alignment horizontal="center" vertical="center" wrapText="1"/>
    </xf>
    <xf numFmtId="0" fontId="5" fillId="0" borderId="0" xfId="0" applyFont="1" applyAlignment="1">
      <alignment horizontal="left" vertical="center" wrapText="1"/>
    </xf>
    <xf numFmtId="0" fontId="11" fillId="7" borderId="8" xfId="0" applyFont="1" applyFill="1" applyBorder="1" applyAlignment="1">
      <alignment horizontal="center" vertical="center"/>
    </xf>
    <xf numFmtId="0" fontId="6" fillId="0" borderId="0" xfId="0" applyFont="1" applyAlignment="1">
      <alignment horizontal="left" vertical="center"/>
    </xf>
    <xf numFmtId="0" fontId="7" fillId="0" borderId="0" xfId="5" applyBorder="1" applyAlignment="1">
      <alignment horizontal="center" vertical="center"/>
    </xf>
    <xf numFmtId="0" fontId="20" fillId="0" borderId="78" xfId="0" applyFont="1" applyBorder="1" applyAlignment="1">
      <alignment horizontal="center" vertical="center" wrapText="1"/>
    </xf>
    <xf numFmtId="0" fontId="20" fillId="0" borderId="81" xfId="0" applyFont="1" applyBorder="1" applyAlignment="1">
      <alignment horizontal="center" vertical="center" wrapText="1"/>
    </xf>
    <xf numFmtId="0" fontId="20" fillId="0" borderId="94" xfId="0" applyFont="1" applyBorder="1" applyAlignment="1">
      <alignment horizontal="center" vertical="center" wrapText="1"/>
    </xf>
    <xf numFmtId="0" fontId="20" fillId="0" borderId="79" xfId="0" applyFont="1" applyBorder="1" applyAlignment="1">
      <alignment horizontal="center" vertical="center"/>
    </xf>
    <xf numFmtId="0" fontId="20" fillId="0" borderId="52" xfId="0" applyFont="1" applyBorder="1" applyAlignment="1">
      <alignment horizontal="center" vertical="center"/>
    </xf>
    <xf numFmtId="0" fontId="20" fillId="0" borderId="95" xfId="0" applyFont="1" applyBorder="1" applyAlignment="1">
      <alignment horizontal="center" vertical="center"/>
    </xf>
    <xf numFmtId="0" fontId="41" fillId="0" borderId="79" xfId="0" applyFont="1" applyBorder="1" applyAlignment="1">
      <alignment horizontal="center" vertical="center" wrapText="1"/>
    </xf>
    <xf numFmtId="0" fontId="41" fillId="0" borderId="54" xfId="0" applyFont="1" applyBorder="1" applyAlignment="1">
      <alignment horizontal="center" vertical="center" wrapText="1"/>
    </xf>
    <xf numFmtId="0" fontId="41" fillId="0" borderId="125" xfId="0" applyFont="1" applyBorder="1" applyAlignment="1">
      <alignment horizontal="center" vertical="center" wrapText="1"/>
    </xf>
    <xf numFmtId="0" fontId="20" fillId="0" borderId="128" xfId="0" applyFont="1" applyBorder="1" applyAlignment="1">
      <alignment horizontal="center" vertical="center" wrapText="1"/>
    </xf>
    <xf numFmtId="0" fontId="20" fillId="0" borderId="122" xfId="0" applyFont="1" applyBorder="1" applyAlignment="1">
      <alignment horizontal="center" vertical="center" wrapText="1"/>
    </xf>
    <xf numFmtId="0" fontId="20" fillId="0" borderId="126" xfId="0" applyFont="1" applyBorder="1" applyAlignment="1">
      <alignment horizontal="center" vertical="center" wrapText="1"/>
    </xf>
    <xf numFmtId="0" fontId="20" fillId="0" borderId="130" xfId="0" applyFont="1" applyBorder="1" applyAlignment="1">
      <alignment horizontal="center" vertical="center" wrapText="1"/>
    </xf>
    <xf numFmtId="0" fontId="20" fillId="0" borderId="132" xfId="0" applyFont="1" applyBorder="1" applyAlignment="1">
      <alignment horizontal="center" vertical="center" wrapText="1"/>
    </xf>
    <xf numFmtId="0" fontId="20" fillId="0" borderId="133" xfId="0" applyFont="1" applyBorder="1" applyAlignment="1">
      <alignment horizontal="center" vertical="center" wrapText="1"/>
    </xf>
    <xf numFmtId="0" fontId="20" fillId="0" borderId="131" xfId="0" applyFont="1" applyBorder="1" applyAlignment="1">
      <alignment horizontal="center" vertical="center"/>
    </xf>
    <xf numFmtId="0" fontId="20" fillId="0" borderId="54" xfId="0" applyFont="1" applyBorder="1" applyAlignment="1">
      <alignment horizontal="center" vertical="center"/>
    </xf>
    <xf numFmtId="0" fontId="20" fillId="0" borderId="125" xfId="0" applyFont="1" applyBorder="1" applyAlignment="1">
      <alignment horizontal="center" vertical="center"/>
    </xf>
    <xf numFmtId="0" fontId="45" fillId="0" borderId="79" xfId="0" applyFont="1" applyBorder="1" applyAlignment="1">
      <alignment horizontal="center" vertical="center" wrapText="1"/>
    </xf>
    <xf numFmtId="0" fontId="45" fillId="0" borderId="54" xfId="0" applyFont="1" applyBorder="1" applyAlignment="1">
      <alignment horizontal="center" vertical="center" wrapText="1"/>
    </xf>
    <xf numFmtId="0" fontId="45" fillId="0" borderId="125" xfId="0" applyFont="1" applyBorder="1" applyAlignment="1">
      <alignment horizontal="center" vertical="center" wrapText="1"/>
    </xf>
    <xf numFmtId="0" fontId="20" fillId="0" borderId="79"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95" xfId="0" applyFont="1" applyBorder="1" applyAlignment="1">
      <alignment horizontal="center" vertical="center" wrapText="1"/>
    </xf>
    <xf numFmtId="0" fontId="20" fillId="0" borderId="147" xfId="0" applyFont="1" applyBorder="1" applyAlignment="1">
      <alignment horizontal="center" vertical="center" wrapText="1"/>
    </xf>
    <xf numFmtId="0" fontId="20" fillId="0" borderId="103" xfId="0" applyFont="1" applyBorder="1" applyAlignment="1">
      <alignment horizontal="center" vertical="center" wrapText="1"/>
    </xf>
    <xf numFmtId="0" fontId="20" fillId="0" borderId="145" xfId="0" applyFont="1" applyBorder="1" applyAlignment="1">
      <alignment horizontal="center" vertical="center" wrapText="1"/>
    </xf>
    <xf numFmtId="0" fontId="20" fillId="0" borderId="146" xfId="0" applyFont="1" applyBorder="1" applyAlignment="1">
      <alignment horizontal="center" vertical="center" wrapText="1"/>
    </xf>
    <xf numFmtId="0" fontId="20" fillId="0" borderId="148" xfId="0" applyFont="1" applyBorder="1" applyAlignment="1">
      <alignment horizontal="center" vertical="center" wrapText="1"/>
    </xf>
    <xf numFmtId="0" fontId="20" fillId="0" borderId="149" xfId="0" applyFont="1" applyBorder="1" applyAlignment="1">
      <alignment horizontal="center" vertical="center" wrapText="1"/>
    </xf>
    <xf numFmtId="0" fontId="41" fillId="0" borderId="79" xfId="0" applyFont="1" applyBorder="1" applyAlignment="1">
      <alignment horizontal="center" vertical="center"/>
    </xf>
    <xf numFmtId="0" fontId="41" fillId="0" borderId="52" xfId="0" applyFont="1" applyBorder="1" applyAlignment="1">
      <alignment horizontal="center" vertical="center"/>
    </xf>
    <xf numFmtId="0" fontId="41" fillId="0" borderId="95" xfId="0" applyFont="1" applyBorder="1" applyAlignment="1">
      <alignment horizontal="center" vertical="center"/>
    </xf>
    <xf numFmtId="0" fontId="20" fillId="0" borderId="14" xfId="0" applyFont="1" applyBorder="1" applyAlignment="1">
      <alignment horizontal="center" vertical="center"/>
    </xf>
    <xf numFmtId="0" fontId="41" fillId="0" borderId="53" xfId="0" applyFont="1" applyBorder="1" applyAlignment="1">
      <alignment horizontal="center" vertical="center"/>
    </xf>
    <xf numFmtId="0" fontId="20" fillId="0" borderId="55" xfId="0" applyFont="1" applyBorder="1" applyAlignment="1">
      <alignment horizontal="center" vertical="center" wrapText="1"/>
    </xf>
    <xf numFmtId="0" fontId="20" fillId="0" borderId="53" xfId="0" applyFont="1" applyBorder="1" applyAlignment="1">
      <alignment horizontal="center" vertical="center" wrapText="1"/>
    </xf>
    <xf numFmtId="0" fontId="20" fillId="0" borderId="154" xfId="0" applyFont="1" applyBorder="1" applyAlignment="1">
      <alignment horizontal="center" vertical="center" wrapText="1"/>
    </xf>
    <xf numFmtId="0" fontId="20" fillId="0" borderId="151" xfId="0" applyFont="1" applyBorder="1" applyAlignment="1">
      <alignment horizontal="center" vertical="center" wrapText="1"/>
    </xf>
    <xf numFmtId="0" fontId="41" fillId="0" borderId="100" xfId="0" applyFont="1" applyBorder="1" applyAlignment="1">
      <alignment horizontal="center" vertical="center"/>
    </xf>
    <xf numFmtId="0" fontId="41" fillId="0" borderId="105" xfId="0" applyFont="1" applyBorder="1" applyAlignment="1">
      <alignment horizontal="center" vertical="center"/>
    </xf>
    <xf numFmtId="0" fontId="20" fillId="0" borderId="100" xfId="0" applyFont="1" applyBorder="1" applyAlignment="1">
      <alignment horizontal="center" vertical="center" wrapText="1"/>
    </xf>
    <xf numFmtId="0" fontId="20" fillId="0" borderId="105" xfId="0" applyFont="1" applyBorder="1" applyAlignment="1">
      <alignment horizontal="center" vertical="center" wrapText="1"/>
    </xf>
    <xf numFmtId="0" fontId="20" fillId="0" borderId="101" xfId="0" applyFont="1" applyBorder="1" applyAlignment="1">
      <alignment horizontal="center" vertical="center" wrapText="1"/>
    </xf>
    <xf numFmtId="0" fontId="20" fillId="0" borderId="106" xfId="0" applyFont="1" applyBorder="1" applyAlignment="1">
      <alignment horizontal="center" vertical="center" wrapText="1"/>
    </xf>
    <xf numFmtId="0" fontId="44" fillId="5" borderId="59" xfId="0" applyFont="1" applyFill="1" applyBorder="1" applyAlignment="1">
      <alignment horizontal="center" vertical="center"/>
    </xf>
    <xf numFmtId="0" fontId="44" fillId="5" borderId="0" xfId="0" applyFont="1" applyFill="1" applyAlignment="1">
      <alignment horizontal="center" vertical="center"/>
    </xf>
    <xf numFmtId="0" fontId="44" fillId="5" borderId="60" xfId="0" applyFont="1" applyFill="1" applyBorder="1" applyAlignment="1">
      <alignment horizontal="center" vertical="center"/>
    </xf>
    <xf numFmtId="0" fontId="20" fillId="0" borderId="108" xfId="0" applyFont="1" applyBorder="1" applyAlignment="1">
      <alignment horizontal="center" vertical="center" wrapText="1"/>
    </xf>
    <xf numFmtId="0" fontId="20" fillId="0" borderId="113" xfId="0" applyFont="1" applyBorder="1" applyAlignment="1">
      <alignment horizontal="center" vertical="center" wrapText="1"/>
    </xf>
    <xf numFmtId="0" fontId="20" fillId="0" borderId="115" xfId="0" applyFont="1" applyBorder="1" applyAlignment="1">
      <alignment horizontal="center" vertical="center" wrapText="1"/>
    </xf>
    <xf numFmtId="0" fontId="20" fillId="0" borderId="109" xfId="0" applyFont="1" applyBorder="1" applyAlignment="1">
      <alignment horizontal="center" vertical="center"/>
    </xf>
    <xf numFmtId="0" fontId="20" fillId="0" borderId="116" xfId="0" applyFont="1" applyBorder="1" applyAlignment="1">
      <alignment horizontal="center" vertical="center"/>
    </xf>
    <xf numFmtId="0" fontId="41" fillId="0" borderId="109" xfId="0" applyFont="1" applyBorder="1" applyAlignment="1">
      <alignment horizontal="center" vertical="center" wrapText="1"/>
    </xf>
    <xf numFmtId="0" fontId="41" fillId="0" borderId="117" xfId="0" applyFont="1" applyBorder="1" applyAlignment="1">
      <alignment horizontal="center" vertical="center" wrapText="1"/>
    </xf>
    <xf numFmtId="0" fontId="20" fillId="0" borderId="110"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118" xfId="0" applyFont="1" applyBorder="1" applyAlignment="1">
      <alignment horizontal="center" vertical="center" wrapText="1"/>
    </xf>
    <xf numFmtId="0" fontId="20" fillId="0" borderId="121" xfId="0" applyFont="1" applyBorder="1" applyAlignment="1">
      <alignment horizontal="center" vertical="center" wrapText="1"/>
    </xf>
    <xf numFmtId="0" fontId="20" fillId="0" borderId="55" xfId="0" applyFont="1" applyBorder="1" applyAlignment="1">
      <alignment horizontal="center" vertical="center"/>
    </xf>
    <xf numFmtId="0" fontId="41" fillId="0" borderId="55" xfId="0" applyFont="1" applyBorder="1" applyAlignment="1">
      <alignment horizontal="center" vertical="center" wrapText="1"/>
    </xf>
    <xf numFmtId="0" fontId="20" fillId="0" borderId="137" xfId="0" applyFont="1" applyBorder="1" applyAlignment="1">
      <alignment horizontal="center" vertical="center" wrapText="1"/>
    </xf>
    <xf numFmtId="0" fontId="20" fillId="0" borderId="138" xfId="0" applyFont="1" applyBorder="1" applyAlignment="1">
      <alignment horizontal="center" vertical="center" wrapText="1"/>
    </xf>
    <xf numFmtId="0" fontId="20" fillId="0" borderId="139" xfId="0" applyFont="1" applyBorder="1" applyAlignment="1">
      <alignment horizontal="center" vertical="center" wrapText="1"/>
    </xf>
    <xf numFmtId="0" fontId="20" fillId="0" borderId="152" xfId="0" applyFont="1" applyBorder="1" applyAlignment="1">
      <alignment horizontal="center" vertical="center" wrapText="1"/>
    </xf>
    <xf numFmtId="0" fontId="20" fillId="0" borderId="15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20" fillId="0" borderId="76" xfId="0" applyFont="1" applyBorder="1" applyAlignment="1">
      <alignment horizontal="center" vertical="center" wrapText="1"/>
    </xf>
    <xf numFmtId="0" fontId="20" fillId="0" borderId="70" xfId="0" applyFont="1" applyBorder="1" applyAlignment="1">
      <alignment horizontal="center" vertical="center"/>
    </xf>
    <xf numFmtId="3" fontId="20" fillId="0" borderId="1" xfId="0" applyNumberFormat="1" applyFont="1" applyBorder="1" applyAlignment="1">
      <alignment horizontal="center" vertical="center" wrapText="1"/>
    </xf>
    <xf numFmtId="0" fontId="20" fillId="0" borderId="2" xfId="0" applyFont="1" applyBorder="1" applyAlignment="1">
      <alignment horizontal="center" vertical="center" wrapText="1"/>
    </xf>
    <xf numFmtId="0" fontId="20" fillId="0" borderId="27" xfId="0" applyFont="1" applyBorder="1" applyAlignment="1">
      <alignment horizontal="center" vertical="center" wrapText="1"/>
    </xf>
    <xf numFmtId="0" fontId="20" fillId="0" borderId="1" xfId="0" applyFont="1" applyBorder="1" applyAlignment="1">
      <alignment horizontal="center" vertical="center" wrapText="1"/>
    </xf>
    <xf numFmtId="0" fontId="6" fillId="5" borderId="9" xfId="0" applyFont="1" applyFill="1" applyBorder="1" applyAlignment="1">
      <alignment horizontal="center" vertical="center"/>
    </xf>
    <xf numFmtId="0" fontId="11" fillId="7" borderId="18" xfId="0" applyFont="1" applyFill="1" applyBorder="1" applyAlignment="1">
      <alignment horizontal="center" vertical="center" wrapText="1"/>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27" xfId="0" applyFont="1" applyBorder="1" applyAlignment="1">
      <alignment horizontal="center" vertical="center"/>
    </xf>
    <xf numFmtId="0" fontId="20" fillId="0" borderId="16" xfId="0" applyFont="1" applyBorder="1" applyAlignment="1">
      <alignment horizontal="center" vertical="center"/>
    </xf>
    <xf numFmtId="0" fontId="20" fillId="0" borderId="9" xfId="0" applyFont="1" applyBorder="1" applyAlignment="1">
      <alignment horizontal="center" vertical="center"/>
    </xf>
    <xf numFmtId="0" fontId="17" fillId="5" borderId="2" xfId="0" applyFont="1" applyFill="1" applyBorder="1" applyAlignment="1">
      <alignment horizontal="center" vertical="center" wrapText="1"/>
    </xf>
    <xf numFmtId="0" fontId="20" fillId="0" borderId="16" xfId="0" applyFont="1" applyBorder="1" applyAlignment="1">
      <alignment horizontal="center" vertical="center" wrapText="1"/>
    </xf>
    <xf numFmtId="0" fontId="20" fillId="0" borderId="9" xfId="0" applyFont="1" applyBorder="1" applyAlignment="1">
      <alignment horizontal="center" vertical="center" wrapText="1"/>
    </xf>
    <xf numFmtId="0" fontId="43" fillId="0" borderId="131" xfId="0" applyFont="1" applyBorder="1" applyAlignment="1">
      <alignment horizontal="center" vertical="center" wrapText="1"/>
    </xf>
    <xf numFmtId="0" fontId="20" fillId="0" borderId="98" xfId="0" applyFont="1" applyBorder="1" applyAlignment="1">
      <alignment horizontal="center" vertical="center"/>
    </xf>
    <xf numFmtId="0" fontId="20" fillId="0" borderId="99" xfId="0" applyFont="1" applyBorder="1" applyAlignment="1">
      <alignment horizontal="center" vertical="center"/>
    </xf>
    <xf numFmtId="0" fontId="20" fillId="0" borderId="142" xfId="0" applyFont="1" applyBorder="1" applyAlignment="1">
      <alignment horizontal="center" vertical="center" wrapText="1"/>
    </xf>
    <xf numFmtId="0" fontId="20" fillId="0" borderId="143" xfId="0" applyFont="1" applyBorder="1" applyAlignment="1">
      <alignment horizontal="center" vertical="center" wrapText="1"/>
    </xf>
    <xf numFmtId="0" fontId="20" fillId="0" borderId="144" xfId="0" applyFont="1" applyBorder="1" applyAlignment="1">
      <alignment horizontal="center" vertical="center" wrapText="1"/>
    </xf>
    <xf numFmtId="3" fontId="20" fillId="0" borderId="100" xfId="0" applyNumberFormat="1" applyFont="1" applyBorder="1" applyAlignment="1">
      <alignment horizontal="center" vertical="center"/>
    </xf>
    <xf numFmtId="0" fontId="20" fillId="0" borderId="53" xfId="0" applyFont="1" applyBorder="1" applyAlignment="1">
      <alignment horizontal="center" vertical="center"/>
    </xf>
    <xf numFmtId="0" fontId="20" fillId="0" borderId="100" xfId="0" applyFont="1" applyBorder="1" applyAlignment="1">
      <alignment horizontal="center" vertical="center"/>
    </xf>
    <xf numFmtId="0" fontId="42" fillId="0" borderId="147" xfId="0" applyFont="1" applyBorder="1" applyAlignment="1">
      <alignment horizontal="center" vertical="center" wrapText="1"/>
    </xf>
    <xf numFmtId="0" fontId="42" fillId="0" borderId="103" xfId="0" applyFont="1" applyBorder="1" applyAlignment="1">
      <alignment horizontal="center" vertical="center" wrapText="1"/>
    </xf>
    <xf numFmtId="0" fontId="42" fillId="0" borderId="150" xfId="0" applyFont="1" applyBorder="1" applyAlignment="1">
      <alignment horizontal="center" vertical="center" wrapText="1"/>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11" xfId="0" applyFont="1" applyBorder="1" applyAlignment="1">
      <alignment horizontal="center" vertical="center"/>
    </xf>
    <xf numFmtId="0" fontId="5" fillId="0" borderId="0" xfId="0" applyFont="1" applyAlignment="1">
      <alignment horizontal="center" vertical="center"/>
    </xf>
    <xf numFmtId="0" fontId="22" fillId="5" borderId="2" xfId="0" applyFont="1" applyFill="1" applyBorder="1" applyAlignment="1">
      <alignment horizontal="center" vertical="center"/>
    </xf>
    <xf numFmtId="0" fontId="0" fillId="0" borderId="0" xfId="0" applyAlignment="1">
      <alignment horizontal="center"/>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F9900"/>
      <color rgb="FFCCCCFF"/>
      <color rgb="FF8238BA"/>
      <color rgb="FFFFEBCD"/>
      <color rgb="FF002F8E"/>
      <color rgb="FF0000CC"/>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Availability (Living Area) </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C2E-4FDC-8DAB-7FCF7BC63644}"/>
            </c:ext>
          </c:extLst>
        </c:ser>
        <c:ser>
          <c:idx val="1"/>
          <c:order val="1"/>
          <c:tx>
            <c:strRef>
              <c:f>Schedules!$E$15</c:f>
              <c:strCache>
                <c:ptCount val="1"/>
                <c:pt idx="0">
                  <c:v>Sunday</c:v>
                </c:pt>
              </c:strCache>
            </c:strRef>
          </c:tx>
          <c:spPr>
            <a:ln w="28575" cap="rnd">
              <a:solidFill>
                <a:schemeClr val="accent2"/>
              </a:solidFill>
              <a:round/>
            </a:ln>
            <a:effectLst/>
          </c:spPr>
          <c:marker>
            <c:symbol val="none"/>
          </c:marker>
          <c:val>
            <c:numRef>
              <c:f>Schedules!$F$15:$AC$15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C2E-4FDC-8DAB-7FCF7BC6364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Domestic Hot Water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0.13100000000000001</c:v>
                </c:pt>
                <c:pt idx="1">
                  <c:v>7.4999999999999997E-2</c:v>
                </c:pt>
                <c:pt idx="2">
                  <c:v>8.4000000000000005E-2</c:v>
                </c:pt>
                <c:pt idx="3">
                  <c:v>0.10299999999999999</c:v>
                </c:pt>
                <c:pt idx="4">
                  <c:v>0.187</c:v>
                </c:pt>
                <c:pt idx="5">
                  <c:v>0.41099999999999998</c:v>
                </c:pt>
                <c:pt idx="6">
                  <c:v>0.83199999999999996</c:v>
                </c:pt>
                <c:pt idx="7">
                  <c:v>1</c:v>
                </c:pt>
                <c:pt idx="8">
                  <c:v>0.83199999999999996</c:v>
                </c:pt>
                <c:pt idx="9">
                  <c:v>0.61699999999999999</c:v>
                </c:pt>
                <c:pt idx="10">
                  <c:v>0.48599999999999999</c:v>
                </c:pt>
                <c:pt idx="11">
                  <c:v>0.35499999999999998</c:v>
                </c:pt>
                <c:pt idx="12">
                  <c:v>0.33600000000000002</c:v>
                </c:pt>
                <c:pt idx="13">
                  <c:v>0.308</c:v>
                </c:pt>
                <c:pt idx="14">
                  <c:v>0.29899999999999999</c:v>
                </c:pt>
                <c:pt idx="15">
                  <c:v>0.24299999999999999</c:v>
                </c:pt>
                <c:pt idx="16">
                  <c:v>0.39300000000000002</c:v>
                </c:pt>
                <c:pt idx="17">
                  <c:v>0.44900000000000001</c:v>
                </c:pt>
                <c:pt idx="18">
                  <c:v>0.48599999999999999</c:v>
                </c:pt>
                <c:pt idx="19">
                  <c:v>0.439</c:v>
                </c:pt>
                <c:pt idx="20">
                  <c:v>0.39300000000000002</c:v>
                </c:pt>
                <c:pt idx="21">
                  <c:v>0.36399999999999999</c:v>
                </c:pt>
                <c:pt idx="22">
                  <c:v>0.33600000000000002</c:v>
                </c:pt>
                <c:pt idx="23">
                  <c:v>0.20599999999999999</c:v>
                </c:pt>
              </c:numCache>
            </c:numRef>
          </c:val>
          <c:smooth val="0"/>
          <c:extLst>
            <c:ext xmlns:c16="http://schemas.microsoft.com/office/drawing/2014/chart" uri="{C3380CC4-5D6E-409C-BE32-E72D297353CC}">
              <c16:uniqueId val="{00000000-72E8-40CB-ACEF-3073664B0A74}"/>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1-72E8-40CB-ACEF-3073664B0A74}"/>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2-72E8-40CB-ACEF-3073664B0A7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0-34EF-47FE-85F3-FE2A398CDB84}"/>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1-34EF-47FE-85F3-FE2A398CDB84}"/>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2-34EF-47FE-85F3-FE2A398CDB8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Heating Setpoint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0-20DA-4017-99C0-27B8676FF2B9}"/>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1-20DA-4017-99C0-27B8676FF2B9}"/>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2-20DA-4017-99C0-27B8676FF2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valAx>
      <c:spPr>
        <a:noFill/>
        <a:ln>
          <a:noFill/>
        </a:ln>
        <a:effectLst/>
      </c:spPr>
    </c:plotArea>
    <c:legend>
      <c:legendPos val="b"/>
      <c:layout>
        <c:manualLayout>
          <c:xMode val="edge"/>
          <c:yMode val="edge"/>
          <c:x val="0.69237621385546944"/>
          <c:y val="3.6261079321075841E-2"/>
          <c:w val="0.30762386983687329"/>
          <c:h val="0.145991098938719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Cooling Setpoint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D98B-455F-B2FA-1C5DA877D443}"/>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D98B-455F-B2FA-1C5DA877D443}"/>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D98B-455F-B2FA-1C5DA877D44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40"/>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Infiltration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658B-4941-9955-8CE5141A048F}"/>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658B-4941-9955-8CE5141A048F}"/>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658B-4941-9955-8CE5141A048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5B98-4387-8249-251EEDCF0E7D}"/>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5B98-4387-8249-251EEDCF0E7D}"/>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5B98-4387-8249-251EEDCF0E7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EBEB-44D3-902D-A54F6126BA8D}"/>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EBEB-44D3-902D-A54F6126BA8D}"/>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EBEB-44D3-902D-A54F6126BA8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7368-469C-AF1E-0E88A3F1A4D9}"/>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7368-469C-AF1E-0E88A3F1A4D9}"/>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7368-469C-AF1E-0E88A3F1A4D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5866-4C5C-B77F-58330A6AE0A1}"/>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5866-4C5C-B77F-58330A6AE0A1}"/>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5866-4C5C-B77F-58330A6AE0A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Domestic Hot Water (Common Use Area)</a:t>
            </a:r>
          </a:p>
        </c:rich>
      </c:tx>
      <c:layout>
        <c:manualLayout>
          <c:xMode val="edge"/>
          <c:yMode val="edge"/>
          <c:x val="0.15287702683311813"/>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0-4AE9-4E7A-B08B-12AC10229AB8}"/>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1-4AE9-4E7A-B08B-12AC10229AB8}"/>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2-4AE9-4E7A-B08B-12AC10229AB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0-ABAD-4600-9BB1-5AF394656E2B}"/>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1-ABAD-4600-9BB1-5AF394656E2B}"/>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2-ABAD-4600-9BB1-5AF394656E2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Heating Setpoint (Common Use Area)</a:t>
            </a:r>
          </a:p>
        </c:rich>
      </c:tx>
      <c:layout>
        <c:manualLayout>
          <c:xMode val="edge"/>
          <c:yMode val="edge"/>
          <c:x val="0.20964270340077487"/>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0-3051-40A7-9C60-9970192FA84F}"/>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1-3051-40A7-9C60-9970192FA84F}"/>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2-3051-40A7-9C60-9970192FA84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20"/>
      </c:valAx>
      <c:spPr>
        <a:noFill/>
        <a:ln>
          <a:noFill/>
        </a:ln>
        <a:effectLst/>
      </c:spPr>
    </c:plotArea>
    <c:legend>
      <c:legendPos val="b"/>
      <c:layout>
        <c:manualLayout>
          <c:xMode val="edge"/>
          <c:yMode val="edge"/>
          <c:x val="0.69237621385546944"/>
          <c:y val="3.6261079321075841E-2"/>
          <c:w val="0.30762375107760692"/>
          <c:h val="0.14768081073199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Cooling Setpoint (Common Use Area)</a:t>
            </a:r>
          </a:p>
        </c:rich>
      </c:tx>
      <c:layout>
        <c:manualLayout>
          <c:xMode val="edge"/>
          <c:yMode val="edge"/>
          <c:x val="0.19163426784308008"/>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Schedules!$E$56</c:f>
              <c:strCache>
                <c:ptCount val="1"/>
                <c:pt idx="0">
                  <c:v>Weekday</c:v>
                </c:pt>
              </c:strCache>
            </c:strRef>
          </c:tx>
          <c:spPr>
            <a:ln w="28575" cap="rnd">
              <a:solidFill>
                <a:schemeClr val="accent1"/>
              </a:solidFill>
              <a:round/>
            </a:ln>
            <a:effectLst/>
          </c:spPr>
          <c:marker>
            <c:symbol val="none"/>
          </c:marker>
          <c:val>
            <c:numRef>
              <c:f>Schedules!$F$56:$AC$56</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ACFE-412E-9AAE-E63BF39A5BC0}"/>
            </c:ext>
          </c:extLst>
        </c:ser>
        <c:ser>
          <c:idx val="1"/>
          <c:order val="1"/>
          <c:tx>
            <c:strRef>
              <c:f>Schedules!$E$57</c:f>
              <c:strCache>
                <c:ptCount val="1"/>
                <c:pt idx="0">
                  <c:v>Saturday</c:v>
                </c:pt>
              </c:strCache>
            </c:strRef>
          </c:tx>
          <c:spPr>
            <a:ln w="28575" cap="rnd">
              <a:solidFill>
                <a:schemeClr val="accent2"/>
              </a:solidFill>
              <a:round/>
            </a:ln>
            <a:effectLst/>
          </c:spPr>
          <c:marker>
            <c:symbol val="none"/>
          </c:marker>
          <c:val>
            <c:numRef>
              <c:f>Schedules!$F$57:$AC$57</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ACFE-412E-9AAE-E63BF39A5BC0}"/>
            </c:ext>
          </c:extLst>
        </c:ser>
        <c:ser>
          <c:idx val="2"/>
          <c:order val="2"/>
          <c:tx>
            <c:strRef>
              <c:f>Schedules!$E$58</c:f>
              <c:strCache>
                <c:ptCount val="1"/>
                <c:pt idx="0">
                  <c:v>Sunday</c:v>
                </c:pt>
              </c:strCache>
            </c:strRef>
          </c:tx>
          <c:spPr>
            <a:ln w="28575" cap="rnd">
              <a:solidFill>
                <a:schemeClr val="accent3"/>
              </a:solidFill>
              <a:round/>
            </a:ln>
            <a:effectLst/>
          </c:spPr>
          <c:marker>
            <c:symbol val="none"/>
          </c:marker>
          <c:val>
            <c:numRef>
              <c:f>Schedules!$F$58:$AC$58</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ACFE-412E-9AAE-E63BF39A5BC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40"/>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Infiltration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Schedules!$E$59</c:f>
              <c:strCache>
                <c:ptCount val="1"/>
                <c:pt idx="0">
                  <c:v>Weekday</c:v>
                </c:pt>
              </c:strCache>
            </c:strRef>
          </c:tx>
          <c:spPr>
            <a:ln w="28575" cap="rnd">
              <a:solidFill>
                <a:schemeClr val="accent1"/>
              </a:solidFill>
              <a:round/>
            </a:ln>
            <a:effectLst/>
          </c:spPr>
          <c:marker>
            <c:symbol val="none"/>
          </c:marker>
          <c:val>
            <c:numRef>
              <c:f>Schedules!$F$59:$AC$59</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99D0-4600-BDE7-475DCDB85D2E}"/>
            </c:ext>
          </c:extLst>
        </c:ser>
        <c:ser>
          <c:idx val="1"/>
          <c:order val="1"/>
          <c:tx>
            <c:strRef>
              <c:f>Schedules!$E$60</c:f>
              <c:strCache>
                <c:ptCount val="1"/>
                <c:pt idx="0">
                  <c:v>Saturday</c:v>
                </c:pt>
              </c:strCache>
            </c:strRef>
          </c:tx>
          <c:spPr>
            <a:ln w="28575" cap="rnd">
              <a:solidFill>
                <a:schemeClr val="accent2"/>
              </a:solidFill>
              <a:round/>
            </a:ln>
            <a:effectLst/>
          </c:spPr>
          <c:marker>
            <c:symbol val="none"/>
          </c:marker>
          <c:val>
            <c:numRef>
              <c:f>Schedules!$F$60:$AC$60</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99D0-4600-BDE7-475DCDB85D2E}"/>
            </c:ext>
          </c:extLst>
        </c:ser>
        <c:ser>
          <c:idx val="2"/>
          <c:order val="2"/>
          <c:tx>
            <c:strRef>
              <c:f>Schedules!$E$61</c:f>
              <c:strCache>
                <c:ptCount val="1"/>
                <c:pt idx="0">
                  <c:v>Sunday</c:v>
                </c:pt>
              </c:strCache>
            </c:strRef>
          </c:tx>
          <c:spPr>
            <a:ln w="28575" cap="rnd">
              <a:solidFill>
                <a:schemeClr val="accent3"/>
              </a:solidFill>
              <a:round/>
            </a:ln>
            <a:effectLst/>
          </c:spPr>
          <c:marker>
            <c:symbol val="none"/>
          </c:marker>
          <c:val>
            <c:numRef>
              <c:f>Schedules!$F$61:$AC$61</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99D0-4600-BDE7-475DCDB85D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000000000000001E-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Schedules!$E$62</c:f>
              <c:strCache>
                <c:ptCount val="1"/>
                <c:pt idx="0">
                  <c:v>Weekday</c:v>
                </c:pt>
              </c:strCache>
            </c:strRef>
          </c:tx>
          <c:spPr>
            <a:ln w="28575" cap="rnd">
              <a:solidFill>
                <a:schemeClr val="accent1"/>
              </a:solidFill>
              <a:round/>
            </a:ln>
            <a:effectLst/>
          </c:spPr>
          <c:marker>
            <c:symbol val="none"/>
          </c:marker>
          <c:val>
            <c:numRef>
              <c:f>Schedules!$F$62:$AC$62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6A32-4CE8-A186-0513864E4F4D}"/>
            </c:ext>
          </c:extLst>
        </c:ser>
        <c:ser>
          <c:idx val="1"/>
          <c:order val="1"/>
          <c:tx>
            <c:strRef>
              <c:f>Schedules!$E$63</c:f>
              <c:strCache>
                <c:ptCount val="1"/>
                <c:pt idx="0">
                  <c:v>Saturday</c:v>
                </c:pt>
              </c:strCache>
            </c:strRef>
          </c:tx>
          <c:spPr>
            <a:ln w="28575" cap="rnd">
              <a:solidFill>
                <a:schemeClr val="accent2"/>
              </a:solidFill>
              <a:round/>
            </a:ln>
            <a:effectLst/>
          </c:spPr>
          <c:marker>
            <c:symbol val="none"/>
          </c:marker>
          <c:val>
            <c:numRef>
              <c:f>Schedules!$F$63:$AC$63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6A32-4CE8-A186-0513864E4F4D}"/>
            </c:ext>
          </c:extLst>
        </c:ser>
        <c:ser>
          <c:idx val="2"/>
          <c:order val="2"/>
          <c:tx>
            <c:strRef>
              <c:f>Schedules!$E$64</c:f>
              <c:strCache>
                <c:ptCount val="1"/>
                <c:pt idx="0">
                  <c:v>Sunday</c:v>
                </c:pt>
              </c:strCache>
            </c:strRef>
          </c:tx>
          <c:spPr>
            <a:ln w="28575" cap="rnd">
              <a:solidFill>
                <a:schemeClr val="accent3"/>
              </a:solidFill>
              <a:round/>
            </a:ln>
            <a:effectLst/>
          </c:spPr>
          <c:marker>
            <c:symbol val="none"/>
          </c:marker>
          <c:val>
            <c:numRef>
              <c:f>Schedules!$F$64:$AC$64</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6A32-4CE8-A186-0513864E4F4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Schedules!$E$69</c:f>
              <c:strCache>
                <c:ptCount val="1"/>
                <c:pt idx="0">
                  <c:v>Weekday</c:v>
                </c:pt>
              </c:strCache>
            </c:strRef>
          </c:tx>
          <c:spPr>
            <a:ln w="28575" cap="rnd">
              <a:solidFill>
                <a:schemeClr val="accent1"/>
              </a:solidFill>
              <a:round/>
            </a:ln>
            <a:effectLst/>
          </c:spPr>
          <c:marker>
            <c:symbol val="none"/>
          </c:marker>
          <c:val>
            <c:numRef>
              <c:f>Schedules!$F$69:$AC$69</c:f>
              <c:numCache>
                <c:formatCode>0.00</c:formatCode>
                <c:ptCount val="24"/>
                <c:pt idx="0">
                  <c:v>0.05</c:v>
                </c:pt>
                <c:pt idx="1">
                  <c:v>0.05</c:v>
                </c:pt>
                <c:pt idx="2">
                  <c:v>0.05</c:v>
                </c:pt>
                <c:pt idx="3">
                  <c:v>0.05</c:v>
                </c:pt>
                <c:pt idx="4">
                  <c:v>0.05</c:v>
                </c:pt>
                <c:pt idx="5">
                  <c:v>0.05</c:v>
                </c:pt>
                <c:pt idx="6">
                  <c:v>0.05</c:v>
                </c:pt>
                <c:pt idx="7">
                  <c:v>0.2</c:v>
                </c:pt>
                <c:pt idx="8">
                  <c:v>0.5</c:v>
                </c:pt>
                <c:pt idx="9">
                  <c:v>0.85</c:v>
                </c:pt>
                <c:pt idx="10">
                  <c:v>0.85</c:v>
                </c:pt>
                <c:pt idx="11">
                  <c:v>0.85</c:v>
                </c:pt>
                <c:pt idx="12">
                  <c:v>0.85</c:v>
                </c:pt>
                <c:pt idx="13">
                  <c:v>0.85</c:v>
                </c:pt>
                <c:pt idx="14">
                  <c:v>0.85</c:v>
                </c:pt>
                <c:pt idx="15">
                  <c:v>0.85</c:v>
                </c:pt>
                <c:pt idx="16">
                  <c:v>0.85</c:v>
                </c:pt>
                <c:pt idx="17">
                  <c:v>0.85</c:v>
                </c:pt>
                <c:pt idx="18">
                  <c:v>0.55000000000000004</c:v>
                </c:pt>
                <c:pt idx="19">
                  <c:v>0.55000000000000004</c:v>
                </c:pt>
                <c:pt idx="20">
                  <c:v>0.5</c:v>
                </c:pt>
                <c:pt idx="21">
                  <c:v>0.2</c:v>
                </c:pt>
                <c:pt idx="22">
                  <c:v>0.05</c:v>
                </c:pt>
                <c:pt idx="23">
                  <c:v>0.05</c:v>
                </c:pt>
              </c:numCache>
            </c:numRef>
          </c:val>
          <c:smooth val="0"/>
          <c:extLst>
            <c:ext xmlns:c16="http://schemas.microsoft.com/office/drawing/2014/chart" uri="{C3380CC4-5D6E-409C-BE32-E72D297353CC}">
              <c16:uniqueId val="{00000000-CFB5-49CF-8CE3-1AF7C82AC52A}"/>
            </c:ext>
          </c:extLst>
        </c:ser>
        <c:ser>
          <c:idx val="1"/>
          <c:order val="1"/>
          <c:tx>
            <c:strRef>
              <c:f>Schedules!$E$70</c:f>
              <c:strCache>
                <c:ptCount val="1"/>
                <c:pt idx="0">
                  <c:v>Saturday</c:v>
                </c:pt>
              </c:strCache>
            </c:strRef>
          </c:tx>
          <c:spPr>
            <a:ln w="28575" cap="rnd">
              <a:solidFill>
                <a:schemeClr val="accent2"/>
              </a:solidFill>
              <a:round/>
            </a:ln>
            <a:effectLst/>
          </c:spPr>
          <c:marker>
            <c:symbol val="none"/>
          </c:marker>
          <c:val>
            <c:numRef>
              <c:f>Schedules!$F$70:$AC$70</c:f>
              <c:numCache>
                <c:formatCode>0.00</c:formatCode>
                <c:ptCount val="24"/>
                <c:pt idx="0">
                  <c:v>0.05</c:v>
                </c:pt>
                <c:pt idx="1">
                  <c:v>0.05</c:v>
                </c:pt>
                <c:pt idx="2">
                  <c:v>0.05</c:v>
                </c:pt>
                <c:pt idx="3">
                  <c:v>0.05</c:v>
                </c:pt>
                <c:pt idx="4">
                  <c:v>0.05</c:v>
                </c:pt>
                <c:pt idx="5">
                  <c:v>0.05</c:v>
                </c:pt>
                <c:pt idx="6">
                  <c:v>0.05</c:v>
                </c:pt>
                <c:pt idx="7">
                  <c:v>0.1</c:v>
                </c:pt>
                <c:pt idx="8">
                  <c:v>0.3</c:v>
                </c:pt>
                <c:pt idx="9">
                  <c:v>0.55000000000000004</c:v>
                </c:pt>
                <c:pt idx="10">
                  <c:v>0.85</c:v>
                </c:pt>
                <c:pt idx="11">
                  <c:v>0.85</c:v>
                </c:pt>
                <c:pt idx="12">
                  <c:v>0.85</c:v>
                </c:pt>
                <c:pt idx="13">
                  <c:v>0.85</c:v>
                </c:pt>
                <c:pt idx="14">
                  <c:v>0.85</c:v>
                </c:pt>
                <c:pt idx="15">
                  <c:v>0.85</c:v>
                </c:pt>
                <c:pt idx="16">
                  <c:v>0.85</c:v>
                </c:pt>
                <c:pt idx="17">
                  <c:v>0.85</c:v>
                </c:pt>
                <c:pt idx="18">
                  <c:v>0.5</c:v>
                </c:pt>
                <c:pt idx="19">
                  <c:v>0.3</c:v>
                </c:pt>
                <c:pt idx="20">
                  <c:v>0.3</c:v>
                </c:pt>
                <c:pt idx="21">
                  <c:v>0.1</c:v>
                </c:pt>
                <c:pt idx="22">
                  <c:v>0.05</c:v>
                </c:pt>
                <c:pt idx="23">
                  <c:v>0.05</c:v>
                </c:pt>
              </c:numCache>
            </c:numRef>
          </c:val>
          <c:smooth val="0"/>
          <c:extLst>
            <c:ext xmlns:c16="http://schemas.microsoft.com/office/drawing/2014/chart" uri="{C3380CC4-5D6E-409C-BE32-E72D297353CC}">
              <c16:uniqueId val="{00000001-CFB5-49CF-8CE3-1AF7C82AC52A}"/>
            </c:ext>
          </c:extLst>
        </c:ser>
        <c:ser>
          <c:idx val="2"/>
          <c:order val="2"/>
          <c:tx>
            <c:strRef>
              <c:f>Schedules!$E$71</c:f>
              <c:strCache>
                <c:ptCount val="1"/>
                <c:pt idx="0">
                  <c:v>Sunday</c:v>
                </c:pt>
              </c:strCache>
            </c:strRef>
          </c:tx>
          <c:spPr>
            <a:ln w="28575" cap="rnd">
              <a:solidFill>
                <a:schemeClr val="accent3"/>
              </a:solidFill>
              <a:round/>
            </a:ln>
            <a:effectLst/>
          </c:spPr>
          <c:marker>
            <c:symbol val="none"/>
          </c:marker>
          <c:val>
            <c:numRef>
              <c:f>Schedules!$F$71:$AC$71</c:f>
              <c:numCache>
                <c:formatCode>0.00</c:formatCode>
                <c:ptCount val="24"/>
                <c:pt idx="0">
                  <c:v>0.05</c:v>
                </c:pt>
                <c:pt idx="1">
                  <c:v>0.05</c:v>
                </c:pt>
                <c:pt idx="2">
                  <c:v>0.05</c:v>
                </c:pt>
                <c:pt idx="3">
                  <c:v>0.05</c:v>
                </c:pt>
                <c:pt idx="4">
                  <c:v>0.05</c:v>
                </c:pt>
                <c:pt idx="5">
                  <c:v>0.05</c:v>
                </c:pt>
                <c:pt idx="6">
                  <c:v>0.05</c:v>
                </c:pt>
                <c:pt idx="7">
                  <c:v>0.05</c:v>
                </c:pt>
                <c:pt idx="8">
                  <c:v>0.1</c:v>
                </c:pt>
                <c:pt idx="9">
                  <c:v>0.1</c:v>
                </c:pt>
                <c:pt idx="10">
                  <c:v>0.4</c:v>
                </c:pt>
                <c:pt idx="11">
                  <c:v>0.4</c:v>
                </c:pt>
                <c:pt idx="12">
                  <c:v>0.55000000000000004</c:v>
                </c:pt>
                <c:pt idx="13">
                  <c:v>0.55000000000000004</c:v>
                </c:pt>
                <c:pt idx="14">
                  <c:v>0.55000000000000004</c:v>
                </c:pt>
                <c:pt idx="15">
                  <c:v>0.55000000000000004</c:v>
                </c:pt>
                <c:pt idx="16">
                  <c:v>0.55000000000000004</c:v>
                </c:pt>
                <c:pt idx="17">
                  <c:v>0.4</c:v>
                </c:pt>
                <c:pt idx="18">
                  <c:v>0.2</c:v>
                </c:pt>
                <c:pt idx="19">
                  <c:v>0.05</c:v>
                </c:pt>
                <c:pt idx="20">
                  <c:v>0.05</c:v>
                </c:pt>
                <c:pt idx="21">
                  <c:v>0.05</c:v>
                </c:pt>
                <c:pt idx="22">
                  <c:v>0.05</c:v>
                </c:pt>
                <c:pt idx="23">
                  <c:v>0.05</c:v>
                </c:pt>
              </c:numCache>
            </c:numRef>
          </c:val>
          <c:smooth val="0"/>
          <c:extLst>
            <c:ext xmlns:c16="http://schemas.microsoft.com/office/drawing/2014/chart" uri="{C3380CC4-5D6E-409C-BE32-E72D297353CC}">
              <c16:uniqueId val="{00000002-CFB5-49CF-8CE3-1AF7C82AC52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Schedules!$E$72</c:f>
              <c:strCache>
                <c:ptCount val="1"/>
                <c:pt idx="0">
                  <c:v>Weekday</c:v>
                </c:pt>
              </c:strCache>
            </c:strRef>
          </c:tx>
          <c:spPr>
            <a:ln w="28575" cap="rnd">
              <a:solidFill>
                <a:schemeClr val="accent1"/>
              </a:solidFill>
              <a:round/>
            </a:ln>
            <a:effectLst/>
          </c:spPr>
          <c:marker>
            <c:symbol val="none"/>
          </c:marker>
          <c:val>
            <c:numRef>
              <c:f>Schedules!$F$72:$AC$72</c:f>
              <c:numCache>
                <c:formatCode>0.00</c:formatCode>
                <c:ptCount val="24"/>
                <c:pt idx="0">
                  <c:v>0.4</c:v>
                </c:pt>
                <c:pt idx="1">
                  <c:v>0.4</c:v>
                </c:pt>
                <c:pt idx="2">
                  <c:v>0.4</c:v>
                </c:pt>
                <c:pt idx="3">
                  <c:v>0.4</c:v>
                </c:pt>
                <c:pt idx="4">
                  <c:v>0.4</c:v>
                </c:pt>
                <c:pt idx="5">
                  <c:v>0.4</c:v>
                </c:pt>
                <c:pt idx="6">
                  <c:v>0.6</c:v>
                </c:pt>
                <c:pt idx="7">
                  <c:v>0.6</c:v>
                </c:pt>
                <c:pt idx="8">
                  <c:v>0.9</c:v>
                </c:pt>
                <c:pt idx="9">
                  <c:v>0.9</c:v>
                </c:pt>
                <c:pt idx="10">
                  <c:v>0.9</c:v>
                </c:pt>
                <c:pt idx="11">
                  <c:v>0.9</c:v>
                </c:pt>
                <c:pt idx="12">
                  <c:v>0.9</c:v>
                </c:pt>
                <c:pt idx="13">
                  <c:v>0.9</c:v>
                </c:pt>
                <c:pt idx="14">
                  <c:v>0.9</c:v>
                </c:pt>
                <c:pt idx="15">
                  <c:v>0.9</c:v>
                </c:pt>
                <c:pt idx="16">
                  <c:v>0.9</c:v>
                </c:pt>
                <c:pt idx="17">
                  <c:v>0.9</c:v>
                </c:pt>
                <c:pt idx="18">
                  <c:v>0.9</c:v>
                </c:pt>
                <c:pt idx="19">
                  <c:v>0.6</c:v>
                </c:pt>
                <c:pt idx="20">
                  <c:v>0.6</c:v>
                </c:pt>
                <c:pt idx="21">
                  <c:v>0.4</c:v>
                </c:pt>
                <c:pt idx="22">
                  <c:v>0.4</c:v>
                </c:pt>
                <c:pt idx="23">
                  <c:v>0.4</c:v>
                </c:pt>
              </c:numCache>
            </c:numRef>
          </c:val>
          <c:smooth val="0"/>
          <c:extLst>
            <c:ext xmlns:c16="http://schemas.microsoft.com/office/drawing/2014/chart" uri="{C3380CC4-5D6E-409C-BE32-E72D297353CC}">
              <c16:uniqueId val="{00000000-FB9A-438A-A46A-18B33EF6CDC7}"/>
            </c:ext>
          </c:extLst>
        </c:ser>
        <c:ser>
          <c:idx val="1"/>
          <c:order val="1"/>
          <c:tx>
            <c:strRef>
              <c:f>Schedules!$E$73</c:f>
              <c:strCache>
                <c:ptCount val="1"/>
                <c:pt idx="0">
                  <c:v>Saturday</c:v>
                </c:pt>
              </c:strCache>
            </c:strRef>
          </c:tx>
          <c:spPr>
            <a:ln w="28575" cap="rnd">
              <a:solidFill>
                <a:schemeClr val="accent2"/>
              </a:solidFill>
              <a:round/>
            </a:ln>
            <a:effectLst/>
          </c:spPr>
          <c:marker>
            <c:symbol val="none"/>
          </c:marker>
          <c:val>
            <c:numRef>
              <c:f>Schedules!$F$73:$AC$73</c:f>
              <c:numCache>
                <c:formatCode>0.00</c:formatCode>
                <c:ptCount val="24"/>
                <c:pt idx="0">
                  <c:v>0.4</c:v>
                </c:pt>
                <c:pt idx="1">
                  <c:v>0.4</c:v>
                </c:pt>
                <c:pt idx="2">
                  <c:v>0.4</c:v>
                </c:pt>
                <c:pt idx="3">
                  <c:v>0.4</c:v>
                </c:pt>
                <c:pt idx="4">
                  <c:v>0.4</c:v>
                </c:pt>
                <c:pt idx="5">
                  <c:v>0.4</c:v>
                </c:pt>
                <c:pt idx="6">
                  <c:v>0.6</c:v>
                </c:pt>
                <c:pt idx="7">
                  <c:v>0.6</c:v>
                </c:pt>
                <c:pt idx="8">
                  <c:v>0.9</c:v>
                </c:pt>
                <c:pt idx="9">
                  <c:v>0.9</c:v>
                </c:pt>
                <c:pt idx="10">
                  <c:v>0.9</c:v>
                </c:pt>
                <c:pt idx="11">
                  <c:v>0.9</c:v>
                </c:pt>
                <c:pt idx="12">
                  <c:v>0.9</c:v>
                </c:pt>
                <c:pt idx="13">
                  <c:v>0.9</c:v>
                </c:pt>
                <c:pt idx="14">
                  <c:v>0.9</c:v>
                </c:pt>
                <c:pt idx="15">
                  <c:v>0.9</c:v>
                </c:pt>
                <c:pt idx="16">
                  <c:v>0.9</c:v>
                </c:pt>
                <c:pt idx="17">
                  <c:v>0.9</c:v>
                </c:pt>
                <c:pt idx="18">
                  <c:v>0.9</c:v>
                </c:pt>
                <c:pt idx="19">
                  <c:v>0.6</c:v>
                </c:pt>
                <c:pt idx="20">
                  <c:v>0.6</c:v>
                </c:pt>
                <c:pt idx="21">
                  <c:v>0.4</c:v>
                </c:pt>
                <c:pt idx="22">
                  <c:v>0.4</c:v>
                </c:pt>
                <c:pt idx="23">
                  <c:v>0.4</c:v>
                </c:pt>
              </c:numCache>
            </c:numRef>
          </c:val>
          <c:smooth val="0"/>
          <c:extLst>
            <c:ext xmlns:c16="http://schemas.microsoft.com/office/drawing/2014/chart" uri="{C3380CC4-5D6E-409C-BE32-E72D297353CC}">
              <c16:uniqueId val="{00000001-FB9A-438A-A46A-18B33EF6CDC7}"/>
            </c:ext>
          </c:extLst>
        </c:ser>
        <c:ser>
          <c:idx val="2"/>
          <c:order val="2"/>
          <c:tx>
            <c:strRef>
              <c:f>Schedules!$E$74</c:f>
              <c:strCache>
                <c:ptCount val="1"/>
                <c:pt idx="0">
                  <c:v>Sunday</c:v>
                </c:pt>
              </c:strCache>
            </c:strRef>
          </c:tx>
          <c:spPr>
            <a:ln w="28575" cap="rnd">
              <a:solidFill>
                <a:schemeClr val="accent3"/>
              </a:solidFill>
              <a:round/>
            </a:ln>
            <a:effectLst/>
          </c:spPr>
          <c:marker>
            <c:symbol val="none"/>
          </c:marker>
          <c:val>
            <c:numRef>
              <c:f>Schedules!$F$74:$AC$74</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0.9</c:v>
                </c:pt>
                <c:pt idx="12">
                  <c:v>0.9</c:v>
                </c:pt>
                <c:pt idx="13">
                  <c:v>0.9</c:v>
                </c:pt>
                <c:pt idx="14">
                  <c:v>0.9</c:v>
                </c:pt>
                <c:pt idx="15">
                  <c:v>0.9</c:v>
                </c:pt>
                <c:pt idx="16">
                  <c:v>0.9</c:v>
                </c:pt>
                <c:pt idx="17">
                  <c:v>0.6</c:v>
                </c:pt>
                <c:pt idx="18">
                  <c:v>0.6</c:v>
                </c:pt>
                <c:pt idx="19">
                  <c:v>0.4</c:v>
                </c:pt>
                <c:pt idx="20">
                  <c:v>0.4</c:v>
                </c:pt>
                <c:pt idx="21">
                  <c:v>0.4</c:v>
                </c:pt>
                <c:pt idx="22">
                  <c:v>0.4</c:v>
                </c:pt>
                <c:pt idx="23">
                  <c:v>0.4</c:v>
                </c:pt>
              </c:numCache>
            </c:numRef>
          </c:val>
          <c:smooth val="0"/>
          <c:extLst>
            <c:ext xmlns:c16="http://schemas.microsoft.com/office/drawing/2014/chart" uri="{C3380CC4-5D6E-409C-BE32-E72D297353CC}">
              <c16:uniqueId val="{00000002-FB9A-438A-A46A-18B33EF6CDC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Schedules!$C$66</c:f>
          <c:strCache>
            <c:ptCount val="1"/>
            <c:pt idx="0">
              <c:v>Occupancy</c:v>
            </c:pt>
          </c:strCache>
        </c:strRef>
      </c:tx>
      <c:layout>
        <c:manualLayout>
          <c:xMode val="edge"/>
          <c:yMode val="edge"/>
          <c:x val="0.44433467123907239"/>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Schedules!$E$66</c:f>
              <c:strCache>
                <c:ptCount val="1"/>
                <c:pt idx="0">
                  <c:v>Weekday</c:v>
                </c:pt>
              </c:strCache>
            </c:strRef>
          </c:tx>
          <c:spPr>
            <a:ln w="28575" cap="rnd">
              <a:solidFill>
                <a:schemeClr val="accent1"/>
              </a:solidFill>
              <a:round/>
            </a:ln>
            <a:effectLst/>
          </c:spPr>
          <c:marker>
            <c:symbol val="none"/>
          </c:marker>
          <c:val>
            <c:numRef>
              <c:f>Schedules!$F$66:$AC$66</c:f>
              <c:numCache>
                <c:formatCode>0.00</c:formatCode>
                <c:ptCount val="24"/>
                <c:pt idx="0">
                  <c:v>0</c:v>
                </c:pt>
                <c:pt idx="1">
                  <c:v>0</c:v>
                </c:pt>
                <c:pt idx="2">
                  <c:v>0</c:v>
                </c:pt>
                <c:pt idx="3">
                  <c:v>0</c:v>
                </c:pt>
                <c:pt idx="4">
                  <c:v>0</c:v>
                </c:pt>
                <c:pt idx="5">
                  <c:v>0</c:v>
                </c:pt>
                <c:pt idx="6">
                  <c:v>0</c:v>
                </c:pt>
                <c:pt idx="7">
                  <c:v>0.1</c:v>
                </c:pt>
                <c:pt idx="8">
                  <c:v>0.2</c:v>
                </c:pt>
                <c:pt idx="9">
                  <c:v>0.5</c:v>
                </c:pt>
                <c:pt idx="10">
                  <c:v>0.5</c:v>
                </c:pt>
                <c:pt idx="11">
                  <c:v>0.7</c:v>
                </c:pt>
                <c:pt idx="12">
                  <c:v>0.7</c:v>
                </c:pt>
                <c:pt idx="13">
                  <c:v>0.7</c:v>
                </c:pt>
                <c:pt idx="14">
                  <c:v>0.7</c:v>
                </c:pt>
                <c:pt idx="15">
                  <c:v>0.8</c:v>
                </c:pt>
                <c:pt idx="16">
                  <c:v>0.7</c:v>
                </c:pt>
                <c:pt idx="17">
                  <c:v>0.5</c:v>
                </c:pt>
                <c:pt idx="18">
                  <c:v>0.5</c:v>
                </c:pt>
                <c:pt idx="19">
                  <c:v>0.3</c:v>
                </c:pt>
                <c:pt idx="20">
                  <c:v>0.3</c:v>
                </c:pt>
                <c:pt idx="21">
                  <c:v>0</c:v>
                </c:pt>
                <c:pt idx="22">
                  <c:v>0</c:v>
                </c:pt>
                <c:pt idx="23">
                  <c:v>0</c:v>
                </c:pt>
              </c:numCache>
            </c:numRef>
          </c:val>
          <c:smooth val="0"/>
          <c:extLst>
            <c:ext xmlns:c16="http://schemas.microsoft.com/office/drawing/2014/chart" uri="{C3380CC4-5D6E-409C-BE32-E72D297353CC}">
              <c16:uniqueId val="{00000000-622B-4404-BFF6-1B4FD5121A8E}"/>
            </c:ext>
          </c:extLst>
        </c:ser>
        <c:ser>
          <c:idx val="1"/>
          <c:order val="1"/>
          <c:tx>
            <c:strRef>
              <c:f>Schedules!$E$67</c:f>
              <c:strCache>
                <c:ptCount val="1"/>
                <c:pt idx="0">
                  <c:v>Saturday</c:v>
                </c:pt>
              </c:strCache>
            </c:strRef>
          </c:tx>
          <c:spPr>
            <a:ln w="28575" cap="rnd">
              <a:solidFill>
                <a:schemeClr val="accent2"/>
              </a:solidFill>
              <a:round/>
            </a:ln>
            <a:effectLst/>
          </c:spPr>
          <c:marker>
            <c:symbol val="none"/>
          </c:marker>
          <c:val>
            <c:numRef>
              <c:f>Schedules!$F$67:$AC$67</c:f>
              <c:numCache>
                <c:formatCode>0.00</c:formatCode>
                <c:ptCount val="24"/>
                <c:pt idx="0">
                  <c:v>0</c:v>
                </c:pt>
                <c:pt idx="1">
                  <c:v>0</c:v>
                </c:pt>
                <c:pt idx="2">
                  <c:v>0</c:v>
                </c:pt>
                <c:pt idx="3">
                  <c:v>0</c:v>
                </c:pt>
                <c:pt idx="4">
                  <c:v>0</c:v>
                </c:pt>
                <c:pt idx="5">
                  <c:v>0</c:v>
                </c:pt>
                <c:pt idx="6">
                  <c:v>0</c:v>
                </c:pt>
                <c:pt idx="7">
                  <c:v>0.1</c:v>
                </c:pt>
                <c:pt idx="8">
                  <c:v>0.2</c:v>
                </c:pt>
                <c:pt idx="9">
                  <c:v>0.5</c:v>
                </c:pt>
                <c:pt idx="10">
                  <c:v>0.6</c:v>
                </c:pt>
                <c:pt idx="11">
                  <c:v>0.8</c:v>
                </c:pt>
                <c:pt idx="12">
                  <c:v>0.8</c:v>
                </c:pt>
                <c:pt idx="13">
                  <c:v>0.8</c:v>
                </c:pt>
                <c:pt idx="14">
                  <c:v>0.8</c:v>
                </c:pt>
                <c:pt idx="15">
                  <c:v>0.8</c:v>
                </c:pt>
                <c:pt idx="16">
                  <c:v>0.8</c:v>
                </c:pt>
                <c:pt idx="17">
                  <c:v>0.6</c:v>
                </c:pt>
                <c:pt idx="18">
                  <c:v>0.2</c:v>
                </c:pt>
                <c:pt idx="19">
                  <c:v>0.2</c:v>
                </c:pt>
                <c:pt idx="20">
                  <c:v>0.2</c:v>
                </c:pt>
                <c:pt idx="21">
                  <c:v>0.1</c:v>
                </c:pt>
                <c:pt idx="22">
                  <c:v>0</c:v>
                </c:pt>
                <c:pt idx="23">
                  <c:v>0</c:v>
                </c:pt>
              </c:numCache>
            </c:numRef>
          </c:val>
          <c:smooth val="0"/>
          <c:extLst>
            <c:ext xmlns:c16="http://schemas.microsoft.com/office/drawing/2014/chart" uri="{C3380CC4-5D6E-409C-BE32-E72D297353CC}">
              <c16:uniqueId val="{00000001-622B-4404-BFF6-1B4FD5121A8E}"/>
            </c:ext>
          </c:extLst>
        </c:ser>
        <c:ser>
          <c:idx val="2"/>
          <c:order val="2"/>
          <c:tx>
            <c:strRef>
              <c:f>Schedules!$E$68</c:f>
              <c:strCache>
                <c:ptCount val="1"/>
                <c:pt idx="0">
                  <c:v>Sunday</c:v>
                </c:pt>
              </c:strCache>
            </c:strRef>
          </c:tx>
          <c:spPr>
            <a:ln w="28575" cap="rnd">
              <a:solidFill>
                <a:schemeClr val="accent3"/>
              </a:solidFill>
              <a:round/>
            </a:ln>
            <a:effectLst/>
          </c:spPr>
          <c:marker>
            <c:symbol val="none"/>
          </c:marker>
          <c:val>
            <c:numRef>
              <c:f>Schedules!$F$68:$AC$68</c:f>
              <c:numCache>
                <c:formatCode>0.00</c:formatCode>
                <c:ptCount val="24"/>
                <c:pt idx="0">
                  <c:v>0</c:v>
                </c:pt>
                <c:pt idx="1">
                  <c:v>0</c:v>
                </c:pt>
                <c:pt idx="2">
                  <c:v>0</c:v>
                </c:pt>
                <c:pt idx="3">
                  <c:v>0</c:v>
                </c:pt>
                <c:pt idx="4">
                  <c:v>0</c:v>
                </c:pt>
                <c:pt idx="5">
                  <c:v>0</c:v>
                </c:pt>
                <c:pt idx="6">
                  <c:v>0</c:v>
                </c:pt>
                <c:pt idx="7">
                  <c:v>0</c:v>
                </c:pt>
                <c:pt idx="8">
                  <c:v>0</c:v>
                </c:pt>
                <c:pt idx="9">
                  <c:v>0.1</c:v>
                </c:pt>
                <c:pt idx="10">
                  <c:v>0.2</c:v>
                </c:pt>
                <c:pt idx="11">
                  <c:v>0.2</c:v>
                </c:pt>
                <c:pt idx="12">
                  <c:v>0.4</c:v>
                </c:pt>
                <c:pt idx="13">
                  <c:v>0.4</c:v>
                </c:pt>
                <c:pt idx="14">
                  <c:v>0.4</c:v>
                </c:pt>
                <c:pt idx="15">
                  <c:v>0.4</c:v>
                </c:pt>
                <c:pt idx="16">
                  <c:v>0.4</c:v>
                </c:pt>
                <c:pt idx="17">
                  <c:v>0.2</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2-622B-4404-BFF6-1B4FD5121A8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Schedules!$C$91</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Schedules!$E$91</c:f>
              <c:strCache>
                <c:ptCount val="1"/>
                <c:pt idx="0">
                  <c:v>Weekday</c:v>
                </c:pt>
              </c:strCache>
            </c:strRef>
          </c:tx>
          <c:spPr>
            <a:ln w="28575" cap="rnd">
              <a:solidFill>
                <a:schemeClr val="accent1"/>
              </a:solidFill>
              <a:round/>
            </a:ln>
            <a:effectLst/>
          </c:spPr>
          <c:marker>
            <c:symbol val="none"/>
          </c:marker>
          <c:val>
            <c:numRef>
              <c:f>Schedules!$F$91:$AC$91</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0-F50E-4486-8FB0-805764D1ACEC}"/>
            </c:ext>
          </c:extLst>
        </c:ser>
        <c:ser>
          <c:idx val="1"/>
          <c:order val="1"/>
          <c:tx>
            <c:strRef>
              <c:f>Schedules!$E$92</c:f>
              <c:strCache>
                <c:ptCount val="1"/>
                <c:pt idx="0">
                  <c:v>Saturday</c:v>
                </c:pt>
              </c:strCache>
            </c:strRef>
          </c:tx>
          <c:spPr>
            <a:ln w="28575" cap="rnd">
              <a:solidFill>
                <a:schemeClr val="accent2"/>
              </a:solidFill>
              <a:round/>
            </a:ln>
            <a:effectLst/>
          </c:spPr>
          <c:marker>
            <c:symbol val="none"/>
          </c:marker>
          <c:val>
            <c:numRef>
              <c:f>Schedules!$F$92:$AC$92</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1-F50E-4486-8FB0-805764D1ACEC}"/>
            </c:ext>
          </c:extLst>
        </c:ser>
        <c:ser>
          <c:idx val="2"/>
          <c:order val="2"/>
          <c:tx>
            <c:strRef>
              <c:f>Schedules!$E$93</c:f>
              <c:strCache>
                <c:ptCount val="1"/>
                <c:pt idx="0">
                  <c:v>Sunday</c:v>
                </c:pt>
              </c:strCache>
            </c:strRef>
          </c:tx>
          <c:spPr>
            <a:ln w="28575" cap="rnd">
              <a:solidFill>
                <a:schemeClr val="accent3"/>
              </a:solidFill>
              <a:prstDash val="sysDot"/>
              <a:round/>
            </a:ln>
            <a:effectLst/>
          </c:spPr>
          <c:marker>
            <c:symbol val="none"/>
          </c:marker>
          <c:val>
            <c:numRef>
              <c:f>Schedules!$F$93:$AC$93</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2-F50E-4486-8FB0-805764D1ACE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valAx>
      <c:spPr>
        <a:noFill/>
        <a:ln>
          <a:noFill/>
        </a:ln>
        <a:effectLst/>
      </c:spPr>
    </c:plotArea>
    <c:legend>
      <c:legendPos val="b"/>
      <c:layout>
        <c:manualLayout>
          <c:xMode val="edge"/>
          <c:yMode val="edge"/>
          <c:x val="0.69237621385546944"/>
          <c:y val="3.6261079321075841E-2"/>
          <c:w val="0.28941482691935089"/>
          <c:h val="0.41225542009028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Availability (Common Living </a:t>
            </a:r>
          </a:p>
        </c:rich>
      </c:tx>
      <c:layout>
        <c:manualLayout>
          <c:xMode val="edge"/>
          <c:yMode val="edge"/>
          <c:x val="0.14378764951200443"/>
          <c:y val="4.720747934982538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D0D-49F5-9DE6-A20428BFF516}"/>
            </c:ext>
          </c:extLst>
        </c:ser>
        <c:ser>
          <c:idx val="1"/>
          <c:order val="1"/>
          <c:tx>
            <c:strRef>
              <c:f>Schedules!$E$15</c:f>
              <c:strCache>
                <c:ptCount val="1"/>
                <c:pt idx="0">
                  <c:v>Sunday</c:v>
                </c:pt>
              </c:strCache>
            </c:strRef>
          </c:tx>
          <c:spPr>
            <a:ln w="28575" cap="rnd">
              <a:solidFill>
                <a:schemeClr val="accent2"/>
              </a:solidFill>
              <a:round/>
            </a:ln>
            <a:effectLst/>
          </c:spPr>
          <c:marker>
            <c:symbol val="none"/>
          </c:marker>
          <c:val>
            <c:numRef>
              <c:f>Schedules!$F$15:$AC$15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D0D-49F5-9DE6-A20428BFF51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editAs="oneCell">
    <xdr:from>
      <xdr:col>1</xdr:col>
      <xdr:colOff>9526</xdr:colOff>
      <xdr:row>22</xdr:row>
      <xdr:rowOff>1</xdr:rowOff>
    </xdr:from>
    <xdr:to>
      <xdr:col>2</xdr:col>
      <xdr:colOff>2299336</xdr:colOff>
      <xdr:row>32</xdr:row>
      <xdr:rowOff>65697</xdr:rowOff>
    </xdr:to>
    <xdr:pic>
      <xdr:nvPicPr>
        <xdr:cNvPr id="2" name="Picture 1">
          <a:extLst>
            <a:ext uri="{FF2B5EF4-FFF2-40B4-BE49-F238E27FC236}">
              <a16:creationId xmlns:a16="http://schemas.microsoft.com/office/drawing/2014/main" id="{7290D6DB-8D82-BEB1-2190-56592FACB1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1" y="3190876"/>
          <a:ext cx="7467600" cy="1713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1504951</xdr:colOff>
      <xdr:row>6</xdr:row>
      <xdr:rowOff>38099</xdr:rowOff>
    </xdr:from>
    <xdr:to>
      <xdr:col>1</xdr:col>
      <xdr:colOff>2928951</xdr:colOff>
      <xdr:row>6</xdr:row>
      <xdr:rowOff>1200970</xdr:rowOff>
    </xdr:to>
    <xdr:pic>
      <xdr:nvPicPr>
        <xdr:cNvPr id="3" name="Picture 2">
          <a:extLst>
            <a:ext uri="{FF2B5EF4-FFF2-40B4-BE49-F238E27FC236}">
              <a16:creationId xmlns:a16="http://schemas.microsoft.com/office/drawing/2014/main" id="{5E6EB5B1-2DC2-A914-F4BA-0B3470486BCA}"/>
            </a:ext>
          </a:extLst>
        </xdr:cNvPr>
        <xdr:cNvPicPr>
          <a:picLocks noChangeAspect="1"/>
        </xdr:cNvPicPr>
      </xdr:nvPicPr>
      <xdr:blipFill>
        <a:blip xmlns:r="http://schemas.openxmlformats.org/officeDocument/2006/relationships" r:embed="rId1"/>
        <a:stretch>
          <a:fillRect/>
        </a:stretch>
      </xdr:blipFill>
      <xdr:spPr>
        <a:xfrm>
          <a:off x="3171826" y="1600199"/>
          <a:ext cx="1424000" cy="11628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1282561</xdr:colOff>
      <xdr:row>1</xdr:row>
      <xdr:rowOff>35035</xdr:rowOff>
    </xdr:from>
    <xdr:to>
      <xdr:col>16</xdr:col>
      <xdr:colOff>1282561</xdr:colOff>
      <xdr:row>1</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1325218</xdr:colOff>
      <xdr:row>1</xdr:row>
      <xdr:rowOff>67505</xdr:rowOff>
    </xdr:from>
    <xdr:to>
      <xdr:col>16</xdr:col>
      <xdr:colOff>1565412</xdr:colOff>
      <xdr:row>2</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15</xdr:col>
      <xdr:colOff>257175</xdr:colOff>
      <xdr:row>2</xdr:row>
      <xdr:rowOff>28575</xdr:rowOff>
    </xdr:from>
    <xdr:to>
      <xdr:col>18</xdr:col>
      <xdr:colOff>986954</xdr:colOff>
      <xdr:row>19</xdr:row>
      <xdr:rowOff>47160</xdr:rowOff>
    </xdr:to>
    <xdr:pic>
      <xdr:nvPicPr>
        <xdr:cNvPr id="2" name="Picture 1">
          <a:extLst>
            <a:ext uri="{FF2B5EF4-FFF2-40B4-BE49-F238E27FC236}">
              <a16:creationId xmlns:a16="http://schemas.microsoft.com/office/drawing/2014/main" id="{FAAB9ED4-9EDE-4B31-1CB3-91B9E0D06850}"/>
            </a:ext>
          </a:extLst>
        </xdr:cNvPr>
        <xdr:cNvPicPr>
          <a:picLocks noChangeAspect="1"/>
        </xdr:cNvPicPr>
      </xdr:nvPicPr>
      <xdr:blipFill>
        <a:blip xmlns:r="http://schemas.openxmlformats.org/officeDocument/2006/relationships" r:embed="rId1"/>
        <a:stretch>
          <a:fillRect/>
        </a:stretch>
      </xdr:blipFill>
      <xdr:spPr>
        <a:xfrm>
          <a:off x="17640300" y="352425"/>
          <a:ext cx="4732183" cy="3696716"/>
        </a:xfrm>
        <a:prstGeom prst="rect">
          <a:avLst/>
        </a:prstGeom>
      </xdr:spPr>
    </xdr:pic>
    <xdr:clientData/>
  </xdr:twoCellAnchor>
  <xdr:twoCellAnchor>
    <xdr:from>
      <xdr:col>20</xdr:col>
      <xdr:colOff>1325218</xdr:colOff>
      <xdr:row>1</xdr:row>
      <xdr:rowOff>67505</xdr:rowOff>
    </xdr:from>
    <xdr:to>
      <xdr:col>20</xdr:col>
      <xdr:colOff>1565412</xdr:colOff>
      <xdr:row>2</xdr:row>
      <xdr:rowOff>103203</xdr:rowOff>
    </xdr:to>
    <xdr:sp macro="" textlink="">
      <xdr:nvSpPr>
        <xdr:cNvPr id="3" name="TextBox 2">
          <a:extLst>
            <a:ext uri="{FF2B5EF4-FFF2-40B4-BE49-F238E27FC236}">
              <a16:creationId xmlns:a16="http://schemas.microsoft.com/office/drawing/2014/main" id="{C03D1DD5-61EE-4824-8F2C-219F36E6C591}"/>
            </a:ext>
          </a:extLst>
        </xdr:cNvPr>
        <xdr:cNvSpPr txBox="1"/>
      </xdr:nvSpPr>
      <xdr:spPr>
        <a:xfrm>
          <a:off x="19556068"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19</xdr:col>
      <xdr:colOff>0</xdr:colOff>
      <xdr:row>2</xdr:row>
      <xdr:rowOff>1</xdr:rowOff>
    </xdr:from>
    <xdr:to>
      <xdr:col>23</xdr:col>
      <xdr:colOff>72391</xdr:colOff>
      <xdr:row>19</xdr:row>
      <xdr:rowOff>55561</xdr:rowOff>
    </xdr:to>
    <xdr:pic>
      <xdr:nvPicPr>
        <xdr:cNvPr id="6" name="Picture 5">
          <a:extLst>
            <a:ext uri="{FF2B5EF4-FFF2-40B4-BE49-F238E27FC236}">
              <a16:creationId xmlns:a16="http://schemas.microsoft.com/office/drawing/2014/main" id="{FA2B0EE1-C6EC-5B4A-2C61-088FE097AFE2}"/>
            </a:ext>
          </a:extLst>
        </xdr:cNvPr>
        <xdr:cNvPicPr>
          <a:picLocks noChangeAspect="1"/>
        </xdr:cNvPicPr>
      </xdr:nvPicPr>
      <xdr:blipFill>
        <a:blip xmlns:r="http://schemas.openxmlformats.org/officeDocument/2006/relationships" r:embed="rId2"/>
        <a:stretch>
          <a:fillRect/>
        </a:stretch>
      </xdr:blipFill>
      <xdr:spPr>
        <a:xfrm>
          <a:off x="22621875" y="323851"/>
          <a:ext cx="4819650" cy="37508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45</xdr:col>
      <xdr:colOff>119063</xdr:colOff>
      <xdr:row>70</xdr:row>
      <xdr:rowOff>154781</xdr:rowOff>
    </xdr:from>
    <xdr:to>
      <xdr:col>58</xdr:col>
      <xdr:colOff>120188</xdr:colOff>
      <xdr:row>82</xdr:row>
      <xdr:rowOff>975738</xdr:rowOff>
    </xdr:to>
    <xdr:pic>
      <xdr:nvPicPr>
        <xdr:cNvPr id="2" name="Picture 1">
          <a:extLst>
            <a:ext uri="{FF2B5EF4-FFF2-40B4-BE49-F238E27FC236}">
              <a16:creationId xmlns:a16="http://schemas.microsoft.com/office/drawing/2014/main" id="{E8F5C086-9659-AAD8-D749-1E4CE11ECB95}"/>
            </a:ext>
          </a:extLst>
        </xdr:cNvPr>
        <xdr:cNvPicPr>
          <a:picLocks noChangeAspect="1"/>
        </xdr:cNvPicPr>
      </xdr:nvPicPr>
      <xdr:blipFill>
        <a:blip xmlns:r="http://schemas.openxmlformats.org/officeDocument/2006/relationships" r:embed="rId1"/>
        <a:stretch>
          <a:fillRect/>
        </a:stretch>
      </xdr:blipFill>
      <xdr:spPr>
        <a:xfrm>
          <a:off x="47160657" y="15906750"/>
          <a:ext cx="8049750" cy="3160366"/>
        </a:xfrm>
        <a:prstGeom prst="rect">
          <a:avLst/>
        </a:prstGeom>
      </xdr:spPr>
    </xdr:pic>
    <xdr:clientData/>
  </xdr:twoCellAnchor>
  <xdr:twoCellAnchor>
    <xdr:from>
      <xdr:col>35</xdr:col>
      <xdr:colOff>140570</xdr:colOff>
      <xdr:row>61</xdr:row>
      <xdr:rowOff>107157</xdr:rowOff>
    </xdr:from>
    <xdr:to>
      <xdr:col>46</xdr:col>
      <xdr:colOff>530397</xdr:colOff>
      <xdr:row>100</xdr:row>
      <xdr:rowOff>126344</xdr:rowOff>
    </xdr:to>
    <xdr:pic>
      <xdr:nvPicPr>
        <xdr:cNvPr id="4" name="Picture 3">
          <a:extLst>
            <a:ext uri="{FF2B5EF4-FFF2-40B4-BE49-F238E27FC236}">
              <a16:creationId xmlns:a16="http://schemas.microsoft.com/office/drawing/2014/main" id="{5090CE2C-C2E8-4222-97AF-F94629E4C9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336195" y="14251782"/>
          <a:ext cx="6854920" cy="8846481"/>
        </a:xfrm>
        <a:prstGeom prst="rect">
          <a:avLst/>
        </a:prstGeom>
      </xdr:spPr>
    </xdr:pic>
    <xdr:clientData/>
  </xdr:twoCellAnchor>
  <xdr:twoCellAnchor>
    <xdr:from>
      <xdr:col>52</xdr:col>
      <xdr:colOff>0</xdr:colOff>
      <xdr:row>86</xdr:row>
      <xdr:rowOff>0</xdr:rowOff>
    </xdr:from>
    <xdr:to>
      <xdr:col>61</xdr:col>
      <xdr:colOff>491767</xdr:colOff>
      <xdr:row>102</xdr:row>
      <xdr:rowOff>861543</xdr:rowOff>
    </xdr:to>
    <xdr:pic>
      <xdr:nvPicPr>
        <xdr:cNvPr id="5" name="Picture 4">
          <a:extLst>
            <a:ext uri="{FF2B5EF4-FFF2-40B4-BE49-F238E27FC236}">
              <a16:creationId xmlns:a16="http://schemas.microsoft.com/office/drawing/2014/main" id="{DB7F363C-C7DF-45A6-A0ED-BCB5872C629C}"/>
            </a:ext>
            <a:ext uri="{147F2762-F138-4A5C-976F-8EAC2B608ADB}">
              <a16:predDERef xmlns:a16="http://schemas.microsoft.com/office/drawing/2014/main" pred="{037CB021-DC78-6CBC-22EB-6ADB38E3B95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375469" y="20859750"/>
          <a:ext cx="6063892" cy="40939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39</xdr:row>
      <xdr:rowOff>129540</xdr:rowOff>
    </xdr:from>
    <xdr:to>
      <xdr:col>2</xdr:col>
      <xdr:colOff>335487</xdr:colOff>
      <xdr:row>58</xdr:row>
      <xdr:rowOff>45719</xdr:rowOff>
    </xdr:to>
    <xdr:pic>
      <xdr:nvPicPr>
        <xdr:cNvPr id="2" name="Picture 1">
          <a:extLst>
            <a:ext uri="{FF2B5EF4-FFF2-40B4-BE49-F238E27FC236}">
              <a16:creationId xmlns:a16="http://schemas.microsoft.com/office/drawing/2014/main" id="{B1A3928C-5FF9-41A7-A9DE-D6280AE8FDF9}"/>
            </a:ext>
          </a:extLst>
        </xdr:cNvPr>
        <xdr:cNvPicPr>
          <a:picLocks noChangeAspect="1"/>
        </xdr:cNvPicPr>
      </xdr:nvPicPr>
      <xdr:blipFill>
        <a:blip xmlns:r="http://schemas.openxmlformats.org/officeDocument/2006/relationships" r:embed="rId1"/>
        <a:stretch>
          <a:fillRect/>
        </a:stretch>
      </xdr:blipFill>
      <xdr:spPr>
        <a:xfrm>
          <a:off x="1" y="7410450"/>
          <a:ext cx="5498036"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29</xdr:col>
      <xdr:colOff>110966</xdr:colOff>
      <xdr:row>3</xdr:row>
      <xdr:rowOff>25572</xdr:rowOff>
    </xdr:from>
    <xdr:to>
      <xdr:col>35</xdr:col>
      <xdr:colOff>440531</xdr:colOff>
      <xdr:row>5</xdr:row>
      <xdr:rowOff>397047</xdr:rowOff>
    </xdr:to>
    <xdr:graphicFrame macro="">
      <xdr:nvGraphicFramePr>
        <xdr:cNvPr id="53"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122872</xdr:colOff>
      <xdr:row>5</xdr:row>
      <xdr:rowOff>464342</xdr:rowOff>
    </xdr:from>
    <xdr:to>
      <xdr:col>35</xdr:col>
      <xdr:colOff>452437</xdr:colOff>
      <xdr:row>8</xdr:row>
      <xdr:rowOff>335755</xdr:rowOff>
    </xdr:to>
    <xdr:graphicFrame macro="">
      <xdr:nvGraphicFramePr>
        <xdr:cNvPr id="52"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125185</xdr:colOff>
      <xdr:row>8</xdr:row>
      <xdr:rowOff>464343</xdr:rowOff>
    </xdr:from>
    <xdr:to>
      <xdr:col>35</xdr:col>
      <xdr:colOff>454750</xdr:colOff>
      <xdr:row>11</xdr:row>
      <xdr:rowOff>335755</xdr:rowOff>
    </xdr:to>
    <xdr:graphicFrame macro="">
      <xdr:nvGraphicFramePr>
        <xdr:cNvPr id="51"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136070</xdr:colOff>
      <xdr:row>11</xdr:row>
      <xdr:rowOff>411618</xdr:rowOff>
    </xdr:from>
    <xdr:to>
      <xdr:col>35</xdr:col>
      <xdr:colOff>465635</xdr:colOff>
      <xdr:row>15</xdr:row>
      <xdr:rowOff>8711</xdr:rowOff>
    </xdr:to>
    <xdr:graphicFrame macro="">
      <xdr:nvGraphicFramePr>
        <xdr:cNvPr id="5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130969</xdr:colOff>
      <xdr:row>15</xdr:row>
      <xdr:rowOff>119062</xdr:rowOff>
    </xdr:from>
    <xdr:to>
      <xdr:col>35</xdr:col>
      <xdr:colOff>460534</xdr:colOff>
      <xdr:row>17</xdr:row>
      <xdr:rowOff>490537</xdr:rowOff>
    </xdr:to>
    <xdr:graphicFrame macro="">
      <xdr:nvGraphicFramePr>
        <xdr:cNvPr id="49" name="Chart 5">
          <a:extLst>
            <a:ext uri="{FF2B5EF4-FFF2-40B4-BE49-F238E27FC236}">
              <a16:creationId xmlns:a16="http://schemas.microsoft.com/office/drawing/2014/main" id="{C6D96F1C-5E39-4B27-B3BA-1037D3DF6F7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130969</xdr:colOff>
      <xdr:row>18</xdr:row>
      <xdr:rowOff>95250</xdr:rowOff>
    </xdr:from>
    <xdr:to>
      <xdr:col>35</xdr:col>
      <xdr:colOff>460534</xdr:colOff>
      <xdr:row>20</xdr:row>
      <xdr:rowOff>466725</xdr:rowOff>
    </xdr:to>
    <xdr:graphicFrame macro="">
      <xdr:nvGraphicFramePr>
        <xdr:cNvPr id="48" name="Chart 5">
          <a:extLst>
            <a:ext uri="{FF2B5EF4-FFF2-40B4-BE49-F238E27FC236}">
              <a16:creationId xmlns:a16="http://schemas.microsoft.com/office/drawing/2014/main" id="{B9937D01-DDFF-4596-BC2F-B195380779B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142876</xdr:colOff>
      <xdr:row>21</xdr:row>
      <xdr:rowOff>71439</xdr:rowOff>
    </xdr:from>
    <xdr:to>
      <xdr:col>35</xdr:col>
      <xdr:colOff>472441</xdr:colOff>
      <xdr:row>23</xdr:row>
      <xdr:rowOff>442914</xdr:rowOff>
    </xdr:to>
    <xdr:graphicFrame macro="">
      <xdr:nvGraphicFramePr>
        <xdr:cNvPr id="47" name="Chart 5">
          <a:extLst>
            <a:ext uri="{FF2B5EF4-FFF2-40B4-BE49-F238E27FC236}">
              <a16:creationId xmlns:a16="http://schemas.microsoft.com/office/drawing/2014/main" id="{879C9DF8-A86E-4F87-B995-E3EFAB456FB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142876</xdr:colOff>
      <xdr:row>24</xdr:row>
      <xdr:rowOff>35718</xdr:rowOff>
    </xdr:from>
    <xdr:to>
      <xdr:col>35</xdr:col>
      <xdr:colOff>472441</xdr:colOff>
      <xdr:row>26</xdr:row>
      <xdr:rowOff>407193</xdr:rowOff>
    </xdr:to>
    <xdr:graphicFrame macro="">
      <xdr:nvGraphicFramePr>
        <xdr:cNvPr id="46" name="Chart 5">
          <a:extLst>
            <a:ext uri="{FF2B5EF4-FFF2-40B4-BE49-F238E27FC236}">
              <a16:creationId xmlns:a16="http://schemas.microsoft.com/office/drawing/2014/main" id="{A672C5BA-0E45-4B96-B319-5770A7EF1FC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142875</xdr:colOff>
      <xdr:row>27</xdr:row>
      <xdr:rowOff>11907</xdr:rowOff>
    </xdr:from>
    <xdr:to>
      <xdr:col>35</xdr:col>
      <xdr:colOff>472440</xdr:colOff>
      <xdr:row>29</xdr:row>
      <xdr:rowOff>383382</xdr:rowOff>
    </xdr:to>
    <xdr:graphicFrame macro="">
      <xdr:nvGraphicFramePr>
        <xdr:cNvPr id="45" name="Chart 5">
          <a:extLst>
            <a:ext uri="{FF2B5EF4-FFF2-40B4-BE49-F238E27FC236}">
              <a16:creationId xmlns:a16="http://schemas.microsoft.com/office/drawing/2014/main" id="{4D4A6426-33ED-4329-943C-03324B600F9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130969</xdr:colOff>
      <xdr:row>30</xdr:row>
      <xdr:rowOff>23812</xdr:rowOff>
    </xdr:from>
    <xdr:to>
      <xdr:col>35</xdr:col>
      <xdr:colOff>460534</xdr:colOff>
      <xdr:row>32</xdr:row>
      <xdr:rowOff>395287</xdr:rowOff>
    </xdr:to>
    <xdr:graphicFrame macro="">
      <xdr:nvGraphicFramePr>
        <xdr:cNvPr id="44" name="Chart 5">
          <a:extLst>
            <a:ext uri="{FF2B5EF4-FFF2-40B4-BE49-F238E27FC236}">
              <a16:creationId xmlns:a16="http://schemas.microsoft.com/office/drawing/2014/main" id="{70427C2E-60CD-4486-A48E-40985B58EB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122873</xdr:colOff>
      <xdr:row>34</xdr:row>
      <xdr:rowOff>0</xdr:rowOff>
    </xdr:from>
    <xdr:to>
      <xdr:col>35</xdr:col>
      <xdr:colOff>452438</xdr:colOff>
      <xdr:row>36</xdr:row>
      <xdr:rowOff>347663</xdr:rowOff>
    </xdr:to>
    <xdr:graphicFrame macro="">
      <xdr:nvGraphicFramePr>
        <xdr:cNvPr id="43" name="Chart 5">
          <a:extLst>
            <a:ext uri="{FF2B5EF4-FFF2-40B4-BE49-F238E27FC236}">
              <a16:creationId xmlns:a16="http://schemas.microsoft.com/office/drawing/2014/main" id="{950F2E2B-2A68-4748-8FBA-3F188EC3360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122873</xdr:colOff>
      <xdr:row>36</xdr:row>
      <xdr:rowOff>486396</xdr:rowOff>
    </xdr:from>
    <xdr:to>
      <xdr:col>35</xdr:col>
      <xdr:colOff>452438</xdr:colOff>
      <xdr:row>39</xdr:row>
      <xdr:rowOff>357809</xdr:rowOff>
    </xdr:to>
    <xdr:graphicFrame macro="">
      <xdr:nvGraphicFramePr>
        <xdr:cNvPr id="42" name="Chart 5">
          <a:extLst>
            <a:ext uri="{FF2B5EF4-FFF2-40B4-BE49-F238E27FC236}">
              <a16:creationId xmlns:a16="http://schemas.microsoft.com/office/drawing/2014/main" id="{3A839B66-12EF-4C0A-94B0-0815795D2C1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113280</xdr:colOff>
      <xdr:row>39</xdr:row>
      <xdr:rowOff>450678</xdr:rowOff>
    </xdr:from>
    <xdr:to>
      <xdr:col>35</xdr:col>
      <xdr:colOff>442845</xdr:colOff>
      <xdr:row>42</xdr:row>
      <xdr:rowOff>322090</xdr:rowOff>
    </xdr:to>
    <xdr:graphicFrame macro="">
      <xdr:nvGraphicFramePr>
        <xdr:cNvPr id="41" name="Chart 5">
          <a:extLst>
            <a:ext uri="{FF2B5EF4-FFF2-40B4-BE49-F238E27FC236}">
              <a16:creationId xmlns:a16="http://schemas.microsoft.com/office/drawing/2014/main" id="{BA27550A-8B3C-4E84-B1F2-355739687DC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107157</xdr:colOff>
      <xdr:row>43</xdr:row>
      <xdr:rowOff>81584</xdr:rowOff>
    </xdr:from>
    <xdr:to>
      <xdr:col>35</xdr:col>
      <xdr:colOff>436722</xdr:colOff>
      <xdr:row>45</xdr:row>
      <xdr:rowOff>453059</xdr:rowOff>
    </xdr:to>
    <xdr:graphicFrame macro="">
      <xdr:nvGraphicFramePr>
        <xdr:cNvPr id="40" name="Chart 5">
          <a:extLst>
            <a:ext uri="{FF2B5EF4-FFF2-40B4-BE49-F238E27FC236}">
              <a16:creationId xmlns:a16="http://schemas.microsoft.com/office/drawing/2014/main" id="{D28F6B91-6A51-44DB-A20B-5AD3E05C0A7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107157</xdr:colOff>
      <xdr:row>46</xdr:row>
      <xdr:rowOff>45866</xdr:rowOff>
    </xdr:from>
    <xdr:to>
      <xdr:col>35</xdr:col>
      <xdr:colOff>436722</xdr:colOff>
      <xdr:row>48</xdr:row>
      <xdr:rowOff>417341</xdr:rowOff>
    </xdr:to>
    <xdr:graphicFrame macro="">
      <xdr:nvGraphicFramePr>
        <xdr:cNvPr id="30" name="Chart 5">
          <a:extLst>
            <a:ext uri="{FF2B5EF4-FFF2-40B4-BE49-F238E27FC236}">
              <a16:creationId xmlns:a16="http://schemas.microsoft.com/office/drawing/2014/main" id="{52D183AF-AF04-43B3-9B2A-4677C6AB22F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107157</xdr:colOff>
      <xdr:row>52</xdr:row>
      <xdr:rowOff>22055</xdr:rowOff>
    </xdr:from>
    <xdr:to>
      <xdr:col>35</xdr:col>
      <xdr:colOff>436722</xdr:colOff>
      <xdr:row>54</xdr:row>
      <xdr:rowOff>393530</xdr:rowOff>
    </xdr:to>
    <xdr:graphicFrame macro="">
      <xdr:nvGraphicFramePr>
        <xdr:cNvPr id="31" name="Chart 5">
          <a:extLst>
            <a:ext uri="{FF2B5EF4-FFF2-40B4-BE49-F238E27FC236}">
              <a16:creationId xmlns:a16="http://schemas.microsoft.com/office/drawing/2014/main" id="{361CD5FD-2010-4F1F-A535-C714744DF4A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83345</xdr:colOff>
      <xdr:row>55</xdr:row>
      <xdr:rowOff>33959</xdr:rowOff>
    </xdr:from>
    <xdr:to>
      <xdr:col>35</xdr:col>
      <xdr:colOff>412910</xdr:colOff>
      <xdr:row>57</xdr:row>
      <xdr:rowOff>405434</xdr:rowOff>
    </xdr:to>
    <xdr:graphicFrame macro="">
      <xdr:nvGraphicFramePr>
        <xdr:cNvPr id="32" name="Chart 5">
          <a:extLst>
            <a:ext uri="{FF2B5EF4-FFF2-40B4-BE49-F238E27FC236}">
              <a16:creationId xmlns:a16="http://schemas.microsoft.com/office/drawing/2014/main" id="{574F4B7F-584A-4FAB-A6E4-AF215F58782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83343</xdr:colOff>
      <xdr:row>58</xdr:row>
      <xdr:rowOff>33959</xdr:rowOff>
    </xdr:from>
    <xdr:to>
      <xdr:col>35</xdr:col>
      <xdr:colOff>412908</xdr:colOff>
      <xdr:row>60</xdr:row>
      <xdr:rowOff>405434</xdr:rowOff>
    </xdr:to>
    <xdr:graphicFrame macro="">
      <xdr:nvGraphicFramePr>
        <xdr:cNvPr id="33" name="Chart 5">
          <a:extLst>
            <a:ext uri="{FF2B5EF4-FFF2-40B4-BE49-F238E27FC236}">
              <a16:creationId xmlns:a16="http://schemas.microsoft.com/office/drawing/2014/main" id="{3999366B-26BE-4785-946E-10F5F644AE4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83344</xdr:colOff>
      <xdr:row>61</xdr:row>
      <xdr:rowOff>33959</xdr:rowOff>
    </xdr:from>
    <xdr:to>
      <xdr:col>35</xdr:col>
      <xdr:colOff>412909</xdr:colOff>
      <xdr:row>63</xdr:row>
      <xdr:rowOff>405434</xdr:rowOff>
    </xdr:to>
    <xdr:graphicFrame macro="">
      <xdr:nvGraphicFramePr>
        <xdr:cNvPr id="36" name="Chart 5">
          <a:extLst>
            <a:ext uri="{FF2B5EF4-FFF2-40B4-BE49-F238E27FC236}">
              <a16:creationId xmlns:a16="http://schemas.microsoft.com/office/drawing/2014/main" id="{B63ADF95-0E48-4289-86BD-FC0C1E82951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133638</xdr:colOff>
      <xdr:row>68</xdr:row>
      <xdr:rowOff>64994</xdr:rowOff>
    </xdr:from>
    <xdr:to>
      <xdr:col>35</xdr:col>
      <xdr:colOff>460402</xdr:colOff>
      <xdr:row>70</xdr:row>
      <xdr:rowOff>464884</xdr:rowOff>
    </xdr:to>
    <xdr:graphicFrame macro="">
      <xdr:nvGraphicFramePr>
        <xdr:cNvPr id="59" name="Chart 5">
          <a:extLst>
            <a:ext uri="{FF2B5EF4-FFF2-40B4-BE49-F238E27FC236}">
              <a16:creationId xmlns:a16="http://schemas.microsoft.com/office/drawing/2014/main" id="{790398EB-7DC6-4658-9A5B-42B42DBDED3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130628</xdr:colOff>
      <xdr:row>71</xdr:row>
      <xdr:rowOff>43542</xdr:rowOff>
    </xdr:from>
    <xdr:to>
      <xdr:col>35</xdr:col>
      <xdr:colOff>431780</xdr:colOff>
      <xdr:row>73</xdr:row>
      <xdr:rowOff>437028</xdr:rowOff>
    </xdr:to>
    <xdr:graphicFrame macro="">
      <xdr:nvGraphicFramePr>
        <xdr:cNvPr id="63" name="Chart 5">
          <a:extLst>
            <a:ext uri="{FF2B5EF4-FFF2-40B4-BE49-F238E27FC236}">
              <a16:creationId xmlns:a16="http://schemas.microsoft.com/office/drawing/2014/main" id="{CA21E30C-E324-4579-BFB7-9B257B7E7D8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124865</xdr:colOff>
      <xdr:row>65</xdr:row>
      <xdr:rowOff>54748</xdr:rowOff>
    </xdr:from>
    <xdr:to>
      <xdr:col>35</xdr:col>
      <xdr:colOff>413657</xdr:colOff>
      <xdr:row>68</xdr:row>
      <xdr:rowOff>0</xdr:rowOff>
    </xdr:to>
    <xdr:graphicFrame macro="">
      <xdr:nvGraphicFramePr>
        <xdr:cNvPr id="64" name="Chart 5">
          <a:extLst>
            <a:ext uri="{FF2B5EF4-FFF2-40B4-BE49-F238E27FC236}">
              <a16:creationId xmlns:a16="http://schemas.microsoft.com/office/drawing/2014/main" id="{66474BAE-A1DD-46B2-B7BE-64B430A1BE9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296228</xdr:colOff>
      <xdr:row>90</xdr:row>
      <xdr:rowOff>0</xdr:rowOff>
    </xdr:from>
    <xdr:to>
      <xdr:col>36</xdr:col>
      <xdr:colOff>19051</xdr:colOff>
      <xdr:row>93</xdr:row>
      <xdr:rowOff>67627</xdr:rowOff>
    </xdr:to>
    <xdr:graphicFrame macro="">
      <xdr:nvGraphicFramePr>
        <xdr:cNvPr id="65" name="Chart 5">
          <a:extLst>
            <a:ext uri="{FF2B5EF4-FFF2-40B4-BE49-F238E27FC236}">
              <a16:creationId xmlns:a16="http://schemas.microsoft.com/office/drawing/2014/main" id="{88A3236C-F80B-4AD8-8FF1-A61F0D0AFB5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113658</xdr:colOff>
      <xdr:row>48</xdr:row>
      <xdr:rowOff>456441</xdr:rowOff>
    </xdr:from>
    <xdr:to>
      <xdr:col>35</xdr:col>
      <xdr:colOff>443223</xdr:colOff>
      <xdr:row>52</xdr:row>
      <xdr:rowOff>53534</xdr:rowOff>
    </xdr:to>
    <xdr:graphicFrame macro="">
      <xdr:nvGraphicFramePr>
        <xdr:cNvPr id="6" name="Chart 5">
          <a:extLst>
            <a:ext uri="{FF2B5EF4-FFF2-40B4-BE49-F238E27FC236}">
              <a16:creationId xmlns:a16="http://schemas.microsoft.com/office/drawing/2014/main" id="{ABC1F2B2-E84E-4629-B051-7659B68FF5E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5B9159D-2899-4590-960C-43FACC4514D0}">
    <nsvFilter filterId="{B6F6AAB3-37D4-40C4-AD32-87DEB55DC747}" ref="A2:G12" tableId="0"/>
  </namedSheetView>
</namedSheetView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nnl.gov/main/publications/external/technical_reports/PNNL-20405.pdf" TargetMode="External"/><Relationship Id="rId3" Type="http://schemas.openxmlformats.org/officeDocument/2006/relationships/hyperlink" Target="https://www.govinfo.gov/content/pkg/FR-2009-03-23/pdf/FR-2009-03-23.pdf" TargetMode="External"/><Relationship Id="rId7"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www.energy.ca.gov/publications/2022/2022-nonresidential-and-multifamily-alternative-calculation-method-reference" TargetMode="External"/><Relationship Id="rId5" Type="http://schemas.openxmlformats.org/officeDocument/2006/relationships/hyperlink" Target="https://www.govinfo.gov/content/pkg/CFR-2013-title10-vol3/pdf/CFR-2013-title10-vol3-part431.pdf" TargetMode="External"/><Relationship Id="rId10" Type="http://schemas.openxmlformats.org/officeDocument/2006/relationships/drawing" Target="../drawings/drawing1.xml"/><Relationship Id="rId4" Type="http://schemas.openxmlformats.org/officeDocument/2006/relationships/hyperlink" Target="https://www.govinfo.gov/content/pkg/CFR-2024-title10-vol3/pdf/CFR-2024-title10-vol3-part431-subpartF.pdf" TargetMode="External"/><Relationship Id="rId9" Type="http://schemas.openxmlformats.org/officeDocument/2006/relationships/hyperlink" Target="https://title24stakeholders.com/wp-content/uploads/2016/10/T24-2019-CASE-Study-Results-Report-Outdoor-Sources_Final_with-Attachments.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energy.ca.gov/sites/default/files/2025-07/CEC-400-2025-007.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aenergywise.com/design-guides/Advanced-Water-Heating-Design-Guide.pdf" TargetMode="Externa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hyperlink" Target="https://buildingandinteriors.com/find-the-magic-number-elevators-per-building/"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G38"/>
  <sheetViews>
    <sheetView zoomScaleNormal="100" workbookViewId="0">
      <selection sqref="A1:C1"/>
    </sheetView>
  </sheetViews>
  <sheetFormatPr defaultColWidth="9.28515625" defaultRowHeight="12.75" x14ac:dyDescent="0.2"/>
  <cols>
    <col min="1" max="1" width="14.7109375" style="4" customWidth="1"/>
    <col min="2" max="2" width="77.7109375" style="4" customWidth="1"/>
    <col min="3" max="3" width="39.7109375" style="4" customWidth="1"/>
    <col min="4" max="4" width="21.7109375" style="4" customWidth="1"/>
    <col min="5" max="5" width="10.7109375" style="4" customWidth="1"/>
    <col min="6" max="6" width="9.7109375" style="4" customWidth="1"/>
    <col min="7" max="7" width="9.7109375" style="4" bestFit="1" customWidth="1"/>
    <col min="8" max="16384" width="9.28515625" style="4"/>
  </cols>
  <sheetData>
    <row r="1" spans="1:4" ht="20.45" customHeight="1" x14ac:dyDescent="0.2">
      <c r="A1" s="400" t="s">
        <v>0</v>
      </c>
      <c r="B1" s="400"/>
      <c r="C1" s="400"/>
      <c r="D1" s="4" t="s">
        <v>1</v>
      </c>
    </row>
    <row r="2" spans="1:4" x14ac:dyDescent="0.2">
      <c r="A2" s="402" t="s">
        <v>2</v>
      </c>
      <c r="B2" s="4" t="s">
        <v>3</v>
      </c>
      <c r="C2" s="211"/>
      <c r="D2" s="4" t="s">
        <v>1</v>
      </c>
    </row>
    <row r="3" spans="1:4" x14ac:dyDescent="0.2">
      <c r="A3" s="402"/>
      <c r="B3" s="4" t="s">
        <v>4</v>
      </c>
      <c r="C3" s="211"/>
      <c r="D3" s="4" t="s">
        <v>1</v>
      </c>
    </row>
    <row r="4" spans="1:4" x14ac:dyDescent="0.2">
      <c r="A4" s="402"/>
      <c r="B4" s="4" t="s">
        <v>5</v>
      </c>
      <c r="C4" s="211"/>
      <c r="D4" s="4" t="s">
        <v>1</v>
      </c>
    </row>
    <row r="5" spans="1:4" ht="15" x14ac:dyDescent="0.25">
      <c r="A5" s="402" t="s">
        <v>6</v>
      </c>
      <c r="B5" s="4" t="s">
        <v>7</v>
      </c>
      <c r="C5" s="216" t="s">
        <v>8</v>
      </c>
      <c r="D5" s="4" t="s">
        <v>1</v>
      </c>
    </row>
    <row r="6" spans="1:4" ht="15" x14ac:dyDescent="0.25">
      <c r="A6" s="402"/>
      <c r="B6" s="4" t="s">
        <v>9</v>
      </c>
      <c r="C6" s="216" t="s">
        <v>10</v>
      </c>
      <c r="D6" s="4" t="s">
        <v>1</v>
      </c>
    </row>
    <row r="7" spans="1:4" ht="15" x14ac:dyDescent="0.25">
      <c r="A7" s="402"/>
      <c r="C7" s="216"/>
      <c r="D7" s="4" t="s">
        <v>1</v>
      </c>
    </row>
    <row r="8" spans="1:4" ht="15" x14ac:dyDescent="0.25">
      <c r="A8" s="402"/>
      <c r="C8" s="216"/>
      <c r="D8" s="4" t="s">
        <v>1</v>
      </c>
    </row>
    <row r="9" spans="1:4" x14ac:dyDescent="0.2">
      <c r="A9" s="402" t="s">
        <v>11</v>
      </c>
      <c r="B9" s="4" t="s">
        <v>12</v>
      </c>
      <c r="C9" s="211"/>
      <c r="D9" s="4" t="s">
        <v>1</v>
      </c>
    </row>
    <row r="10" spans="1:4" x14ac:dyDescent="0.2">
      <c r="A10" s="402"/>
      <c r="B10" s="4" t="s">
        <v>13</v>
      </c>
      <c r="C10" s="211"/>
      <c r="D10" s="4" t="s">
        <v>1</v>
      </c>
    </row>
    <row r="11" spans="1:4" ht="15" x14ac:dyDescent="0.25">
      <c r="A11" s="402"/>
      <c r="B11" s="218" t="s">
        <v>14</v>
      </c>
      <c r="C11" s="216" t="s">
        <v>15</v>
      </c>
      <c r="D11" s="4" t="s">
        <v>1</v>
      </c>
    </row>
    <row r="12" spans="1:4" ht="15" x14ac:dyDescent="0.25">
      <c r="A12" s="402"/>
      <c r="B12" s="218" t="s">
        <v>16</v>
      </c>
      <c r="C12" s="216" t="s">
        <v>17</v>
      </c>
      <c r="D12" s="4" t="s">
        <v>1</v>
      </c>
    </row>
    <row r="13" spans="1:4" ht="15" x14ac:dyDescent="0.25">
      <c r="A13" s="402"/>
      <c r="B13" s="218" t="s">
        <v>18</v>
      </c>
      <c r="C13" s="216" t="s">
        <v>19</v>
      </c>
      <c r="D13" s="4" t="s">
        <v>1</v>
      </c>
    </row>
    <row r="14" spans="1:4" x14ac:dyDescent="0.2">
      <c r="A14" s="402"/>
      <c r="C14" s="211"/>
      <c r="D14" s="4" t="s">
        <v>1</v>
      </c>
    </row>
    <row r="15" spans="1:4" ht="12.75" customHeight="1" x14ac:dyDescent="0.2">
      <c r="A15" s="402" t="s">
        <v>20</v>
      </c>
      <c r="B15" s="219" t="s">
        <v>21</v>
      </c>
      <c r="C15" s="219"/>
      <c r="D15" s="4" t="s">
        <v>1</v>
      </c>
    </row>
    <row r="16" spans="1:4" ht="15" x14ac:dyDescent="0.25">
      <c r="A16" s="402"/>
      <c r="B16" s="219" t="s">
        <v>22</v>
      </c>
      <c r="C16" s="216" t="s">
        <v>23</v>
      </c>
      <c r="D16" s="4" t="s">
        <v>1</v>
      </c>
    </row>
    <row r="17" spans="1:4" ht="12.75" customHeight="1" x14ac:dyDescent="0.25">
      <c r="A17" s="402"/>
      <c r="B17" s="220" t="s">
        <v>24</v>
      </c>
      <c r="C17" s="216" t="s">
        <v>25</v>
      </c>
      <c r="D17" s="4" t="s">
        <v>1</v>
      </c>
    </row>
    <row r="18" spans="1:4" ht="12.75" customHeight="1" x14ac:dyDescent="0.25">
      <c r="A18" s="402"/>
      <c r="B18" s="4" t="s">
        <v>26</v>
      </c>
      <c r="C18" s="216" t="s">
        <v>27</v>
      </c>
      <c r="D18" s="4" t="s">
        <v>1</v>
      </c>
    </row>
    <row r="19" spans="1:4" ht="12.75" customHeight="1" x14ac:dyDescent="0.25">
      <c r="A19" s="402"/>
      <c r="B19" s="4" t="s">
        <v>28</v>
      </c>
      <c r="C19" s="216" t="s">
        <v>29</v>
      </c>
      <c r="D19" s="4" t="s">
        <v>1</v>
      </c>
    </row>
    <row r="20" spans="1:4" x14ac:dyDescent="0.2">
      <c r="C20" s="211"/>
    </row>
    <row r="21" spans="1:4" ht="15.75" x14ac:dyDescent="0.2">
      <c r="A21" s="400" t="s">
        <v>30</v>
      </c>
      <c r="B21" s="400"/>
      <c r="C21" s="400"/>
    </row>
    <row r="22" spans="1:4" x14ac:dyDescent="0.2">
      <c r="C22" s="211"/>
    </row>
    <row r="23" spans="1:4" x14ac:dyDescent="0.2">
      <c r="C23" s="211"/>
    </row>
    <row r="24" spans="1:4" x14ac:dyDescent="0.2">
      <c r="C24" s="211"/>
    </row>
    <row r="25" spans="1:4" ht="15" x14ac:dyDescent="0.25">
      <c r="B25"/>
      <c r="C25" s="211"/>
    </row>
    <row r="26" spans="1:4" x14ac:dyDescent="0.2">
      <c r="C26" s="211"/>
    </row>
    <row r="27" spans="1:4" x14ac:dyDescent="0.2">
      <c r="C27" s="211"/>
    </row>
    <row r="28" spans="1:4" x14ac:dyDescent="0.2">
      <c r="C28" s="211"/>
    </row>
    <row r="29" spans="1:4" x14ac:dyDescent="0.2">
      <c r="C29" s="211"/>
    </row>
    <row r="30" spans="1:4" x14ac:dyDescent="0.2">
      <c r="C30" s="211"/>
    </row>
    <row r="31" spans="1:4" x14ac:dyDescent="0.2">
      <c r="C31" s="211"/>
    </row>
    <row r="32" spans="1:4" x14ac:dyDescent="0.2">
      <c r="C32" s="211"/>
    </row>
    <row r="33" spans="1:7" x14ac:dyDescent="0.2">
      <c r="C33" s="211"/>
    </row>
    <row r="34" spans="1:7" ht="19.149999999999999" customHeight="1" x14ac:dyDescent="0.2">
      <c r="A34" s="400" t="s">
        <v>31</v>
      </c>
      <c r="B34" s="400"/>
      <c r="C34" s="400"/>
    </row>
    <row r="35" spans="1:7" ht="14.65" customHeight="1" x14ac:dyDescent="0.2">
      <c r="B35" s="403"/>
      <c r="C35" s="403"/>
      <c r="D35" s="359"/>
      <c r="E35" s="6"/>
      <c r="F35" s="6"/>
      <c r="G35" s="6"/>
    </row>
    <row r="36" spans="1:7" x14ac:dyDescent="0.2">
      <c r="A36" s="8"/>
      <c r="B36" s="401"/>
      <c r="C36" s="401"/>
      <c r="D36" s="359"/>
      <c r="E36" s="31"/>
      <c r="F36" s="31"/>
      <c r="G36" s="31"/>
    </row>
    <row r="37" spans="1:7" x14ac:dyDescent="0.2">
      <c r="A37" s="8"/>
      <c r="B37" s="401"/>
      <c r="C37" s="401"/>
    </row>
    <row r="38" spans="1:7" x14ac:dyDescent="0.2">
      <c r="A38" s="8"/>
      <c r="B38" s="401"/>
      <c r="C38" s="401"/>
    </row>
  </sheetData>
  <mergeCells count="11">
    <mergeCell ref="A1:C1"/>
    <mergeCell ref="B37:C37"/>
    <mergeCell ref="B38:C38"/>
    <mergeCell ref="A34:C34"/>
    <mergeCell ref="A2:A4"/>
    <mergeCell ref="A5:A8"/>
    <mergeCell ref="A21:C21"/>
    <mergeCell ref="A9:A14"/>
    <mergeCell ref="A15:A19"/>
    <mergeCell ref="B35:C35"/>
    <mergeCell ref="B36:C36"/>
  </mergeCells>
  <hyperlinks>
    <hyperlink ref="C5" r:id="rId1" xr:uid="{BE11EEF8-3AF7-48F0-A38B-7309CE5A9491}"/>
    <hyperlink ref="C6" r:id="rId2" location="Commercial" xr:uid="{626A4776-C2FA-489E-88C0-BC9C7C8EA36F}"/>
    <hyperlink ref="C11" r:id="rId3" xr:uid="{20259C64-CBB2-4373-81BA-ABE4E3824493}"/>
    <hyperlink ref="C13" r:id="rId4" xr:uid="{6AC1A2F5-BAEE-4B18-8549-BD205656FA93}"/>
    <hyperlink ref="C12" r:id="rId5" xr:uid="{FBF6098E-9F5D-4FA4-8808-ECF3C5E33197}"/>
    <hyperlink ref="C16" r:id="rId6" xr:uid="{9FB45774-8F65-4731-9184-D6D881F66D74}"/>
    <hyperlink ref="C17" r:id="rId7" xr:uid="{03C01D40-A3DF-44B2-8F56-5BC01A7BA872}"/>
    <hyperlink ref="C19" r:id="rId8" xr:uid="{4511DB46-0A11-4CC5-B73D-559BE2FC5FBF}"/>
    <hyperlink ref="C18" r:id="rId9" xr:uid="{133FDBD5-514E-4A41-BEDD-A21EE3AF4764}"/>
  </hyperlink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9"/>
  <sheetViews>
    <sheetView tabSelected="1" zoomScaleNormal="100" workbookViewId="0">
      <selection sqref="A1:C1"/>
    </sheetView>
  </sheetViews>
  <sheetFormatPr defaultColWidth="9.28515625" defaultRowHeight="14.25" x14ac:dyDescent="0.2"/>
  <cols>
    <col min="1" max="1" width="25" style="2" customWidth="1"/>
    <col min="2" max="2" width="65.42578125" style="2" customWidth="1"/>
    <col min="3" max="3" width="49.7109375" style="2" customWidth="1"/>
    <col min="4" max="9" width="8.7109375" style="2" customWidth="1"/>
    <col min="10" max="16384" width="9.28515625" style="2"/>
  </cols>
  <sheetData>
    <row r="1" spans="1:9" ht="18" x14ac:dyDescent="0.2">
      <c r="A1" s="404" t="s">
        <v>733</v>
      </c>
      <c r="B1" s="404"/>
      <c r="C1" s="404"/>
      <c r="D1" s="10"/>
      <c r="E1" s="10"/>
      <c r="F1" s="10"/>
    </row>
    <row r="2" spans="1:9" ht="25.15" customHeight="1" x14ac:dyDescent="0.2">
      <c r="A2" s="405" t="s">
        <v>32</v>
      </c>
      <c r="B2" s="406"/>
      <c r="C2" s="406"/>
      <c r="D2" s="10"/>
      <c r="E2" s="10"/>
      <c r="F2" s="10"/>
    </row>
    <row r="3" spans="1:9" ht="20.45" customHeight="1" x14ac:dyDescent="0.2">
      <c r="A3" s="16" t="s">
        <v>33</v>
      </c>
      <c r="B3" s="334" t="s">
        <v>34</v>
      </c>
      <c r="C3" s="17" t="s">
        <v>0</v>
      </c>
    </row>
    <row r="4" spans="1:9" ht="16.149999999999999" customHeight="1" x14ac:dyDescent="0.2">
      <c r="A4" s="14" t="s">
        <v>35</v>
      </c>
      <c r="B4" s="367" t="s">
        <v>36</v>
      </c>
      <c r="C4" s="14"/>
    </row>
    <row r="5" spans="1:9" ht="16.149999999999999" customHeight="1" x14ac:dyDescent="0.2">
      <c r="A5" s="14" t="s">
        <v>37</v>
      </c>
      <c r="B5" s="367" t="s">
        <v>38</v>
      </c>
      <c r="C5" s="14"/>
    </row>
    <row r="6" spans="1:9" ht="28.9" customHeight="1" x14ac:dyDescent="0.2">
      <c r="A6" s="14" t="s">
        <v>39</v>
      </c>
      <c r="B6" s="369" t="s">
        <v>40</v>
      </c>
      <c r="C6" s="15" t="s">
        <v>41</v>
      </c>
      <c r="D6" s="67" t="s">
        <v>42</v>
      </c>
    </row>
    <row r="7" spans="1:9" ht="97.15" customHeight="1" x14ac:dyDescent="0.2">
      <c r="A7" s="14" t="s">
        <v>43</v>
      </c>
      <c r="B7" s="367"/>
      <c r="C7" s="15" t="s">
        <v>44</v>
      </c>
      <c r="I7" s="3"/>
    </row>
    <row r="8" spans="1:9" ht="38.25" customHeight="1" x14ac:dyDescent="0.2">
      <c r="A8" s="11" t="s">
        <v>45</v>
      </c>
      <c r="B8" s="12">
        <f>Zones!J35</f>
        <v>150494.91000000003</v>
      </c>
      <c r="C8" s="407" t="s">
        <v>44</v>
      </c>
    </row>
    <row r="9" spans="1:9" ht="16.149999999999999" customHeight="1" x14ac:dyDescent="0.2">
      <c r="A9" s="11" t="s">
        <v>46</v>
      </c>
      <c r="B9" s="66">
        <f>190/66</f>
        <v>2.8787878787878789</v>
      </c>
      <c r="C9" s="408"/>
    </row>
    <row r="10" spans="1:9" x14ac:dyDescent="0.2">
      <c r="A10" s="13" t="s">
        <v>47</v>
      </c>
      <c r="B10" s="367" t="s">
        <v>48</v>
      </c>
      <c r="C10" s="408"/>
    </row>
    <row r="11" spans="1:9" x14ac:dyDescent="0.2">
      <c r="A11" s="13" t="s">
        <v>49</v>
      </c>
      <c r="B11" s="367" t="s">
        <v>50</v>
      </c>
      <c r="C11" s="408"/>
    </row>
    <row r="12" spans="1:9" ht="25.5" x14ac:dyDescent="0.2">
      <c r="A12" s="13" t="s">
        <v>51</v>
      </c>
      <c r="B12" s="72" t="s">
        <v>52</v>
      </c>
      <c r="C12" s="408"/>
    </row>
    <row r="13" spans="1:9" x14ac:dyDescent="0.2">
      <c r="A13" s="11" t="s">
        <v>53</v>
      </c>
      <c r="B13" s="367" t="s">
        <v>54</v>
      </c>
      <c r="C13" s="408"/>
    </row>
    <row r="14" spans="1:9" ht="21.6" customHeight="1" x14ac:dyDescent="0.2">
      <c r="A14" s="11" t="s">
        <v>55</v>
      </c>
      <c r="B14" s="178" t="s">
        <v>56</v>
      </c>
      <c r="C14" s="408"/>
    </row>
    <row r="15" spans="1:9" ht="48" customHeight="1" x14ac:dyDescent="0.2">
      <c r="A15" s="11" t="s">
        <v>57</v>
      </c>
      <c r="B15" s="369" t="s">
        <v>58</v>
      </c>
      <c r="C15" s="408"/>
    </row>
    <row r="16" spans="1:9" ht="39.6" customHeight="1" x14ac:dyDescent="0.2">
      <c r="A16" s="11" t="s">
        <v>59</v>
      </c>
      <c r="B16" s="369" t="s">
        <v>60</v>
      </c>
      <c r="C16" s="408"/>
    </row>
    <row r="17" spans="1:3" ht="20.45" customHeight="1" x14ac:dyDescent="0.2">
      <c r="A17" s="11" t="s">
        <v>61</v>
      </c>
      <c r="B17" s="369" t="s">
        <v>62</v>
      </c>
      <c r="C17" s="409"/>
    </row>
    <row r="20" spans="1:3" ht="14.65" customHeight="1" x14ac:dyDescent="0.2"/>
    <row r="21" spans="1:3" ht="14.65" customHeight="1" x14ac:dyDescent="0.2">
      <c r="A21" s="179" t="s">
        <v>63</v>
      </c>
      <c r="B21" s="180">
        <v>51205</v>
      </c>
    </row>
    <row r="22" spans="1:3" x14ac:dyDescent="0.2">
      <c r="A22" s="179" t="s">
        <v>64</v>
      </c>
      <c r="B22" s="180">
        <v>61446</v>
      </c>
    </row>
    <row r="23" spans="1:3" ht="14.65" customHeight="1" x14ac:dyDescent="0.2">
      <c r="A23" s="179" t="s">
        <v>65</v>
      </c>
      <c r="B23" s="180">
        <v>12541.22</v>
      </c>
    </row>
    <row r="24" spans="1:3" ht="14.65" customHeight="1" x14ac:dyDescent="0.2">
      <c r="A24" s="179" t="s">
        <v>66</v>
      </c>
      <c r="B24" s="180">
        <f>B22-B21</f>
        <v>10241</v>
      </c>
    </row>
    <row r="25" spans="1:3" ht="14.65" customHeight="1" x14ac:dyDescent="0.2"/>
    <row r="28" spans="1:3" ht="14.65" customHeight="1" x14ac:dyDescent="0.2"/>
    <row r="29" spans="1:3" ht="14.65" customHeight="1" x14ac:dyDescent="0.2"/>
  </sheetData>
  <mergeCells count="3">
    <mergeCell ref="A1:C1"/>
    <mergeCell ref="A2:C2"/>
    <mergeCell ref="C8:C17"/>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X143"/>
  <sheetViews>
    <sheetView zoomScale="90" zoomScaleNormal="90" workbookViewId="0">
      <pane ySplit="2" topLeftCell="A3" activePane="bottomLeft" state="frozen"/>
      <selection pane="bottomLeft" activeCell="A2" sqref="A2"/>
    </sheetView>
  </sheetViews>
  <sheetFormatPr defaultColWidth="8.7109375" defaultRowHeight="12.75" x14ac:dyDescent="0.2"/>
  <cols>
    <col min="1" max="1" width="50" style="4" bestFit="1" customWidth="1"/>
    <col min="2" max="2" width="37.42578125" style="4" bestFit="1" customWidth="1"/>
    <col min="3" max="3" width="15" style="4" customWidth="1"/>
    <col min="4" max="4" width="23.5703125" style="4" customWidth="1"/>
    <col min="5" max="5" width="21.5703125" style="4" customWidth="1"/>
    <col min="6" max="6" width="36.140625" style="4" customWidth="1"/>
    <col min="7" max="7" width="31.7109375" style="4" customWidth="1"/>
    <col min="8" max="8" width="19" style="4" customWidth="1"/>
    <col min="9" max="9" width="14.7109375" style="4" customWidth="1"/>
    <col min="10" max="10" width="12.7109375" style="4" customWidth="1"/>
    <col min="11" max="11" width="12" style="4" customWidth="1"/>
    <col min="12" max="13" width="11.28515625" style="4" customWidth="1"/>
    <col min="14" max="14" width="32.5703125" style="4" customWidth="1"/>
    <col min="15" max="15" width="10.140625" style="4" customWidth="1"/>
    <col min="16" max="16" width="12.7109375" style="4" customWidth="1"/>
    <col min="17" max="17" width="25.28515625" style="4" customWidth="1"/>
    <col min="18" max="18" width="22.28515625" style="4" bestFit="1" customWidth="1"/>
    <col min="19" max="19" width="18.28515625" style="4" customWidth="1"/>
    <col min="20" max="20" width="25.7109375" style="4" customWidth="1"/>
    <col min="21" max="21" width="22.7109375" style="4" customWidth="1"/>
    <col min="22" max="22" width="16.28515625" style="4" customWidth="1"/>
    <col min="23" max="23" width="6.7109375" style="4" bestFit="1" customWidth="1"/>
    <col min="24" max="28" width="17.28515625" style="4" customWidth="1"/>
    <col min="29" max="16384" width="8.7109375" style="4"/>
  </cols>
  <sheetData>
    <row r="1" spans="1:23" ht="25.9" customHeight="1" x14ac:dyDescent="0.2">
      <c r="A1" s="419" t="str">
        <f>"Proposed Layout - "&amp;Prototype!A2</f>
        <v>Proposed Layout - ApartmentHighRise</v>
      </c>
      <c r="B1" s="420"/>
      <c r="C1" s="420"/>
      <c r="D1" s="420"/>
      <c r="E1" s="420"/>
      <c r="F1" s="420"/>
      <c r="G1" s="420"/>
      <c r="H1" s="420"/>
      <c r="I1" s="420"/>
      <c r="J1" s="420"/>
      <c r="K1" s="420"/>
      <c r="L1" s="420"/>
      <c r="M1" s="420"/>
      <c r="N1" s="420"/>
    </row>
    <row r="2" spans="1:23" ht="39" thickBot="1" x14ac:dyDescent="0.25">
      <c r="A2" s="30" t="s">
        <v>67</v>
      </c>
      <c r="B2" s="30" t="s">
        <v>68</v>
      </c>
      <c r="C2" s="30" t="s">
        <v>69</v>
      </c>
      <c r="D2" s="287" t="s">
        <v>70</v>
      </c>
      <c r="E2" s="30" t="s">
        <v>71</v>
      </c>
      <c r="F2" s="30" t="s">
        <v>72</v>
      </c>
      <c r="G2" s="30" t="s">
        <v>73</v>
      </c>
      <c r="H2" s="29" t="s">
        <v>74</v>
      </c>
      <c r="I2" s="30" t="s">
        <v>75</v>
      </c>
      <c r="J2" s="30" t="s">
        <v>76</v>
      </c>
      <c r="K2" s="29" t="s">
        <v>77</v>
      </c>
      <c r="L2" s="29" t="s">
        <v>78</v>
      </c>
      <c r="M2" s="29" t="s">
        <v>79</v>
      </c>
      <c r="N2" s="29" t="s">
        <v>80</v>
      </c>
    </row>
    <row r="3" spans="1:23" ht="17.850000000000001" customHeight="1" x14ac:dyDescent="0.2">
      <c r="A3" s="73" t="s">
        <v>81</v>
      </c>
      <c r="B3" s="73" t="s">
        <v>82</v>
      </c>
      <c r="C3" s="368" t="s">
        <v>83</v>
      </c>
      <c r="D3" s="288" t="s">
        <v>84</v>
      </c>
      <c r="E3" s="368" t="s">
        <v>85</v>
      </c>
      <c r="F3" s="368" t="s">
        <v>85</v>
      </c>
      <c r="G3" s="368" t="s">
        <v>86</v>
      </c>
      <c r="H3" s="71" t="s">
        <v>87</v>
      </c>
      <c r="I3" s="75">
        <f>J3*L3/$J$35</f>
        <v>3.1898088779215186E-3</v>
      </c>
      <c r="J3" s="80">
        <v>480.05</v>
      </c>
      <c r="K3" s="77">
        <v>4800.7</v>
      </c>
      <c r="L3" s="71">
        <v>1</v>
      </c>
      <c r="M3" s="18">
        <f t="shared" ref="M3:M22" si="0">N3*J3/1000</f>
        <v>32.019335000000005</v>
      </c>
      <c r="N3" s="78">
        <v>66.7</v>
      </c>
      <c r="P3" s="410" t="s">
        <v>88</v>
      </c>
      <c r="Q3" s="411"/>
      <c r="R3" s="411"/>
      <c r="S3" s="412"/>
      <c r="T3" s="410" t="s">
        <v>88</v>
      </c>
      <c r="U3" s="411"/>
      <c r="V3" s="411"/>
      <c r="W3" s="412"/>
    </row>
    <row r="4" spans="1:23" ht="17.850000000000001" customHeight="1" x14ac:dyDescent="0.2">
      <c r="A4" s="73" t="s">
        <v>89</v>
      </c>
      <c r="B4" s="73" t="s">
        <v>90</v>
      </c>
      <c r="C4" s="368" t="s">
        <v>83</v>
      </c>
      <c r="D4" s="288" t="s">
        <v>84</v>
      </c>
      <c r="E4" s="368" t="s">
        <v>85</v>
      </c>
      <c r="F4" s="368" t="s">
        <v>85</v>
      </c>
      <c r="G4" s="368" t="s">
        <v>91</v>
      </c>
      <c r="H4" s="71" t="s">
        <v>87</v>
      </c>
      <c r="I4" s="75">
        <f t="shared" ref="I4:I34" si="1">J4*L4/$J$35</f>
        <v>5.582115700790145E-3</v>
      </c>
      <c r="J4" s="80">
        <v>840.08</v>
      </c>
      <c r="K4" s="77">
        <v>8401.23</v>
      </c>
      <c r="L4" s="71">
        <v>1</v>
      </c>
      <c r="M4" s="18">
        <f t="shared" si="0"/>
        <v>16.801600000000001</v>
      </c>
      <c r="N4" s="78">
        <v>20</v>
      </c>
      <c r="P4" s="413"/>
      <c r="Q4" s="414"/>
      <c r="R4" s="414"/>
      <c r="S4" s="415"/>
      <c r="T4" s="413"/>
      <c r="U4" s="414"/>
      <c r="V4" s="414"/>
      <c r="W4" s="415"/>
    </row>
    <row r="5" spans="1:23" ht="17.850000000000001" customHeight="1" x14ac:dyDescent="0.2">
      <c r="A5" s="73" t="s">
        <v>92</v>
      </c>
      <c r="B5" s="73" t="s">
        <v>93</v>
      </c>
      <c r="C5" s="368" t="s">
        <v>83</v>
      </c>
      <c r="D5" s="288" t="s">
        <v>84</v>
      </c>
      <c r="E5" s="368" t="s">
        <v>85</v>
      </c>
      <c r="F5" s="368" t="s">
        <v>85</v>
      </c>
      <c r="G5" s="368" t="s">
        <v>94</v>
      </c>
      <c r="H5" s="71" t="s">
        <v>87</v>
      </c>
      <c r="I5" s="75">
        <f t="shared" si="1"/>
        <v>1.1961866351493215E-3</v>
      </c>
      <c r="J5" s="80">
        <v>180.02</v>
      </c>
      <c r="K5" s="77">
        <v>1800.26</v>
      </c>
      <c r="L5" s="71">
        <v>1</v>
      </c>
      <c r="M5" s="18">
        <f t="shared" si="0"/>
        <v>1.8002</v>
      </c>
      <c r="N5" s="78">
        <v>10</v>
      </c>
      <c r="O5" s="181"/>
      <c r="P5" s="413"/>
      <c r="Q5" s="414"/>
      <c r="R5" s="414"/>
      <c r="S5" s="415"/>
      <c r="T5" s="413"/>
      <c r="U5" s="414"/>
      <c r="V5" s="414"/>
      <c r="W5" s="415"/>
    </row>
    <row r="6" spans="1:23" ht="17.850000000000001" customHeight="1" x14ac:dyDescent="0.2">
      <c r="A6" s="73" t="s">
        <v>95</v>
      </c>
      <c r="B6" s="73" t="s">
        <v>96</v>
      </c>
      <c r="C6" s="368" t="s">
        <v>83</v>
      </c>
      <c r="D6" s="288" t="s">
        <v>84</v>
      </c>
      <c r="E6" s="368" t="s">
        <v>85</v>
      </c>
      <c r="F6" s="368" t="s">
        <v>85</v>
      </c>
      <c r="G6" s="368" t="s">
        <v>97</v>
      </c>
      <c r="H6" s="71" t="s">
        <v>87</v>
      </c>
      <c r="I6" s="75">
        <f t="shared" si="1"/>
        <v>1.0207321961918843E-2</v>
      </c>
      <c r="J6" s="80">
        <v>1536.15</v>
      </c>
      <c r="K6" s="77">
        <v>15362.25</v>
      </c>
      <c r="L6" s="71">
        <v>1</v>
      </c>
      <c r="M6" s="18">
        <f t="shared" si="0"/>
        <v>102.46120500000002</v>
      </c>
      <c r="N6" s="78">
        <v>66.7</v>
      </c>
      <c r="P6" s="413"/>
      <c r="Q6" s="414"/>
      <c r="R6" s="414"/>
      <c r="S6" s="415"/>
      <c r="T6" s="413"/>
      <c r="U6" s="414"/>
      <c r="V6" s="414"/>
      <c r="W6" s="415"/>
    </row>
    <row r="7" spans="1:23" ht="17.850000000000001" customHeight="1" x14ac:dyDescent="0.2">
      <c r="A7" s="73" t="s">
        <v>98</v>
      </c>
      <c r="B7" s="73" t="s">
        <v>99</v>
      </c>
      <c r="C7" s="368" t="s">
        <v>83</v>
      </c>
      <c r="D7" s="288" t="s">
        <v>100</v>
      </c>
      <c r="E7" s="368" t="s">
        <v>85</v>
      </c>
      <c r="F7" s="368" t="s">
        <v>85</v>
      </c>
      <c r="G7" s="368" t="s">
        <v>101</v>
      </c>
      <c r="H7" s="71" t="s">
        <v>87</v>
      </c>
      <c r="I7" s="75">
        <f t="shared" si="1"/>
        <v>2.1052605699421988E-2</v>
      </c>
      <c r="J7" s="80">
        <v>3168.31</v>
      </c>
      <c r="K7" s="77">
        <v>31684.639999999999</v>
      </c>
      <c r="L7" s="71">
        <v>1</v>
      </c>
      <c r="M7" s="18">
        <f t="shared" si="0"/>
        <v>52.910776999999996</v>
      </c>
      <c r="N7" s="78">
        <v>16.7</v>
      </c>
      <c r="P7" s="413"/>
      <c r="Q7" s="414"/>
      <c r="R7" s="414"/>
      <c r="S7" s="415"/>
      <c r="T7" s="413"/>
      <c r="U7" s="414"/>
      <c r="V7" s="414"/>
      <c r="W7" s="415"/>
    </row>
    <row r="8" spans="1:23" ht="17.850000000000001" customHeight="1" x14ac:dyDescent="0.2">
      <c r="A8" s="73" t="s">
        <v>98</v>
      </c>
      <c r="B8" s="73" t="s">
        <v>102</v>
      </c>
      <c r="C8" s="368" t="s">
        <v>83</v>
      </c>
      <c r="D8" s="288" t="s">
        <v>100</v>
      </c>
      <c r="E8" s="368" t="s">
        <v>85</v>
      </c>
      <c r="F8" s="368" t="s">
        <v>85</v>
      </c>
      <c r="G8" s="368" t="s">
        <v>103</v>
      </c>
      <c r="H8" s="71" t="s">
        <v>87</v>
      </c>
      <c r="I8" s="75">
        <f t="shared" si="1"/>
        <v>1.0526269625995987E-2</v>
      </c>
      <c r="J8" s="80">
        <v>1584.15</v>
      </c>
      <c r="K8" s="77">
        <v>15842.32</v>
      </c>
      <c r="L8" s="71">
        <v>1</v>
      </c>
      <c r="M8" s="18">
        <f t="shared" si="0"/>
        <v>26.455304999999999</v>
      </c>
      <c r="N8" s="78">
        <v>16.7</v>
      </c>
      <c r="P8" s="413"/>
      <c r="Q8" s="414"/>
      <c r="R8" s="414"/>
      <c r="S8" s="415"/>
      <c r="T8" s="413"/>
      <c r="U8" s="414"/>
      <c r="V8" s="414"/>
      <c r="W8" s="415"/>
    </row>
    <row r="9" spans="1:23" ht="17.850000000000001" customHeight="1" x14ac:dyDescent="0.2">
      <c r="A9" s="73" t="s">
        <v>98</v>
      </c>
      <c r="B9" s="73" t="s">
        <v>104</v>
      </c>
      <c r="C9" s="368" t="s">
        <v>83</v>
      </c>
      <c r="D9" s="288" t="s">
        <v>100</v>
      </c>
      <c r="E9" s="368" t="s">
        <v>85</v>
      </c>
      <c r="F9" s="368" t="s">
        <v>85</v>
      </c>
      <c r="G9" s="368" t="s">
        <v>105</v>
      </c>
      <c r="H9" s="71" t="s">
        <v>87</v>
      </c>
      <c r="I9" s="75">
        <f t="shared" si="1"/>
        <v>2.1052605699421988E-2</v>
      </c>
      <c r="J9" s="80">
        <v>3168.31</v>
      </c>
      <c r="K9" s="77">
        <v>31684.639999999999</v>
      </c>
      <c r="L9" s="71">
        <v>1</v>
      </c>
      <c r="M9" s="18">
        <f t="shared" si="0"/>
        <v>52.910776999999996</v>
      </c>
      <c r="N9" s="78">
        <v>16.7</v>
      </c>
      <c r="P9" s="413"/>
      <c r="Q9" s="414"/>
      <c r="R9" s="414"/>
      <c r="S9" s="415"/>
      <c r="T9" s="413"/>
      <c r="U9" s="414"/>
      <c r="V9" s="414"/>
      <c r="W9" s="415"/>
    </row>
    <row r="10" spans="1:23" ht="17.850000000000001" customHeight="1" x14ac:dyDescent="0.2">
      <c r="A10" s="73" t="s">
        <v>98</v>
      </c>
      <c r="B10" s="73" t="s">
        <v>106</v>
      </c>
      <c r="C10" s="368" t="s">
        <v>83</v>
      </c>
      <c r="D10" s="288" t="s">
        <v>100</v>
      </c>
      <c r="E10" s="368" t="s">
        <v>85</v>
      </c>
      <c r="F10" s="368" t="s">
        <v>85</v>
      </c>
      <c r="G10" s="368" t="s">
        <v>107</v>
      </c>
      <c r="H10" s="71" t="s">
        <v>87</v>
      </c>
      <c r="I10" s="75">
        <f t="shared" si="1"/>
        <v>1.0526269625995987E-2</v>
      </c>
      <c r="J10" s="80">
        <v>1584.15</v>
      </c>
      <c r="K10" s="77">
        <v>15842.32</v>
      </c>
      <c r="L10" s="71">
        <v>1</v>
      </c>
      <c r="M10" s="182">
        <f>N10*J10/1000</f>
        <v>26.455304999999999</v>
      </c>
      <c r="N10" s="78">
        <v>16.7</v>
      </c>
      <c r="P10" s="413"/>
      <c r="Q10" s="414"/>
      <c r="R10" s="414"/>
      <c r="S10" s="415"/>
      <c r="T10" s="413"/>
      <c r="U10" s="414"/>
      <c r="V10" s="414"/>
      <c r="W10" s="415"/>
    </row>
    <row r="11" spans="1:23" ht="17.850000000000001" customHeight="1" x14ac:dyDescent="0.2">
      <c r="A11" s="73" t="s">
        <v>108</v>
      </c>
      <c r="B11" s="73" t="s">
        <v>109</v>
      </c>
      <c r="C11" s="368" t="s">
        <v>110</v>
      </c>
      <c r="D11" s="368" t="s">
        <v>723</v>
      </c>
      <c r="E11" s="368">
        <f>L11</f>
        <v>1</v>
      </c>
      <c r="F11" s="368" t="s">
        <v>112</v>
      </c>
      <c r="G11" s="368" t="s">
        <v>113</v>
      </c>
      <c r="H11" s="71" t="s">
        <v>87</v>
      </c>
      <c r="I11" s="75">
        <f t="shared" si="1"/>
        <v>1.0366795793957415E-2</v>
      </c>
      <c r="J11" s="80">
        <v>1560.15</v>
      </c>
      <c r="K11" s="77">
        <v>15602.28</v>
      </c>
      <c r="L11" s="71">
        <v>1</v>
      </c>
      <c r="M11" s="18">
        <f t="shared" si="0"/>
        <v>7.8007499999999999</v>
      </c>
      <c r="N11" s="78">
        <v>5</v>
      </c>
      <c r="P11" s="413"/>
      <c r="Q11" s="414"/>
      <c r="R11" s="414"/>
      <c r="S11" s="415"/>
      <c r="T11" s="413"/>
      <c r="U11" s="414"/>
      <c r="V11" s="414"/>
      <c r="W11" s="415"/>
    </row>
    <row r="12" spans="1:23" ht="17.850000000000001" customHeight="1" thickBot="1" x14ac:dyDescent="0.25">
      <c r="A12" s="73" t="s">
        <v>108</v>
      </c>
      <c r="B12" s="73" t="s">
        <v>114</v>
      </c>
      <c r="C12" s="368" t="s">
        <v>110</v>
      </c>
      <c r="D12" s="368" t="s">
        <v>723</v>
      </c>
      <c r="E12" s="368">
        <f t="shared" ref="E12:E34" si="2">L12</f>
        <v>1</v>
      </c>
      <c r="F12" s="368" t="s">
        <v>112</v>
      </c>
      <c r="G12" s="368" t="s">
        <v>115</v>
      </c>
      <c r="H12" s="71" t="s">
        <v>87</v>
      </c>
      <c r="I12" s="75">
        <f t="shared" si="1"/>
        <v>1.0366795793957415E-2</v>
      </c>
      <c r="J12" s="80">
        <v>1560.15</v>
      </c>
      <c r="K12" s="77">
        <v>15602.28</v>
      </c>
      <c r="L12" s="71">
        <v>1</v>
      </c>
      <c r="M12" s="18">
        <f t="shared" si="0"/>
        <v>7.8007499999999999</v>
      </c>
      <c r="N12" s="78">
        <v>5</v>
      </c>
      <c r="P12" s="416"/>
      <c r="Q12" s="417"/>
      <c r="R12" s="417"/>
      <c r="S12" s="418"/>
      <c r="T12" s="416"/>
      <c r="U12" s="417"/>
      <c r="V12" s="417"/>
      <c r="W12" s="418"/>
    </row>
    <row r="13" spans="1:23" ht="17.850000000000001" customHeight="1" x14ac:dyDescent="0.2">
      <c r="A13" s="73" t="s">
        <v>108</v>
      </c>
      <c r="B13" s="73" t="s">
        <v>116</v>
      </c>
      <c r="C13" s="368" t="s">
        <v>110</v>
      </c>
      <c r="D13" s="368" t="s">
        <v>723</v>
      </c>
      <c r="E13" s="368">
        <f t="shared" si="2"/>
        <v>1</v>
      </c>
      <c r="F13" s="368" t="s">
        <v>112</v>
      </c>
      <c r="G13" s="368" t="s">
        <v>117</v>
      </c>
      <c r="H13" s="71" t="s">
        <v>87</v>
      </c>
      <c r="I13" s="75">
        <f t="shared" si="1"/>
        <v>1.0366795793957415E-2</v>
      </c>
      <c r="J13" s="80">
        <v>1560.15</v>
      </c>
      <c r="K13" s="77">
        <v>15602.28</v>
      </c>
      <c r="L13" s="71">
        <v>1</v>
      </c>
      <c r="M13" s="18">
        <f t="shared" si="0"/>
        <v>7.8007499999999999</v>
      </c>
      <c r="N13" s="78">
        <v>5</v>
      </c>
    </row>
    <row r="14" spans="1:23" ht="17.850000000000001" customHeight="1" x14ac:dyDescent="0.2">
      <c r="A14" s="73" t="s">
        <v>108</v>
      </c>
      <c r="B14" s="73" t="s">
        <v>118</v>
      </c>
      <c r="C14" s="368" t="s">
        <v>110</v>
      </c>
      <c r="D14" s="368" t="s">
        <v>723</v>
      </c>
      <c r="E14" s="368">
        <f t="shared" si="2"/>
        <v>1</v>
      </c>
      <c r="F14" s="368" t="s">
        <v>119</v>
      </c>
      <c r="G14" s="368" t="s">
        <v>120</v>
      </c>
      <c r="H14" s="71" t="s">
        <v>121</v>
      </c>
      <c r="I14" s="75">
        <f t="shared" si="1"/>
        <v>7.177053363465912E-3</v>
      </c>
      <c r="J14" s="80">
        <v>1080.1099999999999</v>
      </c>
      <c r="K14" s="77">
        <v>10801.58</v>
      </c>
      <c r="L14" s="71">
        <v>1</v>
      </c>
      <c r="M14" s="18">
        <f t="shared" si="0"/>
        <v>5.4005499999999991</v>
      </c>
      <c r="N14" s="78">
        <v>5</v>
      </c>
    </row>
    <row r="15" spans="1:23" ht="17.850000000000001" customHeight="1" x14ac:dyDescent="0.2">
      <c r="A15" s="73" t="s">
        <v>108</v>
      </c>
      <c r="B15" s="73" t="s">
        <v>122</v>
      </c>
      <c r="C15" s="368" t="s">
        <v>110</v>
      </c>
      <c r="D15" s="368" t="s">
        <v>723</v>
      </c>
      <c r="E15" s="368">
        <f t="shared" si="2"/>
        <v>1</v>
      </c>
      <c r="F15" s="368" t="s">
        <v>119</v>
      </c>
      <c r="G15" s="368" t="s">
        <v>123</v>
      </c>
      <c r="H15" s="71" t="s">
        <v>87</v>
      </c>
      <c r="I15" s="75">
        <f t="shared" si="1"/>
        <v>7.177053363465912E-3</v>
      </c>
      <c r="J15" s="80">
        <v>1080.1099999999999</v>
      </c>
      <c r="K15" s="77">
        <v>10801.58</v>
      </c>
      <c r="L15" s="71">
        <v>1</v>
      </c>
      <c r="M15" s="18">
        <f t="shared" si="0"/>
        <v>5.4005499999999991</v>
      </c>
      <c r="N15" s="78">
        <v>5</v>
      </c>
    </row>
    <row r="16" spans="1:23" ht="17.850000000000001" customHeight="1" x14ac:dyDescent="0.2">
      <c r="A16" s="73" t="s">
        <v>108</v>
      </c>
      <c r="B16" s="73" t="s">
        <v>124</v>
      </c>
      <c r="C16" s="368" t="s">
        <v>110</v>
      </c>
      <c r="D16" s="368" t="s">
        <v>723</v>
      </c>
      <c r="E16" s="368">
        <f t="shared" si="2"/>
        <v>1</v>
      </c>
      <c r="F16" s="368" t="s">
        <v>119</v>
      </c>
      <c r="G16" s="368" t="s">
        <v>125</v>
      </c>
      <c r="H16" s="71" t="s">
        <v>87</v>
      </c>
      <c r="I16" s="75">
        <f t="shared" si="1"/>
        <v>7.177053363465912E-3</v>
      </c>
      <c r="J16" s="80">
        <v>1080.1099999999999</v>
      </c>
      <c r="K16" s="77">
        <v>10801.58</v>
      </c>
      <c r="L16" s="71">
        <v>1</v>
      </c>
      <c r="M16" s="18">
        <f t="shared" si="0"/>
        <v>5.4005499999999991</v>
      </c>
      <c r="N16" s="78">
        <v>5</v>
      </c>
    </row>
    <row r="17" spans="1:24" ht="17.850000000000001" customHeight="1" x14ac:dyDescent="0.2">
      <c r="A17" s="73" t="s">
        <v>108</v>
      </c>
      <c r="B17" s="73" t="s">
        <v>126</v>
      </c>
      <c r="C17" s="368" t="s">
        <v>110</v>
      </c>
      <c r="D17" s="368" t="s">
        <v>723</v>
      </c>
      <c r="E17" s="368">
        <f t="shared" si="2"/>
        <v>1</v>
      </c>
      <c r="F17" s="368" t="s">
        <v>119</v>
      </c>
      <c r="G17" s="368" t="s">
        <v>127</v>
      </c>
      <c r="H17" s="71" t="s">
        <v>87</v>
      </c>
      <c r="I17" s="75">
        <f t="shared" si="1"/>
        <v>7.177053363465912E-3</v>
      </c>
      <c r="J17" s="80">
        <v>1080.1099999999999</v>
      </c>
      <c r="K17" s="77">
        <v>10801.58</v>
      </c>
      <c r="L17" s="71">
        <v>1</v>
      </c>
      <c r="M17" s="18">
        <f t="shared" si="0"/>
        <v>5.4005499999999991</v>
      </c>
      <c r="N17" s="78">
        <v>5</v>
      </c>
    </row>
    <row r="18" spans="1:24" ht="17.850000000000001" customHeight="1" x14ac:dyDescent="0.2">
      <c r="A18" s="73" t="s">
        <v>108</v>
      </c>
      <c r="B18" s="73" t="s">
        <v>128</v>
      </c>
      <c r="C18" s="368" t="s">
        <v>110</v>
      </c>
      <c r="D18" s="368" t="s">
        <v>723</v>
      </c>
      <c r="E18" s="368">
        <f t="shared" si="2"/>
        <v>1</v>
      </c>
      <c r="F18" s="368" t="s">
        <v>119</v>
      </c>
      <c r="G18" s="368" t="s">
        <v>129</v>
      </c>
      <c r="H18" s="71" t="s">
        <v>87</v>
      </c>
      <c r="I18" s="75">
        <f t="shared" si="1"/>
        <v>7.177053363465912E-3</v>
      </c>
      <c r="J18" s="80">
        <v>1080.1099999999999</v>
      </c>
      <c r="K18" s="77">
        <v>10801.58</v>
      </c>
      <c r="L18" s="71">
        <v>1</v>
      </c>
      <c r="M18" s="18">
        <f t="shared" si="0"/>
        <v>5.4005499999999991</v>
      </c>
      <c r="N18" s="78">
        <v>5</v>
      </c>
    </row>
    <row r="19" spans="1:24" ht="17.850000000000001" customHeight="1" x14ac:dyDescent="0.2">
      <c r="A19" s="73" t="s">
        <v>130</v>
      </c>
      <c r="B19" s="73" t="s">
        <v>131</v>
      </c>
      <c r="C19" s="368" t="s">
        <v>83</v>
      </c>
      <c r="D19" s="368" t="s">
        <v>84</v>
      </c>
      <c r="E19" s="368" t="s">
        <v>85</v>
      </c>
      <c r="F19" s="368" t="s">
        <v>85</v>
      </c>
      <c r="G19" s="368" t="s">
        <v>132</v>
      </c>
      <c r="H19" s="71" t="s">
        <v>87</v>
      </c>
      <c r="I19" s="75">
        <f t="shared" si="1"/>
        <v>7.9744889710887876E-3</v>
      </c>
      <c r="J19" s="80">
        <v>1200.1199999999999</v>
      </c>
      <c r="K19" s="77">
        <v>12001.76</v>
      </c>
      <c r="L19" s="71">
        <v>1</v>
      </c>
      <c r="M19" s="18">
        <f t="shared" si="0"/>
        <v>12.001199999999999</v>
      </c>
      <c r="N19" s="78">
        <v>10</v>
      </c>
    </row>
    <row r="20" spans="1:24" ht="17.850000000000001" customHeight="1" x14ac:dyDescent="0.2">
      <c r="A20" s="284" t="s">
        <v>133</v>
      </c>
      <c r="B20" s="73" t="s">
        <v>134</v>
      </c>
      <c r="C20" s="368" t="s">
        <v>83</v>
      </c>
      <c r="D20" s="368" t="s">
        <v>84</v>
      </c>
      <c r="E20" s="368" t="s">
        <v>85</v>
      </c>
      <c r="F20" s="368" t="s">
        <v>85</v>
      </c>
      <c r="G20" s="368" t="s">
        <v>135</v>
      </c>
      <c r="H20" s="71" t="s">
        <v>87</v>
      </c>
      <c r="I20" s="75">
        <f t="shared" si="1"/>
        <v>1.1961866351493215E-3</v>
      </c>
      <c r="J20" s="80">
        <v>180.02</v>
      </c>
      <c r="K20" s="77">
        <v>1800.26</v>
      </c>
      <c r="L20" s="71">
        <v>1</v>
      </c>
      <c r="M20" s="18">
        <f t="shared" si="0"/>
        <v>1.8002</v>
      </c>
      <c r="N20" s="78">
        <v>10</v>
      </c>
    </row>
    <row r="21" spans="1:24" ht="17.850000000000001" customHeight="1" x14ac:dyDescent="0.2">
      <c r="A21" s="73" t="s">
        <v>108</v>
      </c>
      <c r="B21" s="73" t="s">
        <v>136</v>
      </c>
      <c r="C21" s="368" t="s">
        <v>110</v>
      </c>
      <c r="D21" s="368" t="s">
        <v>723</v>
      </c>
      <c r="E21" s="368">
        <f t="shared" si="2"/>
        <v>1</v>
      </c>
      <c r="F21" s="368" t="s">
        <v>137</v>
      </c>
      <c r="G21" s="368" t="s">
        <v>138</v>
      </c>
      <c r="H21" s="71" t="s">
        <v>87</v>
      </c>
      <c r="I21" s="75">
        <f t="shared" si="1"/>
        <v>7.177053363465912E-3</v>
      </c>
      <c r="J21" s="80">
        <v>1080.1099999999999</v>
      </c>
      <c r="K21" s="77">
        <v>10801.58</v>
      </c>
      <c r="L21" s="71">
        <v>1</v>
      </c>
      <c r="M21" s="18">
        <f t="shared" si="0"/>
        <v>5.4005499999999991</v>
      </c>
      <c r="N21" s="78">
        <v>5</v>
      </c>
    </row>
    <row r="22" spans="1:24" ht="17.850000000000001" customHeight="1" x14ac:dyDescent="0.2">
      <c r="A22" s="73" t="s">
        <v>108</v>
      </c>
      <c r="B22" s="73" t="s">
        <v>139</v>
      </c>
      <c r="C22" s="368" t="s">
        <v>110</v>
      </c>
      <c r="D22" s="368" t="s">
        <v>723</v>
      </c>
      <c r="E22" s="368">
        <f t="shared" si="2"/>
        <v>8</v>
      </c>
      <c r="F22" s="368" t="s">
        <v>140</v>
      </c>
      <c r="G22" s="368" t="s">
        <v>141</v>
      </c>
      <c r="H22" s="71" t="s">
        <v>87</v>
      </c>
      <c r="I22" s="75">
        <f t="shared" si="1"/>
        <v>8.2934366351659322E-2</v>
      </c>
      <c r="J22" s="80">
        <v>1560.15</v>
      </c>
      <c r="K22" s="77">
        <v>15602.28</v>
      </c>
      <c r="L22" s="71">
        <v>8</v>
      </c>
      <c r="M22" s="18">
        <f t="shared" si="0"/>
        <v>7.8007499999999999</v>
      </c>
      <c r="N22" s="78">
        <v>5</v>
      </c>
    </row>
    <row r="23" spans="1:24" s="5" customFormat="1" ht="17.850000000000001" customHeight="1" x14ac:dyDescent="0.2">
      <c r="A23" s="73" t="s">
        <v>108</v>
      </c>
      <c r="B23" s="74" t="s">
        <v>142</v>
      </c>
      <c r="C23" s="368" t="s">
        <v>110</v>
      </c>
      <c r="D23" s="368" t="s">
        <v>723</v>
      </c>
      <c r="E23" s="368">
        <f t="shared" si="2"/>
        <v>8</v>
      </c>
      <c r="F23" s="368" t="s">
        <v>140</v>
      </c>
      <c r="G23" s="368" t="s">
        <v>143</v>
      </c>
      <c r="H23" s="71" t="s">
        <v>87</v>
      </c>
      <c r="I23" s="75">
        <f t="shared" si="1"/>
        <v>8.2934366351659322E-2</v>
      </c>
      <c r="J23" s="18">
        <v>1560.15</v>
      </c>
      <c r="K23" s="77">
        <v>15602.28</v>
      </c>
      <c r="L23" s="71">
        <v>8</v>
      </c>
      <c r="M23" s="18">
        <f>N23*J23/1000</f>
        <v>7.8007499999999999</v>
      </c>
      <c r="N23" s="78">
        <v>5</v>
      </c>
      <c r="P23" s="4"/>
      <c r="Q23" s="4"/>
      <c r="R23" s="4"/>
      <c r="S23" s="4"/>
      <c r="T23" s="4"/>
      <c r="U23" s="4"/>
      <c r="V23" s="4"/>
      <c r="W23" s="4"/>
      <c r="X23" s="4"/>
    </row>
    <row r="24" spans="1:24" ht="17.850000000000001" customHeight="1" x14ac:dyDescent="0.2">
      <c r="A24" s="73" t="s">
        <v>108</v>
      </c>
      <c r="B24" s="74" t="s">
        <v>144</v>
      </c>
      <c r="C24" s="368" t="s">
        <v>110</v>
      </c>
      <c r="D24" s="368" t="s">
        <v>723</v>
      </c>
      <c r="E24" s="368">
        <f t="shared" si="2"/>
        <v>8</v>
      </c>
      <c r="F24" s="368" t="s">
        <v>145</v>
      </c>
      <c r="G24" s="368" t="s">
        <v>146</v>
      </c>
      <c r="H24" s="71" t="s">
        <v>87</v>
      </c>
      <c r="I24" s="75">
        <f t="shared" si="1"/>
        <v>8.2934366351659322E-2</v>
      </c>
      <c r="J24" s="18">
        <v>1560.15</v>
      </c>
      <c r="K24" s="77">
        <v>15602.28</v>
      </c>
      <c r="L24" s="71">
        <v>8</v>
      </c>
      <c r="M24" s="18">
        <f>N24*J24/1000</f>
        <v>7.8007499999999999</v>
      </c>
      <c r="N24" s="78">
        <v>5</v>
      </c>
      <c r="P24" s="5"/>
      <c r="Q24" s="5"/>
      <c r="R24" s="5"/>
      <c r="S24" s="5"/>
      <c r="T24" s="5"/>
      <c r="U24" s="5"/>
      <c r="V24" s="5"/>
      <c r="W24" s="5"/>
      <c r="X24" s="5"/>
    </row>
    <row r="25" spans="1:24" ht="17.850000000000001" customHeight="1" x14ac:dyDescent="0.2">
      <c r="A25" s="73" t="s">
        <v>108</v>
      </c>
      <c r="B25" s="74" t="s">
        <v>147</v>
      </c>
      <c r="C25" s="368" t="s">
        <v>110</v>
      </c>
      <c r="D25" s="368" t="s">
        <v>723</v>
      </c>
      <c r="E25" s="368">
        <f t="shared" si="2"/>
        <v>8</v>
      </c>
      <c r="F25" s="368" t="s">
        <v>145</v>
      </c>
      <c r="G25" s="368" t="s">
        <v>148</v>
      </c>
      <c r="H25" s="71" t="s">
        <v>87</v>
      </c>
      <c r="I25" s="75">
        <f t="shared" si="1"/>
        <v>5.7416426907727296E-2</v>
      </c>
      <c r="J25" s="18">
        <v>1080.1099999999999</v>
      </c>
      <c r="K25" s="77">
        <v>10801.58</v>
      </c>
      <c r="L25" s="71">
        <v>8</v>
      </c>
      <c r="M25" s="18">
        <f t="shared" ref="M25:M34" si="3">N25*J25/1000</f>
        <v>5.4005499999999991</v>
      </c>
      <c r="N25" s="78">
        <v>5</v>
      </c>
    </row>
    <row r="26" spans="1:24" ht="17.850000000000001" customHeight="1" x14ac:dyDescent="0.2">
      <c r="A26" s="73" t="s">
        <v>108</v>
      </c>
      <c r="B26" s="74" t="s">
        <v>149</v>
      </c>
      <c r="C26" s="368" t="s">
        <v>110</v>
      </c>
      <c r="D26" s="368" t="s">
        <v>723</v>
      </c>
      <c r="E26" s="368">
        <f t="shared" si="2"/>
        <v>8</v>
      </c>
      <c r="F26" s="368" t="s">
        <v>145</v>
      </c>
      <c r="G26" s="368" t="s">
        <v>150</v>
      </c>
      <c r="H26" s="71" t="s">
        <v>87</v>
      </c>
      <c r="I26" s="75">
        <f t="shared" si="1"/>
        <v>5.7416426907727296E-2</v>
      </c>
      <c r="J26" s="18">
        <v>1080.1099999999999</v>
      </c>
      <c r="K26" s="77">
        <v>10801.58</v>
      </c>
      <c r="L26" s="71">
        <v>8</v>
      </c>
      <c r="M26" s="18">
        <f t="shared" si="3"/>
        <v>5.4005499999999991</v>
      </c>
      <c r="N26" s="78">
        <v>5</v>
      </c>
    </row>
    <row r="27" spans="1:24" ht="17.850000000000001" customHeight="1" x14ac:dyDescent="0.2">
      <c r="A27" s="73" t="s">
        <v>108</v>
      </c>
      <c r="B27" s="74" t="s">
        <v>151</v>
      </c>
      <c r="C27" s="368" t="s">
        <v>110</v>
      </c>
      <c r="D27" s="368" t="s">
        <v>723</v>
      </c>
      <c r="E27" s="368">
        <f t="shared" si="2"/>
        <v>8</v>
      </c>
      <c r="F27" s="368" t="s">
        <v>145</v>
      </c>
      <c r="G27" s="368" t="s">
        <v>152</v>
      </c>
      <c r="H27" s="71" t="s">
        <v>87</v>
      </c>
      <c r="I27" s="75">
        <f t="shared" si="1"/>
        <v>5.7416426907727296E-2</v>
      </c>
      <c r="J27" s="18">
        <v>1080.1099999999999</v>
      </c>
      <c r="K27" s="77">
        <v>10801.58</v>
      </c>
      <c r="L27" s="71">
        <v>8</v>
      </c>
      <c r="M27" s="18">
        <f t="shared" si="3"/>
        <v>5.4005499999999991</v>
      </c>
      <c r="N27" s="78">
        <v>5</v>
      </c>
    </row>
    <row r="28" spans="1:24" ht="17.850000000000001" customHeight="1" x14ac:dyDescent="0.2">
      <c r="A28" s="73" t="s">
        <v>108</v>
      </c>
      <c r="B28" s="74" t="s">
        <v>153</v>
      </c>
      <c r="C28" s="368" t="s">
        <v>110</v>
      </c>
      <c r="D28" s="368" t="s">
        <v>723</v>
      </c>
      <c r="E28" s="368">
        <f t="shared" si="2"/>
        <v>8</v>
      </c>
      <c r="F28" s="368" t="s">
        <v>145</v>
      </c>
      <c r="G28" s="368" t="s">
        <v>154</v>
      </c>
      <c r="H28" s="71" t="s">
        <v>87</v>
      </c>
      <c r="I28" s="75">
        <f t="shared" si="1"/>
        <v>5.7416426907727296E-2</v>
      </c>
      <c r="J28" s="18">
        <v>1080.1099999999999</v>
      </c>
      <c r="K28" s="77">
        <v>10801.58</v>
      </c>
      <c r="L28" s="71">
        <v>8</v>
      </c>
      <c r="M28" s="18">
        <f t="shared" si="3"/>
        <v>5.4005499999999991</v>
      </c>
      <c r="N28" s="78">
        <v>5</v>
      </c>
    </row>
    <row r="29" spans="1:24" ht="17.850000000000001" customHeight="1" x14ac:dyDescent="0.2">
      <c r="A29" s="73" t="s">
        <v>108</v>
      </c>
      <c r="B29" s="74" t="s">
        <v>155</v>
      </c>
      <c r="C29" s="368" t="s">
        <v>110</v>
      </c>
      <c r="D29" s="368" t="s">
        <v>723</v>
      </c>
      <c r="E29" s="368">
        <f t="shared" si="2"/>
        <v>8</v>
      </c>
      <c r="F29" s="368" t="s">
        <v>145</v>
      </c>
      <c r="G29" s="368" t="s">
        <v>156</v>
      </c>
      <c r="H29" s="71" t="s">
        <v>87</v>
      </c>
      <c r="I29" s="75">
        <f t="shared" si="1"/>
        <v>5.7416426907727296E-2</v>
      </c>
      <c r="J29" s="18">
        <v>1080.1099999999999</v>
      </c>
      <c r="K29" s="77">
        <v>10801.58</v>
      </c>
      <c r="L29" s="71">
        <v>8</v>
      </c>
      <c r="M29" s="18">
        <f t="shared" si="3"/>
        <v>5.4005499999999991</v>
      </c>
      <c r="N29" s="78">
        <v>5</v>
      </c>
    </row>
    <row r="30" spans="1:24" ht="17.850000000000001" customHeight="1" x14ac:dyDescent="0.2">
      <c r="A30" s="73" t="s">
        <v>130</v>
      </c>
      <c r="B30" s="74" t="s">
        <v>158</v>
      </c>
      <c r="C30" s="368" t="s">
        <v>83</v>
      </c>
      <c r="D30" s="368" t="s">
        <v>84</v>
      </c>
      <c r="E30" s="368" t="s">
        <v>85</v>
      </c>
      <c r="F30" s="368" t="s">
        <v>85</v>
      </c>
      <c r="G30" s="368" t="s">
        <v>159</v>
      </c>
      <c r="H30" s="71" t="s">
        <v>87</v>
      </c>
      <c r="I30" s="75">
        <f t="shared" si="1"/>
        <v>6.3795911768710301E-2</v>
      </c>
      <c r="J30" s="18">
        <v>1200.1199999999999</v>
      </c>
      <c r="K30" s="77">
        <v>12001.76</v>
      </c>
      <c r="L30" s="71">
        <v>8</v>
      </c>
      <c r="M30" s="18">
        <f t="shared" si="3"/>
        <v>12.001199999999999</v>
      </c>
      <c r="N30" s="78">
        <v>10</v>
      </c>
    </row>
    <row r="31" spans="1:24" ht="17.850000000000001" customHeight="1" x14ac:dyDescent="0.2">
      <c r="A31" s="392" t="s">
        <v>133</v>
      </c>
      <c r="B31" s="74" t="s">
        <v>161</v>
      </c>
      <c r="C31" s="368" t="s">
        <v>83</v>
      </c>
      <c r="D31" s="368" t="s">
        <v>84</v>
      </c>
      <c r="E31" s="368" t="s">
        <v>85</v>
      </c>
      <c r="F31" s="368" t="s">
        <v>85</v>
      </c>
      <c r="G31" s="368" t="s">
        <v>162</v>
      </c>
      <c r="H31" s="71" t="s">
        <v>87</v>
      </c>
      <c r="I31" s="75">
        <f t="shared" si="1"/>
        <v>9.569493081194572E-3</v>
      </c>
      <c r="J31" s="18">
        <v>180.02</v>
      </c>
      <c r="K31" s="77">
        <v>1800.26</v>
      </c>
      <c r="L31" s="71">
        <v>8</v>
      </c>
      <c r="M31" s="18">
        <f t="shared" si="3"/>
        <v>1.8002</v>
      </c>
      <c r="N31" s="78">
        <v>10</v>
      </c>
    </row>
    <row r="32" spans="1:24" ht="17.850000000000001" customHeight="1" x14ac:dyDescent="0.2">
      <c r="A32" s="73" t="s">
        <v>108</v>
      </c>
      <c r="B32" s="74" t="s">
        <v>163</v>
      </c>
      <c r="C32" s="368" t="s">
        <v>110</v>
      </c>
      <c r="D32" s="368" t="s">
        <v>723</v>
      </c>
      <c r="E32" s="368">
        <f t="shared" si="2"/>
        <v>8</v>
      </c>
      <c r="F32" s="368" t="s">
        <v>137</v>
      </c>
      <c r="G32" s="368" t="s">
        <v>164</v>
      </c>
      <c r="H32" s="71" t="s">
        <v>87</v>
      </c>
      <c r="I32" s="75">
        <f t="shared" si="1"/>
        <v>5.7416426907727296E-2</v>
      </c>
      <c r="J32" s="18">
        <v>1080.1099999999999</v>
      </c>
      <c r="K32" s="77">
        <v>10801.58</v>
      </c>
      <c r="L32" s="71">
        <v>8</v>
      </c>
      <c r="M32" s="18">
        <f t="shared" si="3"/>
        <v>5.4005499999999991</v>
      </c>
      <c r="N32" s="78">
        <v>5</v>
      </c>
    </row>
    <row r="33" spans="1:14" ht="17.850000000000001" customHeight="1" x14ac:dyDescent="0.2">
      <c r="A33" s="284" t="s">
        <v>165</v>
      </c>
      <c r="B33" s="74" t="s">
        <v>166</v>
      </c>
      <c r="C33" s="368" t="s">
        <v>83</v>
      </c>
      <c r="D33" s="368" t="s">
        <v>84</v>
      </c>
      <c r="E33" s="368">
        <f t="shared" si="2"/>
        <v>1</v>
      </c>
      <c r="F33" s="368" t="s">
        <v>85</v>
      </c>
      <c r="G33" s="368" t="s">
        <v>167</v>
      </c>
      <c r="H33" s="71" t="s">
        <v>121</v>
      </c>
      <c r="I33" s="75">
        <f t="shared" si="1"/>
        <v>8.3333183826615781E-2</v>
      </c>
      <c r="J33" s="18">
        <v>12541.22</v>
      </c>
      <c r="K33" s="77">
        <v>125418.36</v>
      </c>
      <c r="L33" s="71">
        <v>1</v>
      </c>
      <c r="M33" s="18">
        <f t="shared" si="3"/>
        <v>62.706099999999999</v>
      </c>
      <c r="N33" s="79">
        <v>5</v>
      </c>
    </row>
    <row r="34" spans="1:14" ht="17.850000000000001" customHeight="1" x14ac:dyDescent="0.2">
      <c r="A34" s="284" t="s">
        <v>165</v>
      </c>
      <c r="B34" s="74" t="s">
        <v>168</v>
      </c>
      <c r="C34" s="368" t="s">
        <v>83</v>
      </c>
      <c r="D34" s="368" t="s">
        <v>84</v>
      </c>
      <c r="E34" s="368">
        <f t="shared" si="2"/>
        <v>1</v>
      </c>
      <c r="F34" s="368" t="s">
        <v>85</v>
      </c>
      <c r="G34" s="368" t="s">
        <v>167</v>
      </c>
      <c r="H34" s="71" t="s">
        <v>121</v>
      </c>
      <c r="I34" s="75">
        <f t="shared" si="1"/>
        <v>8.3333183826615781E-2</v>
      </c>
      <c r="J34" s="18">
        <v>12541.22</v>
      </c>
      <c r="K34" s="77">
        <v>125418.36</v>
      </c>
      <c r="L34" s="71">
        <v>1</v>
      </c>
      <c r="M34" s="18">
        <f t="shared" si="3"/>
        <v>62.706099999999999</v>
      </c>
      <c r="N34" s="79">
        <v>5</v>
      </c>
    </row>
    <row r="35" spans="1:14" ht="51" x14ac:dyDescent="0.2">
      <c r="A35" s="378" t="s">
        <v>169</v>
      </c>
      <c r="B35" s="378" t="s">
        <v>170</v>
      </c>
      <c r="C35" s="378"/>
      <c r="D35" s="378"/>
      <c r="E35" s="378" t="s">
        <v>171</v>
      </c>
      <c r="F35" s="378" t="s">
        <v>172</v>
      </c>
      <c r="G35" s="378" t="s">
        <v>173</v>
      </c>
      <c r="H35" s="21" t="s">
        <v>174</v>
      </c>
      <c r="I35" s="76">
        <f>SUM(I3:I34)</f>
        <v>0.99999999999999989</v>
      </c>
      <c r="J35" s="20">
        <f>SUMPRODUCT(J3:J34,L3:L34)</f>
        <v>150494.91000000003</v>
      </c>
      <c r="K35" s="18">
        <f>SUM(K3:K34)</f>
        <v>627091.76000000013</v>
      </c>
      <c r="L35" s="18"/>
      <c r="M35" s="20">
        <f>SUM(M3:M34)</f>
        <v>576.44060400000012</v>
      </c>
      <c r="N35" s="19"/>
    </row>
    <row r="36" spans="1:14" x14ac:dyDescent="0.2">
      <c r="A36" s="24"/>
      <c r="B36" s="24"/>
      <c r="C36" s="24"/>
      <c r="D36" s="24"/>
      <c r="E36" s="24"/>
      <c r="F36" s="24"/>
      <c r="G36" s="24"/>
      <c r="H36" s="24"/>
      <c r="J36" s="24"/>
      <c r="K36" s="24"/>
      <c r="L36" s="24"/>
      <c r="M36" s="24"/>
      <c r="N36" s="24"/>
    </row>
    <row r="37" spans="1:14" x14ac:dyDescent="0.2">
      <c r="J37" s="24"/>
      <c r="K37" s="24"/>
      <c r="L37" s="24"/>
      <c r="M37" s="24"/>
      <c r="N37" s="24"/>
    </row>
    <row r="38" spans="1:14" x14ac:dyDescent="0.2">
      <c r="J38" s="183"/>
      <c r="K38" s="24"/>
      <c r="L38" s="24"/>
      <c r="M38" s="24"/>
      <c r="N38" s="24"/>
    </row>
    <row r="39" spans="1:14" x14ac:dyDescent="0.2">
      <c r="J39" s="24"/>
      <c r="K39" s="24"/>
      <c r="L39" s="24"/>
      <c r="M39" s="24"/>
      <c r="N39" s="24"/>
    </row>
    <row r="40" spans="1:14" x14ac:dyDescent="0.2">
      <c r="J40" s="24"/>
      <c r="K40" s="24"/>
      <c r="L40" s="24"/>
      <c r="M40" s="24"/>
      <c r="N40" s="24"/>
    </row>
    <row r="41" spans="1:14" x14ac:dyDescent="0.2">
      <c r="J41" s="24"/>
      <c r="K41" s="24"/>
      <c r="L41" s="24"/>
      <c r="M41" s="24"/>
      <c r="N41" s="24"/>
    </row>
    <row r="42" spans="1:14" hidden="1" x14ac:dyDescent="0.2">
      <c r="A42" s="25" t="s">
        <v>175</v>
      </c>
      <c r="B42" s="25"/>
      <c r="C42" s="25"/>
      <c r="D42" s="25"/>
      <c r="E42" s="25"/>
      <c r="F42" s="25"/>
      <c r="G42" s="25"/>
      <c r="H42" s="25"/>
      <c r="I42" s="25"/>
      <c r="J42" s="26"/>
      <c r="K42" s="28"/>
      <c r="L42" s="25"/>
      <c r="M42" s="25"/>
      <c r="N42" s="25"/>
    </row>
    <row r="43" spans="1:14" hidden="1" x14ac:dyDescent="0.2">
      <c r="A43" s="23"/>
      <c r="B43" s="23"/>
      <c r="C43" s="23"/>
      <c r="D43" s="23"/>
      <c r="E43" s="23"/>
      <c r="F43" s="23"/>
      <c r="G43" s="23"/>
      <c r="H43" s="23"/>
      <c r="I43" s="23"/>
    </row>
    <row r="44" spans="1:14" hidden="1" x14ac:dyDescent="0.2"/>
    <row r="45" spans="1:14" hidden="1" x14ac:dyDescent="0.2"/>
    <row r="46" spans="1:14" hidden="1" x14ac:dyDescent="0.2"/>
    <row r="47" spans="1:14" hidden="1" x14ac:dyDescent="0.2"/>
    <row r="48" spans="1:14" hidden="1" x14ac:dyDescent="0.2">
      <c r="B48" s="4" t="s">
        <v>176</v>
      </c>
    </row>
    <row r="49" spans="2:16" hidden="1" x14ac:dyDescent="0.2"/>
    <row r="50" spans="2:16" hidden="1" x14ac:dyDescent="0.2">
      <c r="E50" s="4" t="s">
        <v>177</v>
      </c>
      <c r="F50" s="4" t="s">
        <v>178</v>
      </c>
      <c r="G50" s="4" t="s">
        <v>179</v>
      </c>
      <c r="H50" s="4" t="s">
        <v>180</v>
      </c>
      <c r="I50" s="4" t="s">
        <v>78</v>
      </c>
      <c r="J50" s="4" t="s">
        <v>181</v>
      </c>
      <c r="K50" s="4" t="s">
        <v>182</v>
      </c>
      <c r="L50" s="4" t="s">
        <v>183</v>
      </c>
      <c r="M50" s="4" t="s">
        <v>184</v>
      </c>
      <c r="N50" s="4" t="s">
        <v>185</v>
      </c>
      <c r="O50" s="4" t="s">
        <v>186</v>
      </c>
    </row>
    <row r="51" spans="2:16" hidden="1" x14ac:dyDescent="0.2">
      <c r="B51" s="4" t="s">
        <v>187</v>
      </c>
      <c r="E51" s="4">
        <v>480.05</v>
      </c>
      <c r="F51" s="4" t="s">
        <v>188</v>
      </c>
      <c r="G51" s="4" t="s">
        <v>188</v>
      </c>
      <c r="H51" s="4">
        <v>4800.7</v>
      </c>
      <c r="I51" s="4">
        <v>1</v>
      </c>
      <c r="J51" s="4">
        <v>160.02000000000001</v>
      </c>
      <c r="K51" s="4">
        <v>0</v>
      </c>
      <c r="L51" s="4">
        <v>16</v>
      </c>
      <c r="M51" s="4">
        <v>16</v>
      </c>
      <c r="N51" s="4">
        <v>2.2176</v>
      </c>
      <c r="O51" s="4">
        <v>200.02</v>
      </c>
      <c r="P51" s="4" t="s">
        <v>189</v>
      </c>
    </row>
    <row r="52" spans="2:16" hidden="1" x14ac:dyDescent="0.2">
      <c r="B52" s="4" t="s">
        <v>190</v>
      </c>
      <c r="E52" s="4">
        <v>840.08</v>
      </c>
      <c r="F52" s="4" t="s">
        <v>188</v>
      </c>
      <c r="G52" s="4" t="s">
        <v>188</v>
      </c>
      <c r="H52" s="4">
        <v>8401.23</v>
      </c>
      <c r="I52" s="4">
        <v>1</v>
      </c>
      <c r="J52" s="4">
        <v>280.02999999999997</v>
      </c>
      <c r="K52" s="4">
        <v>0</v>
      </c>
      <c r="L52" s="4">
        <v>28</v>
      </c>
      <c r="M52" s="4">
        <v>28</v>
      </c>
      <c r="N52" s="4">
        <v>1.7058</v>
      </c>
      <c r="O52" s="4">
        <v>100.01</v>
      </c>
      <c r="P52" s="4">
        <v>5.1174999999999997</v>
      </c>
    </row>
    <row r="53" spans="2:16" hidden="1" x14ac:dyDescent="0.2">
      <c r="B53" s="4" t="s">
        <v>191</v>
      </c>
      <c r="E53" s="4">
        <v>180.02</v>
      </c>
      <c r="F53" s="4" t="s">
        <v>188</v>
      </c>
      <c r="G53" s="4" t="s">
        <v>188</v>
      </c>
      <c r="H53" s="4">
        <v>1800.26</v>
      </c>
      <c r="I53" s="4">
        <v>1</v>
      </c>
      <c r="J53" s="4">
        <v>100.01</v>
      </c>
      <c r="K53" s="4">
        <v>0</v>
      </c>
      <c r="L53" s="4">
        <v>10</v>
      </c>
      <c r="M53" s="4">
        <v>10</v>
      </c>
      <c r="N53" s="4">
        <v>2.3881999999999999</v>
      </c>
      <c r="O53" s="4">
        <v>200.02</v>
      </c>
      <c r="P53" s="4">
        <v>1.7058</v>
      </c>
    </row>
    <row r="54" spans="2:16" hidden="1" x14ac:dyDescent="0.2">
      <c r="B54" s="4" t="s">
        <v>192</v>
      </c>
      <c r="E54" s="4">
        <v>1536.15</v>
      </c>
      <c r="F54" s="4" t="s">
        <v>188</v>
      </c>
      <c r="G54" s="4" t="s">
        <v>188</v>
      </c>
      <c r="H54" s="4">
        <v>15362.25</v>
      </c>
      <c r="I54" s="4">
        <v>1</v>
      </c>
      <c r="J54" s="4">
        <v>380.04</v>
      </c>
      <c r="K54" s="4">
        <v>0</v>
      </c>
      <c r="L54" s="4">
        <v>38.01</v>
      </c>
      <c r="M54" s="4">
        <v>38.01</v>
      </c>
      <c r="N54" s="4">
        <v>2.1021000000000001</v>
      </c>
      <c r="O54" s="4">
        <v>35.79</v>
      </c>
      <c r="P54" s="4">
        <v>5.1174999999999997</v>
      </c>
    </row>
    <row r="55" spans="2:16" hidden="1" x14ac:dyDescent="0.2">
      <c r="B55" s="4" t="s">
        <v>193</v>
      </c>
      <c r="E55" s="4">
        <v>3168.31</v>
      </c>
      <c r="F55" s="4" t="s">
        <v>194</v>
      </c>
      <c r="G55" s="4" t="s">
        <v>188</v>
      </c>
      <c r="H55" s="4">
        <v>31684.639999999999</v>
      </c>
      <c r="I55" s="4">
        <v>1</v>
      </c>
      <c r="J55" s="4">
        <v>960.09</v>
      </c>
      <c r="K55" s="4">
        <v>0</v>
      </c>
      <c r="L55" s="4">
        <v>96.01</v>
      </c>
      <c r="M55" s="4">
        <v>96.01</v>
      </c>
      <c r="N55" s="4">
        <v>0</v>
      </c>
      <c r="P55" s="4">
        <v>3.4561000000000002</v>
      </c>
    </row>
    <row r="56" spans="2:16" hidden="1" x14ac:dyDescent="0.2">
      <c r="B56" s="4" t="s">
        <v>195</v>
      </c>
      <c r="E56" s="4">
        <v>1584.15</v>
      </c>
      <c r="F56" s="4" t="s">
        <v>194</v>
      </c>
      <c r="G56" s="4" t="s">
        <v>188</v>
      </c>
      <c r="H56" s="4">
        <v>15842.32</v>
      </c>
      <c r="I56" s="4">
        <v>1</v>
      </c>
      <c r="J56" s="4">
        <v>1140.1099999999999</v>
      </c>
      <c r="K56" s="4">
        <v>0</v>
      </c>
      <c r="L56" s="4">
        <v>114.01</v>
      </c>
      <c r="M56" s="4">
        <v>114.01</v>
      </c>
      <c r="N56" s="4">
        <v>0</v>
      </c>
      <c r="P56" s="4">
        <v>0</v>
      </c>
    </row>
    <row r="57" spans="2:16" hidden="1" x14ac:dyDescent="0.2">
      <c r="B57" s="4" t="s">
        <v>196</v>
      </c>
      <c r="E57" s="4">
        <v>3168.31</v>
      </c>
      <c r="F57" s="4" t="s">
        <v>194</v>
      </c>
      <c r="G57" s="4" t="s">
        <v>188</v>
      </c>
      <c r="H57" s="4">
        <v>31684.639999999999</v>
      </c>
      <c r="I57" s="4">
        <v>1</v>
      </c>
      <c r="J57" s="4">
        <v>960.09</v>
      </c>
      <c r="K57" s="4">
        <v>0</v>
      </c>
      <c r="L57" s="4">
        <v>96.01</v>
      </c>
      <c r="M57" s="4">
        <v>96.01</v>
      </c>
      <c r="N57" s="4">
        <v>0</v>
      </c>
      <c r="P57" s="4">
        <v>0</v>
      </c>
    </row>
    <row r="58" spans="2:16" hidden="1" x14ac:dyDescent="0.2">
      <c r="B58" s="4" t="s">
        <v>197</v>
      </c>
      <c r="E58" s="4">
        <v>1584.15</v>
      </c>
      <c r="F58" s="4" t="s">
        <v>194</v>
      </c>
      <c r="G58" s="4" t="s">
        <v>188</v>
      </c>
      <c r="H58" s="4">
        <v>15842.32</v>
      </c>
      <c r="I58" s="4">
        <v>1</v>
      </c>
      <c r="J58" s="4">
        <v>1140.1099999999999</v>
      </c>
      <c r="K58" s="4">
        <v>0</v>
      </c>
      <c r="L58" s="4">
        <v>114.01</v>
      </c>
      <c r="M58" s="4">
        <v>114.01</v>
      </c>
      <c r="N58" s="4">
        <v>0</v>
      </c>
      <c r="P58" s="4">
        <v>0</v>
      </c>
    </row>
    <row r="59" spans="2:16" hidden="1" x14ac:dyDescent="0.2">
      <c r="B59" s="4" t="s">
        <v>198</v>
      </c>
      <c r="E59" s="4">
        <v>1560.15</v>
      </c>
      <c r="F59" s="4" t="s">
        <v>188</v>
      </c>
      <c r="G59" s="4" t="s">
        <v>188</v>
      </c>
      <c r="H59" s="4">
        <v>15602.28</v>
      </c>
      <c r="I59" s="4">
        <v>1</v>
      </c>
      <c r="J59" s="4">
        <v>520.04999999999995</v>
      </c>
      <c r="K59" s="4">
        <v>0</v>
      </c>
      <c r="L59" s="4">
        <v>208.03</v>
      </c>
      <c r="M59" s="4">
        <v>208.03</v>
      </c>
      <c r="N59" s="4">
        <v>2.8574000000000002</v>
      </c>
      <c r="O59" s="4">
        <v>390.04</v>
      </c>
      <c r="P59" s="4">
        <v>0</v>
      </c>
    </row>
    <row r="60" spans="2:16" hidden="1" x14ac:dyDescent="0.2">
      <c r="B60" s="4" t="s">
        <v>199</v>
      </c>
      <c r="E60" s="4">
        <v>1560.15</v>
      </c>
      <c r="F60" s="4" t="s">
        <v>188</v>
      </c>
      <c r="G60" s="4" t="s">
        <v>188</v>
      </c>
      <c r="H60" s="4">
        <v>15602.28</v>
      </c>
      <c r="I60" s="4">
        <v>1</v>
      </c>
      <c r="J60" s="4">
        <v>520.04999999999995</v>
      </c>
      <c r="K60" s="4">
        <v>0</v>
      </c>
      <c r="L60" s="4">
        <v>208.03</v>
      </c>
      <c r="M60" s="4">
        <v>208.03</v>
      </c>
      <c r="N60" s="4">
        <v>2.8574000000000002</v>
      </c>
      <c r="O60" s="4">
        <v>390.04</v>
      </c>
      <c r="P60" s="4">
        <v>36.178699999999999</v>
      </c>
    </row>
    <row r="61" spans="2:16" hidden="1" x14ac:dyDescent="0.2">
      <c r="B61" s="4" t="s">
        <v>200</v>
      </c>
      <c r="E61" s="4">
        <v>1560.15</v>
      </c>
      <c r="F61" s="4" t="s">
        <v>188</v>
      </c>
      <c r="G61" s="4" t="s">
        <v>188</v>
      </c>
      <c r="H61" s="4">
        <v>15602.28</v>
      </c>
      <c r="I61" s="4">
        <v>1</v>
      </c>
      <c r="J61" s="4">
        <v>520.04999999999995</v>
      </c>
      <c r="K61" s="4">
        <v>0</v>
      </c>
      <c r="L61" s="4">
        <v>208.03</v>
      </c>
      <c r="M61" s="4">
        <v>208.03</v>
      </c>
      <c r="N61" s="4">
        <v>2.8574000000000002</v>
      </c>
      <c r="O61" s="4">
        <v>390.04</v>
      </c>
      <c r="P61" s="4">
        <v>36.178699999999999</v>
      </c>
    </row>
    <row r="62" spans="2:16" hidden="1" x14ac:dyDescent="0.2">
      <c r="B62" s="4" t="s">
        <v>201</v>
      </c>
      <c r="E62" s="4">
        <v>1080.1099999999999</v>
      </c>
      <c r="F62" s="4" t="s">
        <v>188</v>
      </c>
      <c r="G62" s="4" t="s">
        <v>188</v>
      </c>
      <c r="H62" s="4">
        <v>10801.58</v>
      </c>
      <c r="I62" s="4">
        <v>1</v>
      </c>
      <c r="J62" s="4">
        <v>360.04</v>
      </c>
      <c r="K62" s="4">
        <v>0</v>
      </c>
      <c r="L62" s="4">
        <v>144.02000000000001</v>
      </c>
      <c r="M62" s="4">
        <v>144.02000000000001</v>
      </c>
      <c r="N62" s="4">
        <v>2.5246</v>
      </c>
      <c r="O62" s="4">
        <v>360.03</v>
      </c>
      <c r="P62" s="4">
        <v>36.178699999999999</v>
      </c>
    </row>
    <row r="63" spans="2:16" hidden="1" x14ac:dyDescent="0.2">
      <c r="B63" s="4" t="s">
        <v>202</v>
      </c>
      <c r="E63" s="4">
        <v>1080.1099999999999</v>
      </c>
      <c r="F63" s="4" t="s">
        <v>188</v>
      </c>
      <c r="G63" s="4" t="s">
        <v>188</v>
      </c>
      <c r="H63" s="4">
        <v>10801.58</v>
      </c>
      <c r="I63" s="4">
        <v>1</v>
      </c>
      <c r="J63" s="4">
        <v>660.06</v>
      </c>
      <c r="K63" s="4">
        <v>0</v>
      </c>
      <c r="L63" s="4">
        <v>264.02999999999997</v>
      </c>
      <c r="M63" s="4">
        <v>264.02999999999997</v>
      </c>
      <c r="N63" s="4">
        <v>2.5246</v>
      </c>
      <c r="O63" s="4">
        <v>360.03</v>
      </c>
      <c r="P63" s="4">
        <v>31.2851</v>
      </c>
    </row>
    <row r="64" spans="2:16" hidden="1" x14ac:dyDescent="0.2">
      <c r="B64" s="4" t="s">
        <v>203</v>
      </c>
      <c r="E64" s="4">
        <v>1080.1099999999999</v>
      </c>
      <c r="F64" s="4" t="s">
        <v>188</v>
      </c>
      <c r="G64" s="4" t="s">
        <v>188</v>
      </c>
      <c r="H64" s="4">
        <v>10801.58</v>
      </c>
      <c r="I64" s="4">
        <v>1</v>
      </c>
      <c r="J64" s="4">
        <v>660.06</v>
      </c>
      <c r="K64" s="4">
        <v>0</v>
      </c>
      <c r="L64" s="4">
        <v>264.02999999999997</v>
      </c>
      <c r="M64" s="4">
        <v>264.02999999999997</v>
      </c>
      <c r="N64" s="4">
        <v>2.5246</v>
      </c>
      <c r="O64" s="4">
        <v>360.03</v>
      </c>
      <c r="P64" s="4">
        <v>31.2851</v>
      </c>
    </row>
    <row r="65" spans="2:16" hidden="1" x14ac:dyDescent="0.2">
      <c r="B65" s="4" t="s">
        <v>204</v>
      </c>
      <c r="E65" s="4">
        <v>1080.1099999999999</v>
      </c>
      <c r="F65" s="4" t="s">
        <v>188</v>
      </c>
      <c r="G65" s="4" t="s">
        <v>188</v>
      </c>
      <c r="H65" s="4">
        <v>10801.58</v>
      </c>
      <c r="I65" s="4">
        <v>1</v>
      </c>
      <c r="J65" s="4">
        <v>660.06</v>
      </c>
      <c r="K65" s="4">
        <v>0</v>
      </c>
      <c r="L65" s="4">
        <v>264.02999999999997</v>
      </c>
      <c r="M65" s="4">
        <v>264.02999999999997</v>
      </c>
      <c r="N65" s="4">
        <v>2.5246</v>
      </c>
      <c r="O65" s="4">
        <v>360.03</v>
      </c>
      <c r="P65" s="4">
        <v>31.2851</v>
      </c>
    </row>
    <row r="66" spans="2:16" hidden="1" x14ac:dyDescent="0.2">
      <c r="B66" s="4" t="s">
        <v>205</v>
      </c>
      <c r="E66" s="4">
        <v>1080.1099999999999</v>
      </c>
      <c r="F66" s="4" t="s">
        <v>188</v>
      </c>
      <c r="G66" s="4" t="s">
        <v>188</v>
      </c>
      <c r="H66" s="4">
        <v>10801.58</v>
      </c>
      <c r="I66" s="4">
        <v>1</v>
      </c>
      <c r="J66" s="4">
        <v>660.06</v>
      </c>
      <c r="K66" s="4">
        <v>0</v>
      </c>
      <c r="L66" s="4">
        <v>264.02999999999997</v>
      </c>
      <c r="M66" s="4">
        <v>264.02999999999997</v>
      </c>
      <c r="N66" s="4">
        <v>2.5246</v>
      </c>
      <c r="O66" s="4">
        <v>360.03</v>
      </c>
      <c r="P66" s="4">
        <v>31.2851</v>
      </c>
    </row>
    <row r="67" spans="2:16" hidden="1" x14ac:dyDescent="0.2">
      <c r="B67" s="4" t="s">
        <v>206</v>
      </c>
      <c r="E67" s="4">
        <v>1200.1199999999999</v>
      </c>
      <c r="F67" s="4" t="s">
        <v>188</v>
      </c>
      <c r="G67" s="4" t="s">
        <v>188</v>
      </c>
      <c r="H67" s="4">
        <v>12001.76</v>
      </c>
      <c r="I67" s="4">
        <v>1</v>
      </c>
      <c r="J67" s="4">
        <v>100.01</v>
      </c>
      <c r="K67" s="4">
        <v>0</v>
      </c>
      <c r="L67" s="4">
        <v>40</v>
      </c>
      <c r="M67" s="4">
        <v>40</v>
      </c>
      <c r="N67" s="4">
        <v>1.9390000000000001</v>
      </c>
      <c r="O67" s="4">
        <v>212.41</v>
      </c>
      <c r="P67" s="4">
        <v>31.2851</v>
      </c>
    </row>
    <row r="68" spans="2:16" hidden="1" x14ac:dyDescent="0.2">
      <c r="B68" s="4" t="s">
        <v>207</v>
      </c>
      <c r="E68" s="4">
        <v>180.02</v>
      </c>
      <c r="F68" s="4" t="s">
        <v>188</v>
      </c>
      <c r="G68" s="4" t="s">
        <v>188</v>
      </c>
      <c r="H68" s="4">
        <v>1800.26</v>
      </c>
      <c r="I68" s="4">
        <v>1</v>
      </c>
      <c r="J68" s="4">
        <v>100.01</v>
      </c>
      <c r="K68" s="4">
        <v>0</v>
      </c>
      <c r="L68" s="4">
        <v>40</v>
      </c>
      <c r="M68" s="4">
        <v>40</v>
      </c>
      <c r="N68" s="4">
        <v>1.5353000000000001</v>
      </c>
      <c r="O68" s="4">
        <v>200.02</v>
      </c>
      <c r="P68" s="4">
        <v>0.85289999999999999</v>
      </c>
    </row>
    <row r="69" spans="2:16" hidden="1" x14ac:dyDescent="0.2">
      <c r="B69" s="4" t="s">
        <v>208</v>
      </c>
      <c r="E69" s="4">
        <v>1080.1099999999999</v>
      </c>
      <c r="F69" s="4" t="s">
        <v>188</v>
      </c>
      <c r="G69" s="4" t="s">
        <v>188</v>
      </c>
      <c r="H69" s="4">
        <v>10801.58</v>
      </c>
      <c r="I69" s="4">
        <v>1</v>
      </c>
      <c r="J69" s="4">
        <v>360.04</v>
      </c>
      <c r="K69" s="4">
        <v>0</v>
      </c>
      <c r="L69" s="4">
        <v>144.02000000000001</v>
      </c>
      <c r="M69" s="4">
        <v>144.02000000000001</v>
      </c>
      <c r="N69" s="4">
        <v>3.39</v>
      </c>
      <c r="O69" s="4">
        <v>270.02999999999997</v>
      </c>
      <c r="P69" s="4">
        <v>10.9855</v>
      </c>
    </row>
    <row r="70" spans="2:16" hidden="1" x14ac:dyDescent="0.2">
      <c r="B70" s="4" t="s">
        <v>209</v>
      </c>
      <c r="E70" s="4">
        <v>1560.15</v>
      </c>
      <c r="F70" s="4" t="s">
        <v>188</v>
      </c>
      <c r="G70" s="4" t="s">
        <v>188</v>
      </c>
      <c r="H70" s="4">
        <v>15602.28</v>
      </c>
      <c r="I70" s="4">
        <v>8</v>
      </c>
      <c r="J70" s="4">
        <v>520.04999999999995</v>
      </c>
      <c r="K70" s="4">
        <v>0</v>
      </c>
      <c r="L70" s="4">
        <v>208.03</v>
      </c>
      <c r="M70" s="4">
        <v>208.03</v>
      </c>
      <c r="N70" s="4">
        <v>2.8574000000000002</v>
      </c>
      <c r="O70" s="4">
        <v>390.04</v>
      </c>
      <c r="P70" s="4">
        <v>41.945900000000002</v>
      </c>
    </row>
    <row r="71" spans="2:16" hidden="1" x14ac:dyDescent="0.2">
      <c r="B71" s="4" t="s">
        <v>210</v>
      </c>
      <c r="E71" s="4">
        <v>1560.15</v>
      </c>
      <c r="F71" s="4" t="s">
        <v>188</v>
      </c>
      <c r="G71" s="4" t="s">
        <v>188</v>
      </c>
      <c r="H71" s="4">
        <v>15602.28</v>
      </c>
      <c r="I71" s="4">
        <v>8</v>
      </c>
      <c r="J71" s="4">
        <v>520.04999999999995</v>
      </c>
      <c r="K71" s="4">
        <v>0</v>
      </c>
      <c r="L71" s="4">
        <v>208.03</v>
      </c>
      <c r="M71" s="4">
        <v>208.03</v>
      </c>
      <c r="N71" s="4">
        <v>2.8574000000000002</v>
      </c>
      <c r="O71" s="4">
        <v>390.04</v>
      </c>
      <c r="P71" s="4">
        <v>36.178699999999999</v>
      </c>
    </row>
    <row r="72" spans="2:16" hidden="1" x14ac:dyDescent="0.2">
      <c r="B72" s="4" t="s">
        <v>211</v>
      </c>
      <c r="E72" s="4">
        <v>1560.15</v>
      </c>
      <c r="F72" s="4" t="s">
        <v>188</v>
      </c>
      <c r="G72" s="4" t="s">
        <v>188</v>
      </c>
      <c r="H72" s="4">
        <v>15602.28</v>
      </c>
      <c r="I72" s="4">
        <v>8</v>
      </c>
      <c r="J72" s="4">
        <v>520.04999999999995</v>
      </c>
      <c r="K72" s="4">
        <v>0</v>
      </c>
      <c r="L72" s="4">
        <v>208.03</v>
      </c>
      <c r="M72" s="4">
        <v>208.03</v>
      </c>
      <c r="N72" s="4">
        <v>2.8574000000000002</v>
      </c>
      <c r="O72" s="4">
        <v>390.04</v>
      </c>
      <c r="P72" s="4">
        <v>36.178699999999999</v>
      </c>
    </row>
    <row r="73" spans="2:16" hidden="1" x14ac:dyDescent="0.2">
      <c r="B73" s="4" t="s">
        <v>212</v>
      </c>
      <c r="E73" s="4">
        <v>1080.1099999999999</v>
      </c>
      <c r="F73" s="4" t="s">
        <v>188</v>
      </c>
      <c r="G73" s="4" t="s">
        <v>188</v>
      </c>
      <c r="H73" s="4">
        <v>10801.58</v>
      </c>
      <c r="I73" s="4">
        <v>8</v>
      </c>
      <c r="J73" s="4">
        <v>360.04</v>
      </c>
      <c r="K73" s="4">
        <v>0</v>
      </c>
      <c r="L73" s="4">
        <v>144.02000000000001</v>
      </c>
      <c r="M73" s="4">
        <v>144.02000000000001</v>
      </c>
      <c r="N73" s="4">
        <v>2.5246</v>
      </c>
      <c r="O73" s="4">
        <v>360.03</v>
      </c>
      <c r="P73" s="4">
        <v>36.178699999999999</v>
      </c>
    </row>
    <row r="74" spans="2:16" hidden="1" x14ac:dyDescent="0.2">
      <c r="B74" s="4" t="s">
        <v>213</v>
      </c>
      <c r="E74" s="4">
        <v>1080.1099999999999</v>
      </c>
      <c r="F74" s="4" t="s">
        <v>188</v>
      </c>
      <c r="G74" s="4" t="s">
        <v>188</v>
      </c>
      <c r="H74" s="4">
        <v>10801.58</v>
      </c>
      <c r="I74" s="4">
        <v>8</v>
      </c>
      <c r="J74" s="4">
        <v>660.06</v>
      </c>
      <c r="K74" s="4">
        <v>0</v>
      </c>
      <c r="L74" s="4">
        <v>264.02999999999997</v>
      </c>
      <c r="M74" s="4">
        <v>264.02999999999997</v>
      </c>
      <c r="N74" s="4">
        <v>2.5246</v>
      </c>
      <c r="O74" s="4">
        <v>360.03</v>
      </c>
      <c r="P74" s="4">
        <v>31.2851</v>
      </c>
    </row>
    <row r="75" spans="2:16" hidden="1" x14ac:dyDescent="0.2">
      <c r="B75" s="4" t="s">
        <v>214</v>
      </c>
      <c r="E75" s="4">
        <v>1080.1099999999999</v>
      </c>
      <c r="F75" s="4" t="s">
        <v>188</v>
      </c>
      <c r="G75" s="4" t="s">
        <v>188</v>
      </c>
      <c r="H75" s="4">
        <v>10801.58</v>
      </c>
      <c r="I75" s="4">
        <v>8</v>
      </c>
      <c r="J75" s="4">
        <v>660.06</v>
      </c>
      <c r="K75" s="4">
        <v>0</v>
      </c>
      <c r="L75" s="4">
        <v>264.02999999999997</v>
      </c>
      <c r="M75" s="4">
        <v>264.02999999999997</v>
      </c>
      <c r="N75" s="4">
        <v>2.5246</v>
      </c>
      <c r="O75" s="4">
        <v>360.03</v>
      </c>
      <c r="P75" s="4">
        <v>31.2851</v>
      </c>
    </row>
    <row r="76" spans="2:16" hidden="1" x14ac:dyDescent="0.2">
      <c r="B76" s="4" t="s">
        <v>215</v>
      </c>
      <c r="E76" s="4">
        <v>1080.1099999999999</v>
      </c>
      <c r="F76" s="4" t="s">
        <v>188</v>
      </c>
      <c r="G76" s="4" t="s">
        <v>188</v>
      </c>
      <c r="H76" s="4">
        <v>10801.58</v>
      </c>
      <c r="I76" s="4">
        <v>8</v>
      </c>
      <c r="J76" s="4">
        <v>660.06</v>
      </c>
      <c r="K76" s="4">
        <v>0</v>
      </c>
      <c r="L76" s="4">
        <v>264.02999999999997</v>
      </c>
      <c r="M76" s="4">
        <v>264.02999999999997</v>
      </c>
      <c r="N76" s="4">
        <v>2.5246</v>
      </c>
      <c r="O76" s="4">
        <v>360.03</v>
      </c>
      <c r="P76" s="4">
        <v>31.2851</v>
      </c>
    </row>
    <row r="77" spans="2:16" hidden="1" x14ac:dyDescent="0.2">
      <c r="B77" s="4" t="s">
        <v>216</v>
      </c>
      <c r="E77" s="4">
        <v>1080.1099999999999</v>
      </c>
      <c r="F77" s="4" t="s">
        <v>188</v>
      </c>
      <c r="G77" s="4" t="s">
        <v>188</v>
      </c>
      <c r="H77" s="4">
        <v>10801.58</v>
      </c>
      <c r="I77" s="4">
        <v>8</v>
      </c>
      <c r="J77" s="4">
        <v>660.06</v>
      </c>
      <c r="K77" s="4">
        <v>0</v>
      </c>
      <c r="L77" s="4">
        <v>264.02999999999997</v>
      </c>
      <c r="M77" s="4">
        <v>264.02999999999997</v>
      </c>
      <c r="N77" s="4">
        <v>2.5246</v>
      </c>
      <c r="O77" s="4">
        <v>360.03</v>
      </c>
      <c r="P77" s="4">
        <v>31.2851</v>
      </c>
    </row>
    <row r="78" spans="2:16" hidden="1" x14ac:dyDescent="0.2">
      <c r="B78" s="4" t="s">
        <v>217</v>
      </c>
      <c r="E78" s="4">
        <v>1200.1199999999999</v>
      </c>
      <c r="F78" s="4" t="s">
        <v>188</v>
      </c>
      <c r="G78" s="4" t="s">
        <v>188</v>
      </c>
      <c r="H78" s="4">
        <v>12001.76</v>
      </c>
      <c r="I78" s="4">
        <v>8</v>
      </c>
      <c r="J78" s="4">
        <v>100.01</v>
      </c>
      <c r="K78" s="4">
        <v>0</v>
      </c>
      <c r="L78" s="4">
        <v>40</v>
      </c>
      <c r="M78" s="4">
        <v>40</v>
      </c>
      <c r="N78" s="4">
        <v>1.9390000000000001</v>
      </c>
      <c r="O78" s="4">
        <v>212.41</v>
      </c>
      <c r="P78" s="4">
        <v>31.2851</v>
      </c>
    </row>
    <row r="79" spans="2:16" hidden="1" x14ac:dyDescent="0.2">
      <c r="B79" s="4" t="s">
        <v>218</v>
      </c>
      <c r="E79" s="4">
        <v>180.02</v>
      </c>
      <c r="F79" s="4" t="s">
        <v>188</v>
      </c>
      <c r="G79" s="4" t="s">
        <v>188</v>
      </c>
      <c r="H79" s="4">
        <v>1800.26</v>
      </c>
      <c r="I79" s="4">
        <v>8</v>
      </c>
      <c r="J79" s="4">
        <v>100.01</v>
      </c>
      <c r="K79" s="4">
        <v>0</v>
      </c>
      <c r="L79" s="4">
        <v>40</v>
      </c>
      <c r="M79" s="4">
        <v>40</v>
      </c>
      <c r="N79" s="4">
        <v>1.5353000000000001</v>
      </c>
      <c r="O79" s="4">
        <v>200.02</v>
      </c>
      <c r="P79" s="4">
        <v>0.85289999999999999</v>
      </c>
    </row>
    <row r="80" spans="2:16" hidden="1" x14ac:dyDescent="0.2">
      <c r="B80" s="4" t="s">
        <v>219</v>
      </c>
      <c r="E80" s="4">
        <v>1080.1099999999999</v>
      </c>
      <c r="F80" s="4" t="s">
        <v>188</v>
      </c>
      <c r="G80" s="4" t="s">
        <v>188</v>
      </c>
      <c r="H80" s="4">
        <v>10801.58</v>
      </c>
      <c r="I80" s="4">
        <v>8</v>
      </c>
      <c r="J80" s="4">
        <v>360.04</v>
      </c>
      <c r="K80" s="4">
        <v>0</v>
      </c>
      <c r="L80" s="4">
        <v>144.02000000000001</v>
      </c>
      <c r="M80" s="4">
        <v>144.02000000000001</v>
      </c>
      <c r="N80" s="4">
        <v>3.39</v>
      </c>
      <c r="O80" s="4">
        <v>270.02999999999997</v>
      </c>
      <c r="P80" s="4">
        <v>10.9855</v>
      </c>
    </row>
    <row r="81" spans="2:16" hidden="1" x14ac:dyDescent="0.2">
      <c r="B81" s="4" t="s">
        <v>220</v>
      </c>
      <c r="E81" s="4">
        <v>12541.22</v>
      </c>
      <c r="F81" s="4" t="s">
        <v>194</v>
      </c>
      <c r="G81" s="4" t="s">
        <v>188</v>
      </c>
      <c r="H81" s="4">
        <v>125418.36</v>
      </c>
      <c r="I81" s="4">
        <v>1</v>
      </c>
      <c r="J81" s="4">
        <v>0</v>
      </c>
      <c r="K81" s="4">
        <v>5120.5</v>
      </c>
      <c r="L81" s="4">
        <v>0</v>
      </c>
      <c r="M81" s="4">
        <v>0</v>
      </c>
      <c r="N81" s="4">
        <v>0</v>
      </c>
      <c r="P81" s="4">
        <v>41.945900000000002</v>
      </c>
    </row>
    <row r="82" spans="2:16" hidden="1" x14ac:dyDescent="0.2">
      <c r="B82" s="4" t="s">
        <v>221</v>
      </c>
      <c r="E82" s="4">
        <v>12541.22</v>
      </c>
      <c r="F82" s="4" t="s">
        <v>194</v>
      </c>
      <c r="G82" s="4" t="s">
        <v>188</v>
      </c>
      <c r="H82" s="4">
        <v>125418.36</v>
      </c>
      <c r="I82" s="4">
        <v>1</v>
      </c>
      <c r="J82" s="4">
        <v>0</v>
      </c>
      <c r="K82" s="4">
        <v>5120.5</v>
      </c>
      <c r="L82" s="4">
        <v>0</v>
      </c>
      <c r="M82" s="4">
        <v>0</v>
      </c>
      <c r="N82" s="4">
        <v>0</v>
      </c>
      <c r="P82" s="4">
        <v>0</v>
      </c>
    </row>
    <row r="83" spans="2:16" hidden="1" x14ac:dyDescent="0.2">
      <c r="B83" s="4" t="s">
        <v>222</v>
      </c>
      <c r="E83" s="4">
        <v>150494.69</v>
      </c>
      <c r="H83" s="4">
        <v>1505020.31</v>
      </c>
      <c r="J83" s="4">
        <v>51205</v>
      </c>
      <c r="K83" s="4">
        <v>10241</v>
      </c>
      <c r="L83" s="4">
        <v>18946.29</v>
      </c>
      <c r="M83" s="4">
        <v>18946.29</v>
      </c>
      <c r="N83" s="4">
        <v>2.0306999999999999</v>
      </c>
      <c r="O83" s="4">
        <v>383.36</v>
      </c>
      <c r="P83" s="4">
        <v>0</v>
      </c>
    </row>
    <row r="84" spans="2:16" hidden="1" x14ac:dyDescent="0.2">
      <c r="B84" s="4" t="s">
        <v>223</v>
      </c>
      <c r="E84" s="4">
        <v>115907.31</v>
      </c>
      <c r="H84" s="4">
        <v>1159129.68</v>
      </c>
      <c r="J84" s="4">
        <v>47004.59</v>
      </c>
      <c r="K84" s="4">
        <v>0</v>
      </c>
      <c r="L84" s="4">
        <v>18526.240000000002</v>
      </c>
      <c r="M84" s="4">
        <v>18526.240000000002</v>
      </c>
      <c r="N84" s="4">
        <v>2.6366999999999998</v>
      </c>
      <c r="O84" s="4">
        <v>295.25</v>
      </c>
      <c r="P84" s="4">
        <v>23.186800000000002</v>
      </c>
    </row>
    <row r="85" spans="2:16" hidden="1" x14ac:dyDescent="0.2">
      <c r="B85" s="4" t="s">
        <v>224</v>
      </c>
      <c r="E85" s="4">
        <v>34587.379999999997</v>
      </c>
      <c r="H85" s="4">
        <v>345890.63</v>
      </c>
      <c r="J85" s="4">
        <v>4200.41</v>
      </c>
      <c r="K85" s="4">
        <v>10241</v>
      </c>
      <c r="L85" s="4">
        <v>420.04</v>
      </c>
      <c r="M85" s="4">
        <v>420.04</v>
      </c>
      <c r="N85" s="4">
        <v>0</v>
      </c>
      <c r="P85" s="4">
        <v>30.105799999999999</v>
      </c>
    </row>
    <row r="86" spans="2:16" hidden="1" x14ac:dyDescent="0.2">
      <c r="B86" s="4" t="s">
        <v>225</v>
      </c>
      <c r="E86" s="4">
        <v>0</v>
      </c>
      <c r="H86" s="4">
        <v>0</v>
      </c>
      <c r="J86" s="4">
        <v>0</v>
      </c>
      <c r="K86" s="4">
        <v>0</v>
      </c>
      <c r="L86" s="4">
        <v>0</v>
      </c>
      <c r="M86" s="4">
        <v>0</v>
      </c>
      <c r="P86" s="4">
        <v>0</v>
      </c>
    </row>
    <row r="87" spans="2:16" hidden="1" x14ac:dyDescent="0.2"/>
    <row r="88" spans="2:16" hidden="1" x14ac:dyDescent="0.2"/>
    <row r="89" spans="2:16" hidden="1" x14ac:dyDescent="0.2"/>
    <row r="90" spans="2:16" hidden="1" x14ac:dyDescent="0.2"/>
    <row r="91" spans="2:16" hidden="1" x14ac:dyDescent="0.2"/>
    <row r="92" spans="2:16" hidden="1" x14ac:dyDescent="0.2"/>
    <row r="93" spans="2:16" hidden="1" x14ac:dyDescent="0.2"/>
    <row r="94" spans="2:16" hidden="1" x14ac:dyDescent="0.2"/>
    <row r="95" spans="2:16" hidden="1" x14ac:dyDescent="0.2"/>
    <row r="96" spans="2:16" hidden="1" x14ac:dyDescent="0.2"/>
    <row r="97" spans="2:11" hidden="1" x14ac:dyDescent="0.2"/>
    <row r="98" spans="2:11" hidden="1" x14ac:dyDescent="0.2"/>
    <row r="99" spans="2:11" hidden="1" x14ac:dyDescent="0.2">
      <c r="B99" s="4" t="s">
        <v>226</v>
      </c>
    </row>
    <row r="100" spans="2:11" hidden="1" x14ac:dyDescent="0.2">
      <c r="B100" s="4" t="s">
        <v>227</v>
      </c>
      <c r="E100" s="4" t="s">
        <v>228</v>
      </c>
      <c r="F100" s="4">
        <v>480</v>
      </c>
      <c r="G100" s="4" t="s">
        <v>229</v>
      </c>
      <c r="J100" s="4" t="s">
        <v>230</v>
      </c>
      <c r="K100" s="4" t="s">
        <v>231</v>
      </c>
    </row>
    <row r="101" spans="2:11" hidden="1" x14ac:dyDescent="0.2">
      <c r="B101" s="4" t="s">
        <v>232</v>
      </c>
      <c r="E101" s="4" t="s">
        <v>228</v>
      </c>
      <c r="F101" s="4">
        <v>816</v>
      </c>
      <c r="G101" s="4" t="s">
        <v>233</v>
      </c>
      <c r="J101" s="4" t="s">
        <v>230</v>
      </c>
      <c r="K101" s="4" t="s">
        <v>157</v>
      </c>
    </row>
    <row r="102" spans="2:11" hidden="1" x14ac:dyDescent="0.2">
      <c r="B102" s="4" t="s">
        <v>234</v>
      </c>
      <c r="E102" s="4" t="s">
        <v>228</v>
      </c>
      <c r="F102" s="4">
        <v>840</v>
      </c>
      <c r="G102" s="4" t="s">
        <v>235</v>
      </c>
      <c r="J102" s="4" t="s">
        <v>230</v>
      </c>
      <c r="K102" s="4" t="s">
        <v>236</v>
      </c>
    </row>
    <row r="103" spans="2:11" hidden="1" x14ac:dyDescent="0.2">
      <c r="B103" s="4" t="s">
        <v>237</v>
      </c>
      <c r="E103" s="4" t="s">
        <v>228</v>
      </c>
      <c r="F103" s="4">
        <v>180</v>
      </c>
      <c r="G103" s="4" t="s">
        <v>238</v>
      </c>
      <c r="J103" s="4" t="s">
        <v>230</v>
      </c>
      <c r="K103" s="4" t="s">
        <v>239</v>
      </c>
    </row>
    <row r="104" spans="2:11" hidden="1" x14ac:dyDescent="0.2">
      <c r="B104" s="4" t="s">
        <v>240</v>
      </c>
      <c r="E104" s="4" t="s">
        <v>228</v>
      </c>
      <c r="F104" s="4">
        <v>540</v>
      </c>
      <c r="G104" s="4" t="s">
        <v>241</v>
      </c>
      <c r="J104" s="4" t="s">
        <v>230</v>
      </c>
      <c r="K104" s="4" t="s">
        <v>242</v>
      </c>
    </row>
    <row r="105" spans="2:11" hidden="1" x14ac:dyDescent="0.2">
      <c r="B105" s="4" t="s">
        <v>243</v>
      </c>
      <c r="E105" s="4" t="s">
        <v>228</v>
      </c>
      <c r="F105" s="4">
        <v>180</v>
      </c>
      <c r="G105" s="4" t="s">
        <v>244</v>
      </c>
      <c r="J105" s="4" t="s">
        <v>230</v>
      </c>
      <c r="K105" s="4" t="s">
        <v>245</v>
      </c>
    </row>
    <row r="106" spans="2:11" hidden="1" x14ac:dyDescent="0.2">
      <c r="B106" s="4" t="s">
        <v>246</v>
      </c>
      <c r="E106" s="4" t="s">
        <v>228</v>
      </c>
      <c r="F106" s="4">
        <v>1020</v>
      </c>
      <c r="G106" s="4" t="s">
        <v>247</v>
      </c>
      <c r="J106" s="4" t="s">
        <v>230</v>
      </c>
      <c r="K106" s="4" t="s">
        <v>157</v>
      </c>
    </row>
    <row r="107" spans="2:11" hidden="1" x14ac:dyDescent="0.2">
      <c r="B107" s="4" t="s">
        <v>248</v>
      </c>
      <c r="E107" s="4" t="s">
        <v>228</v>
      </c>
      <c r="F107" s="4">
        <v>180</v>
      </c>
      <c r="G107" s="4" t="s">
        <v>249</v>
      </c>
      <c r="J107" s="4" t="s">
        <v>230</v>
      </c>
      <c r="K107" s="4" t="s">
        <v>160</v>
      </c>
    </row>
    <row r="108" spans="2:11" hidden="1" x14ac:dyDescent="0.2">
      <c r="B108" s="4" t="s">
        <v>250</v>
      </c>
      <c r="E108" s="4" t="s">
        <v>228</v>
      </c>
      <c r="F108" s="4">
        <v>180</v>
      </c>
      <c r="G108" s="4" t="s">
        <v>251</v>
      </c>
      <c r="J108" s="4" t="s">
        <v>230</v>
      </c>
      <c r="K108" s="4" t="s">
        <v>245</v>
      </c>
    </row>
    <row r="109" spans="2:11" hidden="1" x14ac:dyDescent="0.2">
      <c r="B109" s="4" t="s">
        <v>252</v>
      </c>
      <c r="E109" s="4" t="s">
        <v>228</v>
      </c>
      <c r="F109" s="4">
        <v>1020</v>
      </c>
      <c r="G109" s="4" t="s">
        <v>253</v>
      </c>
      <c r="J109" s="4" t="s">
        <v>230</v>
      </c>
      <c r="K109" s="4" t="s">
        <v>157</v>
      </c>
    </row>
    <row r="110" spans="2:11" hidden="1" x14ac:dyDescent="0.2">
      <c r="B110" s="4" t="s">
        <v>254</v>
      </c>
      <c r="E110" s="4" t="s">
        <v>228</v>
      </c>
      <c r="F110" s="4">
        <v>180</v>
      </c>
      <c r="G110" s="4" t="s">
        <v>255</v>
      </c>
      <c r="J110" s="4" t="s">
        <v>230</v>
      </c>
      <c r="K110" s="4" t="s">
        <v>160</v>
      </c>
    </row>
    <row r="111" spans="2:11" hidden="1" x14ac:dyDescent="0.2">
      <c r="B111" s="4" t="s">
        <v>256</v>
      </c>
      <c r="E111" s="4" t="s">
        <v>228</v>
      </c>
      <c r="F111" s="4">
        <v>180</v>
      </c>
      <c r="G111" s="4" t="s">
        <v>257</v>
      </c>
      <c r="J111" s="4" t="s">
        <v>230</v>
      </c>
      <c r="K111" s="4" t="s">
        <v>245</v>
      </c>
    </row>
    <row r="112" spans="2:11" hidden="1" x14ac:dyDescent="0.2">
      <c r="B112" s="4" t="s">
        <v>258</v>
      </c>
      <c r="E112" s="4" t="s">
        <v>228</v>
      </c>
      <c r="F112" s="4">
        <v>1020</v>
      </c>
      <c r="G112" s="4" t="s">
        <v>259</v>
      </c>
      <c r="J112" s="4" t="s">
        <v>230</v>
      </c>
      <c r="K112" s="4" t="s">
        <v>157</v>
      </c>
    </row>
    <row r="113" spans="2:11" hidden="1" x14ac:dyDescent="0.2">
      <c r="B113" s="4" t="s">
        <v>260</v>
      </c>
      <c r="E113" s="4" t="s">
        <v>228</v>
      </c>
      <c r="F113" s="4">
        <v>180</v>
      </c>
      <c r="G113" s="4" t="s">
        <v>261</v>
      </c>
      <c r="J113" s="4" t="s">
        <v>230</v>
      </c>
      <c r="K113" s="4" t="s">
        <v>160</v>
      </c>
    </row>
    <row r="114" spans="2:11" hidden="1" x14ac:dyDescent="0.2">
      <c r="B114" s="4" t="s">
        <v>262</v>
      </c>
      <c r="E114" s="4" t="s">
        <v>228</v>
      </c>
      <c r="F114" s="4">
        <v>180</v>
      </c>
      <c r="G114" s="4" t="s">
        <v>263</v>
      </c>
      <c r="J114" s="4" t="s">
        <v>230</v>
      </c>
      <c r="K114" s="4" t="s">
        <v>245</v>
      </c>
    </row>
    <row r="115" spans="2:11" hidden="1" x14ac:dyDescent="0.2">
      <c r="B115" s="4" t="s">
        <v>264</v>
      </c>
      <c r="E115" s="4" t="s">
        <v>228</v>
      </c>
      <c r="F115" s="4">
        <v>1020</v>
      </c>
      <c r="G115" s="4" t="s">
        <v>265</v>
      </c>
      <c r="J115" s="4" t="s">
        <v>230</v>
      </c>
      <c r="K115" s="4" t="s">
        <v>157</v>
      </c>
    </row>
    <row r="116" spans="2:11" hidden="1" x14ac:dyDescent="0.2">
      <c r="B116" s="4" t="s">
        <v>266</v>
      </c>
      <c r="E116" s="4" t="s">
        <v>228</v>
      </c>
      <c r="F116" s="4">
        <v>180</v>
      </c>
      <c r="G116" s="4" t="s">
        <v>267</v>
      </c>
      <c r="J116" s="4" t="s">
        <v>230</v>
      </c>
      <c r="K116" s="4" t="s">
        <v>160</v>
      </c>
    </row>
    <row r="117" spans="2:11" hidden="1" x14ac:dyDescent="0.2">
      <c r="B117" s="4" t="s">
        <v>268</v>
      </c>
      <c r="E117" s="4" t="s">
        <v>228</v>
      </c>
      <c r="F117" s="4">
        <v>180</v>
      </c>
      <c r="G117" s="4" t="s">
        <v>269</v>
      </c>
      <c r="J117" s="4" t="s">
        <v>230</v>
      </c>
      <c r="K117" s="4" t="s">
        <v>245</v>
      </c>
    </row>
    <row r="118" spans="2:11" hidden="1" x14ac:dyDescent="0.2">
      <c r="B118" s="4" t="s">
        <v>270</v>
      </c>
      <c r="E118" s="4" t="s">
        <v>228</v>
      </c>
      <c r="F118" s="4">
        <v>1020</v>
      </c>
      <c r="G118" s="4" t="s">
        <v>271</v>
      </c>
      <c r="J118" s="4" t="s">
        <v>230</v>
      </c>
      <c r="K118" s="4" t="s">
        <v>157</v>
      </c>
    </row>
    <row r="119" spans="2:11" hidden="1" x14ac:dyDescent="0.2">
      <c r="B119" s="4" t="s">
        <v>272</v>
      </c>
      <c r="E119" s="4" t="s">
        <v>228</v>
      </c>
      <c r="F119" s="4">
        <v>180</v>
      </c>
      <c r="G119" s="4" t="s">
        <v>273</v>
      </c>
      <c r="J119" s="4" t="s">
        <v>230</v>
      </c>
      <c r="K119" s="4" t="s">
        <v>160</v>
      </c>
    </row>
    <row r="120" spans="2:11" hidden="1" x14ac:dyDescent="0.2">
      <c r="B120" s="4" t="s">
        <v>274</v>
      </c>
      <c r="E120" s="4" t="s">
        <v>228</v>
      </c>
      <c r="F120" s="4">
        <v>180</v>
      </c>
      <c r="G120" s="4" t="s">
        <v>275</v>
      </c>
      <c r="J120" s="4" t="s">
        <v>230</v>
      </c>
      <c r="K120" s="4" t="s">
        <v>245</v>
      </c>
    </row>
    <row r="121" spans="2:11" hidden="1" x14ac:dyDescent="0.2">
      <c r="B121" s="4" t="s">
        <v>276</v>
      </c>
      <c r="E121" s="4" t="s">
        <v>228</v>
      </c>
      <c r="F121" s="4">
        <v>1020</v>
      </c>
      <c r="G121" s="4" t="s">
        <v>277</v>
      </c>
      <c r="J121" s="4" t="s">
        <v>230</v>
      </c>
      <c r="K121" s="4" t="s">
        <v>157</v>
      </c>
    </row>
    <row r="122" spans="2:11" hidden="1" x14ac:dyDescent="0.2">
      <c r="B122" s="4" t="s">
        <v>278</v>
      </c>
      <c r="E122" s="4" t="s">
        <v>228</v>
      </c>
      <c r="F122" s="4">
        <v>180</v>
      </c>
      <c r="G122" s="4" t="s">
        <v>279</v>
      </c>
      <c r="J122" s="4" t="s">
        <v>230</v>
      </c>
      <c r="K122" s="4" t="s">
        <v>160</v>
      </c>
    </row>
    <row r="123" spans="2:11" hidden="1" x14ac:dyDescent="0.2">
      <c r="B123" s="4" t="s">
        <v>280</v>
      </c>
      <c r="E123" s="4" t="s">
        <v>228</v>
      </c>
      <c r="F123" s="4">
        <v>180</v>
      </c>
      <c r="G123" s="4" t="s">
        <v>281</v>
      </c>
      <c r="J123" s="4" t="s">
        <v>230</v>
      </c>
      <c r="K123" s="4" t="s">
        <v>245</v>
      </c>
    </row>
    <row r="124" spans="2:11" hidden="1" x14ac:dyDescent="0.2">
      <c r="B124" s="4" t="s">
        <v>282</v>
      </c>
      <c r="E124" s="4" t="s">
        <v>228</v>
      </c>
      <c r="F124" s="4">
        <v>1020</v>
      </c>
      <c r="G124" s="4" t="s">
        <v>283</v>
      </c>
      <c r="J124" s="4" t="s">
        <v>230</v>
      </c>
      <c r="K124" s="4" t="s">
        <v>157</v>
      </c>
    </row>
    <row r="125" spans="2:11" hidden="1" x14ac:dyDescent="0.2">
      <c r="B125" s="4" t="s">
        <v>284</v>
      </c>
      <c r="E125" s="4" t="s">
        <v>228</v>
      </c>
      <c r="F125" s="4">
        <v>180</v>
      </c>
      <c r="G125" s="4" t="s">
        <v>285</v>
      </c>
      <c r="J125" s="4" t="s">
        <v>230</v>
      </c>
      <c r="K125" s="4" t="s">
        <v>160</v>
      </c>
    </row>
    <row r="126" spans="2:11" hidden="1" x14ac:dyDescent="0.2">
      <c r="B126" s="4" t="s">
        <v>286</v>
      </c>
      <c r="E126" s="4" t="s">
        <v>228</v>
      </c>
      <c r="F126" s="4">
        <v>180</v>
      </c>
      <c r="G126" s="4" t="s">
        <v>287</v>
      </c>
      <c r="J126" s="4" t="s">
        <v>230</v>
      </c>
      <c r="K126" s="4" t="s">
        <v>245</v>
      </c>
    </row>
    <row r="127" spans="2:11" hidden="1" x14ac:dyDescent="0.2">
      <c r="B127" s="4" t="s">
        <v>288</v>
      </c>
      <c r="E127" s="4" t="s">
        <v>228</v>
      </c>
      <c r="F127" s="4">
        <v>1020</v>
      </c>
      <c r="G127" s="4" t="s">
        <v>289</v>
      </c>
      <c r="J127" s="4" t="s">
        <v>230</v>
      </c>
      <c r="K127" s="4" t="s">
        <v>157</v>
      </c>
    </row>
    <row r="128" spans="2:11" hidden="1" x14ac:dyDescent="0.2">
      <c r="B128" s="4" t="s">
        <v>290</v>
      </c>
      <c r="E128" s="4" t="s">
        <v>228</v>
      </c>
      <c r="F128" s="4">
        <v>180</v>
      </c>
      <c r="G128" s="4" t="s">
        <v>291</v>
      </c>
      <c r="J128" s="4" t="s">
        <v>230</v>
      </c>
      <c r="K128" s="4" t="s">
        <v>160</v>
      </c>
    </row>
    <row r="129" spans="2:11" hidden="1" x14ac:dyDescent="0.2">
      <c r="B129" s="4" t="s">
        <v>292</v>
      </c>
      <c r="E129" s="4" t="s">
        <v>228</v>
      </c>
      <c r="F129" s="4">
        <v>180</v>
      </c>
      <c r="G129" s="4" t="s">
        <v>293</v>
      </c>
      <c r="J129" s="4" t="s">
        <v>230</v>
      </c>
      <c r="K129" s="4" t="s">
        <v>245</v>
      </c>
    </row>
    <row r="130" spans="2:11" hidden="1" x14ac:dyDescent="0.2">
      <c r="B130" s="4" t="s">
        <v>294</v>
      </c>
      <c r="E130" s="4" t="s">
        <v>228</v>
      </c>
      <c r="F130" s="4">
        <v>1020</v>
      </c>
      <c r="G130" s="4" t="s">
        <v>295</v>
      </c>
      <c r="J130" s="4" t="s">
        <v>230</v>
      </c>
      <c r="K130" s="4" t="s">
        <v>157</v>
      </c>
    </row>
    <row r="131" spans="2:11" hidden="1" x14ac:dyDescent="0.2">
      <c r="B131" s="4" t="s">
        <v>296</v>
      </c>
      <c r="E131" s="4" t="s">
        <v>228</v>
      </c>
      <c r="F131" s="4">
        <v>180</v>
      </c>
      <c r="G131" s="4" t="s">
        <v>297</v>
      </c>
      <c r="J131" s="4" t="s">
        <v>230</v>
      </c>
      <c r="K131" s="4" t="s">
        <v>160</v>
      </c>
    </row>
    <row r="132" spans="2:11" hidden="1" x14ac:dyDescent="0.2">
      <c r="B132" s="4" t="s">
        <v>298</v>
      </c>
      <c r="E132" s="4" t="s">
        <v>228</v>
      </c>
      <c r="F132" s="4">
        <v>180</v>
      </c>
      <c r="G132" s="4" t="s">
        <v>299</v>
      </c>
      <c r="J132" s="4" t="s">
        <v>230</v>
      </c>
      <c r="K132" s="4" t="s">
        <v>245</v>
      </c>
    </row>
    <row r="133" spans="2:11" hidden="1" x14ac:dyDescent="0.2">
      <c r="B133" s="4" t="s">
        <v>300</v>
      </c>
      <c r="E133" s="4" t="s">
        <v>228</v>
      </c>
      <c r="F133" s="4">
        <v>12540</v>
      </c>
      <c r="G133" s="4" t="s">
        <v>301</v>
      </c>
      <c r="J133" s="4" t="s">
        <v>230</v>
      </c>
      <c r="K133" s="4" t="s">
        <v>302</v>
      </c>
    </row>
    <row r="134" spans="2:11" hidden="1" x14ac:dyDescent="0.2"/>
    <row r="135" spans="2:11" hidden="1" x14ac:dyDescent="0.2">
      <c r="B135" s="4" t="s">
        <v>303</v>
      </c>
    </row>
    <row r="136" spans="2:11" hidden="1" x14ac:dyDescent="0.2">
      <c r="B136" s="4" t="s">
        <v>304</v>
      </c>
      <c r="E136" s="4" t="s">
        <v>305</v>
      </c>
    </row>
    <row r="137" spans="2:11" hidden="1" x14ac:dyDescent="0.2">
      <c r="B137" s="4" t="s">
        <v>306</v>
      </c>
      <c r="E137" s="4" t="s">
        <v>305</v>
      </c>
    </row>
    <row r="138" spans="2:11" hidden="1" x14ac:dyDescent="0.2">
      <c r="B138" s="4" t="s">
        <v>307</v>
      </c>
      <c r="E138" s="4" t="s">
        <v>305</v>
      </c>
    </row>
    <row r="139" spans="2:11" hidden="1" x14ac:dyDescent="0.2">
      <c r="B139" s="4" t="s">
        <v>308</v>
      </c>
      <c r="E139" s="4" t="s">
        <v>305</v>
      </c>
    </row>
    <row r="140" spans="2:11" hidden="1" x14ac:dyDescent="0.2">
      <c r="B140" s="4" t="s">
        <v>309</v>
      </c>
      <c r="E140" s="4" t="s">
        <v>305</v>
      </c>
    </row>
    <row r="141" spans="2:11" hidden="1" x14ac:dyDescent="0.2">
      <c r="B141" s="4" t="s">
        <v>310</v>
      </c>
      <c r="E141" s="4" t="s">
        <v>305</v>
      </c>
    </row>
    <row r="142" spans="2:11" hidden="1" x14ac:dyDescent="0.2"/>
    <row r="143" spans="2:11" hidden="1" x14ac:dyDescent="0.2"/>
  </sheetData>
  <autoFilter ref="A1:N35" xr:uid="{2E9DC9C1-ABE9-4C74-8C0A-F769CBEC5074}">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3">
    <mergeCell ref="P3:S12"/>
    <mergeCell ref="T3:W12"/>
    <mergeCell ref="A1:N1"/>
  </mergeCells>
  <phoneticPr fontId="4"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DE616B5-834A-4226-8311-6255A1D03FA2}">
          <x14:formula1>
            <xm:f>Data!$A$2:$A$200</xm:f>
          </x14:formula1>
          <xm:sqref>A3:A10 A30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U131"/>
  <sheetViews>
    <sheetView zoomScale="90" zoomScaleNormal="90" workbookViewId="0">
      <selection sqref="A1:Y1"/>
    </sheetView>
  </sheetViews>
  <sheetFormatPr defaultColWidth="9.28515625" defaultRowHeight="14.25" x14ac:dyDescent="0.2"/>
  <cols>
    <col min="1" max="1" width="23.85546875" style="62" customWidth="1"/>
    <col min="2" max="2" width="22.5703125" style="64" customWidth="1"/>
    <col min="3" max="3" width="26.140625" style="62" customWidth="1"/>
    <col min="4" max="4" width="42.5703125" style="62" customWidth="1"/>
    <col min="5" max="5" width="25" style="62" customWidth="1"/>
    <col min="6" max="6" width="21.7109375" style="62" customWidth="1"/>
    <col min="7" max="8" width="27.5703125" style="65" customWidth="1"/>
    <col min="9" max="9" width="71.5703125" style="62" customWidth="1"/>
    <col min="10" max="10" width="12.140625" style="62" customWidth="1"/>
    <col min="11" max="11" width="14.140625" style="62" customWidth="1"/>
    <col min="12" max="12" width="7" style="62" customWidth="1"/>
    <col min="13" max="13" width="7.85546875" style="62" customWidth="1"/>
    <col min="14" max="14" width="8.7109375" style="62" customWidth="1"/>
    <col min="15" max="15" width="7" style="62" customWidth="1"/>
    <col min="16" max="16" width="10.7109375" style="62" customWidth="1"/>
    <col min="17" max="17" width="7.5703125" style="62" customWidth="1"/>
    <col min="18" max="21" width="7" style="62" customWidth="1"/>
    <col min="22" max="22" width="7.7109375" style="62" customWidth="1"/>
    <col min="23" max="24" width="7" style="62" customWidth="1"/>
    <col min="25" max="26" width="9.28515625" style="62"/>
    <col min="27" max="30" width="7.7109375" style="62" customWidth="1"/>
    <col min="31" max="31" width="9.7109375" style="62" customWidth="1"/>
    <col min="32" max="32" width="7.5703125" style="62" customWidth="1"/>
    <col min="33" max="33" width="11.42578125" style="62" customWidth="1"/>
    <col min="34" max="36" width="7.7109375" style="62" customWidth="1"/>
    <col min="37" max="37" width="13.7109375" style="62" customWidth="1"/>
    <col min="38" max="41" width="7.42578125" style="62" customWidth="1"/>
    <col min="42" max="43" width="9.7109375" style="62" bestFit="1" customWidth="1"/>
    <col min="44" max="16384" width="9.28515625" style="62"/>
  </cols>
  <sheetData>
    <row r="1" spans="1:47" ht="31.9" customHeight="1" x14ac:dyDescent="0.2">
      <c r="A1" s="427" t="str">
        <f>"Envelope - "&amp;Prototype!A2</f>
        <v>Envelope - ApartmentHighRise</v>
      </c>
      <c r="B1" s="427"/>
      <c r="C1" s="427"/>
      <c r="D1" s="427"/>
      <c r="E1" s="427"/>
      <c r="F1" s="427"/>
      <c r="G1" s="427"/>
      <c r="H1" s="427"/>
      <c r="I1" s="427"/>
      <c r="J1" s="427"/>
      <c r="K1" s="427"/>
      <c r="L1" s="427"/>
      <c r="M1" s="427"/>
      <c r="N1" s="427"/>
      <c r="O1" s="427"/>
      <c r="P1" s="427"/>
      <c r="Q1" s="427"/>
      <c r="R1" s="427"/>
      <c r="S1" s="427"/>
      <c r="T1" s="427"/>
      <c r="U1" s="427"/>
      <c r="V1" s="427"/>
      <c r="W1" s="427"/>
      <c r="X1" s="427"/>
      <c r="Y1" s="427"/>
      <c r="Z1" s="2"/>
      <c r="AA1" s="2"/>
      <c r="AB1" s="2"/>
      <c r="AC1" s="2"/>
      <c r="AD1" s="2"/>
      <c r="AE1" s="2"/>
      <c r="AF1" s="2"/>
      <c r="AG1" s="2"/>
      <c r="AH1" s="2"/>
      <c r="AI1" s="2"/>
      <c r="AJ1" s="2"/>
      <c r="AK1" s="2"/>
      <c r="AL1" s="2"/>
      <c r="AM1" s="2"/>
      <c r="AN1" s="2"/>
      <c r="AO1" s="2"/>
      <c r="AP1" s="2"/>
      <c r="AQ1" s="2"/>
      <c r="AR1" s="2"/>
      <c r="AS1" s="2"/>
      <c r="AT1" s="2"/>
      <c r="AU1" s="2"/>
    </row>
    <row r="2" spans="1:47" ht="29.25" customHeight="1" x14ac:dyDescent="0.2">
      <c r="A2" s="201" t="s">
        <v>311</v>
      </c>
      <c r="B2" s="190" t="s">
        <v>6</v>
      </c>
      <c r="C2" s="190" t="s">
        <v>312</v>
      </c>
      <c r="D2" s="190" t="s">
        <v>313</v>
      </c>
      <c r="E2" s="277" t="s">
        <v>314</v>
      </c>
      <c r="F2" s="190" t="s">
        <v>315</v>
      </c>
      <c r="G2" s="85" t="s">
        <v>316</v>
      </c>
      <c r="H2" s="336"/>
      <c r="I2" s="278" t="s">
        <v>317</v>
      </c>
      <c r="J2" s="190" t="s">
        <v>318</v>
      </c>
      <c r="K2" s="190" t="s">
        <v>319</v>
      </c>
      <c r="L2" s="190" t="s">
        <v>320</v>
      </c>
      <c r="M2" s="190" t="s">
        <v>321</v>
      </c>
      <c r="N2" s="190" t="s">
        <v>322</v>
      </c>
      <c r="O2" s="190" t="s">
        <v>323</v>
      </c>
      <c r="P2" s="190" t="s">
        <v>324</v>
      </c>
      <c r="Q2" s="190" t="s">
        <v>325</v>
      </c>
      <c r="R2" s="190" t="s">
        <v>326</v>
      </c>
      <c r="S2" s="190" t="s">
        <v>327</v>
      </c>
      <c r="T2" s="190" t="s">
        <v>328</v>
      </c>
      <c r="U2" s="190" t="s">
        <v>329</v>
      </c>
      <c r="V2" s="190" t="s">
        <v>330</v>
      </c>
      <c r="W2" s="190" t="s">
        <v>331</v>
      </c>
      <c r="X2" s="190" t="s">
        <v>332</v>
      </c>
      <c r="Y2" s="202" t="s">
        <v>333</v>
      </c>
      <c r="Z2" s="2"/>
      <c r="AA2" s="2"/>
      <c r="AB2" s="2"/>
      <c r="AC2" s="2"/>
      <c r="AD2" s="2"/>
      <c r="AE2" s="2"/>
      <c r="AF2" s="2"/>
      <c r="AG2" s="2"/>
      <c r="AH2" s="2"/>
      <c r="AI2" s="2"/>
      <c r="AJ2" s="2"/>
      <c r="AK2" s="2"/>
      <c r="AL2" s="2"/>
      <c r="AM2" s="2"/>
      <c r="AN2" s="2"/>
      <c r="AO2" s="2"/>
      <c r="AP2" s="2"/>
      <c r="AQ2" s="2"/>
      <c r="AR2" s="2"/>
      <c r="AS2" s="2"/>
      <c r="AT2" s="2"/>
      <c r="AU2" s="2"/>
    </row>
    <row r="3" spans="1:47" ht="51" customHeight="1" x14ac:dyDescent="0.2">
      <c r="A3" s="431" t="s">
        <v>334</v>
      </c>
      <c r="B3" s="424" t="str">
        <f>Prototype!$A$2</f>
        <v>ApartmentHighRise</v>
      </c>
      <c r="C3" s="421" t="s">
        <v>335</v>
      </c>
      <c r="D3" s="421" t="s">
        <v>336</v>
      </c>
      <c r="E3" s="430" t="s">
        <v>337</v>
      </c>
      <c r="F3" s="365" t="s">
        <v>338</v>
      </c>
      <c r="G3" s="365" t="s">
        <v>339</v>
      </c>
      <c r="H3" s="365"/>
      <c r="I3" s="364" t="s">
        <v>724</v>
      </c>
      <c r="J3" s="266">
        <v>0.35199999999999998</v>
      </c>
      <c r="K3" s="266">
        <v>0.35199999999999998</v>
      </c>
      <c r="L3" s="266">
        <v>0.35199999999999998</v>
      </c>
      <c r="M3" s="266">
        <v>0.35199999999999998</v>
      </c>
      <c r="N3" s="266">
        <v>0.35199999999999998</v>
      </c>
      <c r="O3" s="266">
        <v>0.35199999999999998</v>
      </c>
      <c r="P3" s="266">
        <v>0.35199999999999998</v>
      </c>
      <c r="Q3" s="266">
        <v>0.35199999999999998</v>
      </c>
      <c r="R3" s="266">
        <v>0.35199999999999998</v>
      </c>
      <c r="S3" s="266">
        <v>0.35199999999999998</v>
      </c>
      <c r="T3" s="266">
        <v>0.35199999999999998</v>
      </c>
      <c r="U3" s="266">
        <v>0.35199999999999998</v>
      </c>
      <c r="V3" s="266">
        <v>0.35199999999999998</v>
      </c>
      <c r="W3" s="266">
        <v>0.35199999999999998</v>
      </c>
      <c r="X3" s="266">
        <v>0.35199999999999998</v>
      </c>
      <c r="Y3" s="266">
        <v>0.35199999999999998</v>
      </c>
      <c r="Z3" s="2"/>
      <c r="AA3" s="2"/>
      <c r="AB3" s="2"/>
      <c r="AC3" s="2"/>
      <c r="AD3" s="2"/>
      <c r="AE3" s="2"/>
      <c r="AF3" s="2"/>
      <c r="AG3" s="2"/>
      <c r="AH3" s="2"/>
      <c r="AI3" s="2"/>
      <c r="AJ3" s="2"/>
      <c r="AK3" s="2"/>
      <c r="AL3" s="2"/>
      <c r="AM3" s="2"/>
      <c r="AN3" s="2"/>
      <c r="AO3" s="2"/>
      <c r="AP3" s="2"/>
      <c r="AQ3" s="2"/>
      <c r="AR3" s="2"/>
      <c r="AS3" s="2"/>
      <c r="AT3" s="2"/>
      <c r="AU3" s="2"/>
    </row>
    <row r="4" spans="1:47" ht="25.5" customHeight="1" x14ac:dyDescent="0.2">
      <c r="A4" s="431"/>
      <c r="B4" s="425"/>
      <c r="C4" s="421"/>
      <c r="D4" s="421"/>
      <c r="E4" s="430"/>
      <c r="F4" s="268" t="s">
        <v>340</v>
      </c>
      <c r="G4" s="268">
        <v>1986</v>
      </c>
      <c r="H4" s="268"/>
      <c r="I4" s="279" t="s">
        <v>725</v>
      </c>
      <c r="J4" s="268">
        <v>0.21299999999999999</v>
      </c>
      <c r="K4" s="268">
        <v>0.22700000000000001</v>
      </c>
      <c r="L4" s="268">
        <v>0.22700000000000001</v>
      </c>
      <c r="M4" s="268">
        <v>0.217</v>
      </c>
      <c r="N4" s="268">
        <v>0.217</v>
      </c>
      <c r="O4" s="268">
        <v>0.25600000000000001</v>
      </c>
      <c r="P4" s="268">
        <v>0.25600000000000001</v>
      </c>
      <c r="Q4" s="268">
        <v>0.25600000000000001</v>
      </c>
      <c r="R4" s="268">
        <v>0.25600000000000001</v>
      </c>
      <c r="S4" s="268">
        <v>0.25600000000000001</v>
      </c>
      <c r="T4" s="268">
        <v>0.23799999999999999</v>
      </c>
      <c r="U4" s="268">
        <v>0.23799999999999999</v>
      </c>
      <c r="V4" s="268">
        <v>0.23799999999999999</v>
      </c>
      <c r="W4" s="268">
        <v>0.20799999999999999</v>
      </c>
      <c r="X4" s="268">
        <v>0.20799999999999999</v>
      </c>
      <c r="Y4" s="268">
        <v>0.21299999999999999</v>
      </c>
      <c r="Z4" s="2"/>
      <c r="AA4" s="2"/>
      <c r="AB4" s="2"/>
      <c r="AC4" s="2"/>
      <c r="AD4" s="2"/>
      <c r="AE4" s="2"/>
      <c r="AF4" s="2"/>
      <c r="AG4" s="2"/>
      <c r="AH4" s="2"/>
      <c r="AI4" s="2"/>
      <c r="AJ4" s="2"/>
      <c r="AK4" s="2"/>
      <c r="AL4" s="2"/>
      <c r="AM4" s="2"/>
      <c r="AN4" s="2"/>
      <c r="AO4" s="2"/>
      <c r="AP4" s="2"/>
      <c r="AQ4" s="2"/>
      <c r="AR4" s="2"/>
      <c r="AS4" s="2"/>
      <c r="AT4" s="2"/>
      <c r="AU4" s="2"/>
    </row>
    <row r="5" spans="1:47" ht="15" customHeight="1" x14ac:dyDescent="0.2">
      <c r="A5" s="431"/>
      <c r="B5" s="425"/>
      <c r="C5" s="421"/>
      <c r="D5" s="421"/>
      <c r="E5" s="430"/>
      <c r="F5" s="276" t="s">
        <v>341</v>
      </c>
      <c r="G5" s="276">
        <v>2001</v>
      </c>
      <c r="H5" s="276"/>
      <c r="I5" s="276" t="s">
        <v>726</v>
      </c>
      <c r="J5" s="276">
        <v>0.182</v>
      </c>
      <c r="K5" s="276">
        <v>0.182</v>
      </c>
      <c r="L5" s="276">
        <v>0.189</v>
      </c>
      <c r="M5" s="276">
        <v>0.189</v>
      </c>
      <c r="N5" s="276">
        <v>0.189</v>
      </c>
      <c r="O5" s="276">
        <v>0.189</v>
      </c>
      <c r="P5" s="276">
        <v>0.189</v>
      </c>
      <c r="Q5" s="276">
        <v>0.189</v>
      </c>
      <c r="R5" s="276">
        <v>0.189</v>
      </c>
      <c r="S5" s="276">
        <v>0.182</v>
      </c>
      <c r="T5" s="276">
        <v>0.182</v>
      </c>
      <c r="U5" s="276">
        <v>0.182</v>
      </c>
      <c r="V5" s="276">
        <v>0.182</v>
      </c>
      <c r="W5" s="276">
        <v>0.182</v>
      </c>
      <c r="X5" s="276">
        <v>0.182</v>
      </c>
      <c r="Y5" s="276">
        <v>0.182</v>
      </c>
      <c r="Z5" s="2"/>
      <c r="AA5" s="2"/>
      <c r="AB5" s="2"/>
      <c r="AC5" s="2"/>
      <c r="AD5" s="2"/>
      <c r="AE5" s="2"/>
      <c r="AF5" s="2"/>
      <c r="AG5" s="2"/>
      <c r="AH5" s="2"/>
      <c r="AI5" s="2"/>
      <c r="AJ5" s="2"/>
      <c r="AK5" s="2"/>
      <c r="AL5" s="2"/>
      <c r="AM5" s="2"/>
      <c r="AN5" s="2"/>
      <c r="AO5" s="2"/>
      <c r="AP5" s="2"/>
      <c r="AQ5" s="2"/>
      <c r="AR5" s="2"/>
      <c r="AS5" s="2"/>
      <c r="AT5" s="2"/>
      <c r="AU5" s="2"/>
    </row>
    <row r="6" spans="1:47" ht="15" x14ac:dyDescent="0.25">
      <c r="A6" s="431"/>
      <c r="B6" s="425"/>
      <c r="C6" s="421"/>
      <c r="D6" s="421"/>
      <c r="E6" s="430"/>
      <c r="F6" s="275" t="s">
        <v>343</v>
      </c>
      <c r="G6" s="275">
        <v>2013</v>
      </c>
      <c r="H6" s="275"/>
      <c r="I6" s="275" t="s">
        <v>375</v>
      </c>
      <c r="J6" s="269">
        <v>9.8000000000000004E-2</v>
      </c>
      <c r="K6" s="269">
        <v>6.2E-2</v>
      </c>
      <c r="L6" s="269">
        <v>8.2000000000000003E-2</v>
      </c>
      <c r="M6" s="269">
        <v>6.2E-2</v>
      </c>
      <c r="N6" s="269">
        <v>6.2E-2</v>
      </c>
      <c r="O6" s="269">
        <v>9.8000000000000004E-2</v>
      </c>
      <c r="P6" s="269">
        <v>9.8000000000000004E-2</v>
      </c>
      <c r="Q6" s="269">
        <v>6.2E-2</v>
      </c>
      <c r="R6" s="269">
        <v>6.2E-2</v>
      </c>
      <c r="S6" s="269">
        <v>6.2E-2</v>
      </c>
      <c r="T6" s="269">
        <v>6.2E-2</v>
      </c>
      <c r="U6" s="269">
        <v>6.2E-2</v>
      </c>
      <c r="V6" s="269">
        <v>6.2E-2</v>
      </c>
      <c r="W6" s="269">
        <v>6.2E-2</v>
      </c>
      <c r="X6" s="269">
        <v>6.2E-2</v>
      </c>
      <c r="Y6" s="269">
        <v>6.2E-2</v>
      </c>
      <c r="Z6" s="2"/>
      <c r="AA6" s="2"/>
      <c r="AB6" s="2"/>
      <c r="AC6" s="2"/>
      <c r="AD6" s="2"/>
      <c r="AE6" s="2"/>
      <c r="AF6" s="2"/>
      <c r="AG6" s="2"/>
      <c r="AH6" s="2"/>
      <c r="AI6" s="2"/>
      <c r="AJ6" s="2"/>
      <c r="AK6"/>
      <c r="AL6"/>
      <c r="AM6"/>
      <c r="AN6"/>
      <c r="AO6"/>
      <c r="AP6"/>
      <c r="AQ6"/>
      <c r="AR6"/>
      <c r="AS6"/>
      <c r="AT6"/>
      <c r="AU6"/>
    </row>
    <row r="7" spans="1:47" ht="38.25" customHeight="1" x14ac:dyDescent="0.25">
      <c r="A7" s="431"/>
      <c r="B7" s="426"/>
      <c r="C7" s="421"/>
      <c r="D7" s="421"/>
      <c r="E7" s="430"/>
      <c r="F7" s="274" t="s">
        <v>345</v>
      </c>
      <c r="G7" s="270">
        <v>2025</v>
      </c>
      <c r="H7" s="270"/>
      <c r="I7" s="280" t="s">
        <v>727</v>
      </c>
      <c r="J7" s="270">
        <v>0.06</v>
      </c>
      <c r="K7" s="270">
        <v>5.5E-2</v>
      </c>
      <c r="L7" s="270">
        <v>7.0999999999999994E-2</v>
      </c>
      <c r="M7" s="270">
        <v>5.5E-2</v>
      </c>
      <c r="N7" s="270">
        <v>5.5E-2</v>
      </c>
      <c r="O7" s="270">
        <v>0.06</v>
      </c>
      <c r="P7" s="270">
        <v>0.06</v>
      </c>
      <c r="Q7" s="270">
        <v>5.5E-2</v>
      </c>
      <c r="R7" s="270">
        <v>5.5E-2</v>
      </c>
      <c r="S7" s="270">
        <v>5.5E-2</v>
      </c>
      <c r="T7" s="270">
        <v>5.5E-2</v>
      </c>
      <c r="U7" s="270">
        <v>5.5E-2</v>
      </c>
      <c r="V7" s="270">
        <v>5.5E-2</v>
      </c>
      <c r="W7" s="270">
        <v>5.5E-2</v>
      </c>
      <c r="X7" s="270">
        <v>5.5E-2</v>
      </c>
      <c r="Y7" s="270">
        <v>5.5E-2</v>
      </c>
      <c r="Z7" s="2"/>
      <c r="AA7" s="2"/>
      <c r="AB7" s="2"/>
      <c r="AC7" s="2"/>
      <c r="AD7" s="2"/>
      <c r="AE7" s="2"/>
      <c r="AF7" s="2"/>
      <c r="AG7" s="2"/>
      <c r="AH7" s="2"/>
      <c r="AI7" s="2"/>
      <c r="AJ7" s="2"/>
      <c r="AK7"/>
      <c r="AL7"/>
      <c r="AM7"/>
      <c r="AN7"/>
      <c r="AO7"/>
      <c r="AP7"/>
      <c r="AQ7"/>
      <c r="AR7"/>
      <c r="AS7"/>
      <c r="AT7"/>
      <c r="AU7"/>
    </row>
    <row r="8" spans="1:47" ht="15" x14ac:dyDescent="0.25">
      <c r="A8" s="422" t="s">
        <v>346</v>
      </c>
      <c r="B8" s="424" t="str">
        <f>Prototype!$A$2</f>
        <v>ApartmentHighRise</v>
      </c>
      <c r="C8" s="421" t="s">
        <v>347</v>
      </c>
      <c r="D8" s="421" t="s">
        <v>348</v>
      </c>
      <c r="E8" s="430" t="s">
        <v>337</v>
      </c>
      <c r="F8" s="365" t="s">
        <v>338</v>
      </c>
      <c r="G8" s="365" t="s">
        <v>339</v>
      </c>
      <c r="H8" s="365"/>
      <c r="I8" s="364" t="s">
        <v>349</v>
      </c>
      <c r="J8" s="266">
        <v>0.29199999999999998</v>
      </c>
      <c r="K8" s="266">
        <v>0.29199999999999998</v>
      </c>
      <c r="L8" s="266">
        <v>0.29199999999999998</v>
      </c>
      <c r="M8" s="266">
        <v>0.29199999999999998</v>
      </c>
      <c r="N8" s="266">
        <v>0.29199999999999998</v>
      </c>
      <c r="O8" s="266">
        <v>0.29199999999999998</v>
      </c>
      <c r="P8" s="266">
        <v>0.29199999999999998</v>
      </c>
      <c r="Q8" s="266">
        <v>0.29199999999999998</v>
      </c>
      <c r="R8" s="266">
        <v>0.29199999999999998</v>
      </c>
      <c r="S8" s="266">
        <v>0.29199999999999998</v>
      </c>
      <c r="T8" s="266">
        <v>0.29199999999999998</v>
      </c>
      <c r="U8" s="266">
        <v>0.29199999999999998</v>
      </c>
      <c r="V8" s="266">
        <v>0.29199999999999998</v>
      </c>
      <c r="W8" s="266">
        <v>0.29199999999999998</v>
      </c>
      <c r="X8" s="266">
        <v>0.29199999999999998</v>
      </c>
      <c r="Y8" s="266">
        <v>0.29199999999999998</v>
      </c>
      <c r="Z8" s="2"/>
      <c r="AA8" s="2"/>
      <c r="AB8"/>
      <c r="AC8"/>
      <c r="AD8"/>
      <c r="AE8"/>
      <c r="AF8"/>
      <c r="AG8"/>
      <c r="AH8"/>
      <c r="AI8"/>
      <c r="AJ8"/>
      <c r="AK8"/>
      <c r="AL8"/>
      <c r="AM8"/>
      <c r="AN8"/>
      <c r="AO8"/>
      <c r="AP8"/>
      <c r="AQ8"/>
      <c r="AR8"/>
      <c r="AS8"/>
      <c r="AT8"/>
      <c r="AU8"/>
    </row>
    <row r="9" spans="1:47" ht="25.5" customHeight="1" x14ac:dyDescent="0.25">
      <c r="A9" s="422"/>
      <c r="B9" s="425"/>
      <c r="C9" s="421"/>
      <c r="D9" s="421"/>
      <c r="E9" s="430"/>
      <c r="F9" s="268" t="s">
        <v>340</v>
      </c>
      <c r="G9" s="268">
        <v>1986</v>
      </c>
      <c r="H9" s="268"/>
      <c r="I9" s="279" t="s">
        <v>350</v>
      </c>
      <c r="J9" s="268">
        <v>9.5000000000000001E-2</v>
      </c>
      <c r="K9" s="268">
        <v>9.5000000000000001E-2</v>
      </c>
      <c r="L9" s="268">
        <v>9.5000000000000001E-2</v>
      </c>
      <c r="M9" s="268">
        <v>9.5000000000000001E-2</v>
      </c>
      <c r="N9" s="268">
        <v>9.5000000000000001E-2</v>
      </c>
      <c r="O9" s="268">
        <v>9.5000000000000001E-2</v>
      </c>
      <c r="P9" s="268">
        <v>9.5000000000000001E-2</v>
      </c>
      <c r="Q9" s="268">
        <v>9.5000000000000001E-2</v>
      </c>
      <c r="R9" s="268">
        <v>9.5000000000000001E-2</v>
      </c>
      <c r="S9" s="268">
        <v>9.5000000000000001E-2</v>
      </c>
      <c r="T9" s="268">
        <v>9.5000000000000001E-2</v>
      </c>
      <c r="U9" s="268">
        <v>9.5000000000000001E-2</v>
      </c>
      <c r="V9" s="268">
        <v>9.5000000000000001E-2</v>
      </c>
      <c r="W9" s="268">
        <v>9.5000000000000001E-2</v>
      </c>
      <c r="X9" s="268">
        <v>9.5000000000000001E-2</v>
      </c>
      <c r="Y9" s="268">
        <v>9.5000000000000001E-2</v>
      </c>
      <c r="Z9" s="2"/>
      <c r="AA9" s="2"/>
      <c r="AB9"/>
      <c r="AC9"/>
      <c r="AD9"/>
      <c r="AE9"/>
      <c r="AF9"/>
      <c r="AG9"/>
      <c r="AH9"/>
      <c r="AI9"/>
      <c r="AJ9"/>
      <c r="AK9"/>
      <c r="AL9"/>
      <c r="AM9"/>
      <c r="AN9"/>
      <c r="AO9"/>
      <c r="AP9"/>
      <c r="AQ9"/>
      <c r="AR9"/>
      <c r="AS9"/>
      <c r="AT9"/>
      <c r="AU9"/>
    </row>
    <row r="10" spans="1:47" ht="15" x14ac:dyDescent="0.25">
      <c r="A10" s="422"/>
      <c r="B10" s="425"/>
      <c r="C10" s="421"/>
      <c r="D10" s="421"/>
      <c r="E10" s="430"/>
      <c r="F10" s="276" t="s">
        <v>341</v>
      </c>
      <c r="G10" s="276">
        <v>2001</v>
      </c>
      <c r="H10" s="276"/>
      <c r="I10" s="276" t="s">
        <v>342</v>
      </c>
      <c r="J10" s="276">
        <v>0.14000000000000001</v>
      </c>
      <c r="K10" s="276">
        <v>0.17499999999999999</v>
      </c>
      <c r="L10" s="276">
        <v>0.18099999999999999</v>
      </c>
      <c r="M10" s="276">
        <v>0.18099999999999999</v>
      </c>
      <c r="N10" s="276">
        <v>0.18099999999999999</v>
      </c>
      <c r="O10" s="276">
        <v>0.18099999999999999</v>
      </c>
      <c r="P10" s="276">
        <v>0.18099999999999999</v>
      </c>
      <c r="Q10" s="276">
        <v>0.18099999999999999</v>
      </c>
      <c r="R10" s="276">
        <v>0.18099999999999999</v>
      </c>
      <c r="S10" s="276">
        <v>0.17499999999999999</v>
      </c>
      <c r="T10" s="276">
        <v>0.17499999999999999</v>
      </c>
      <c r="U10" s="276">
        <v>0.17499999999999999</v>
      </c>
      <c r="V10" s="276">
        <v>0.17499999999999999</v>
      </c>
      <c r="W10" s="276">
        <v>0.17499999999999999</v>
      </c>
      <c r="X10" s="276">
        <v>0.17499999999999999</v>
      </c>
      <c r="Y10" s="276">
        <v>0.14000000000000001</v>
      </c>
      <c r="Z10" s="2"/>
      <c r="AA10" s="2"/>
      <c r="AB10"/>
      <c r="AC10"/>
      <c r="AD10"/>
      <c r="AE10"/>
      <c r="AF10"/>
      <c r="AG10"/>
      <c r="AH10"/>
      <c r="AI10"/>
      <c r="AJ10"/>
      <c r="AK10"/>
      <c r="AL10"/>
      <c r="AM10"/>
      <c r="AN10"/>
      <c r="AO10"/>
      <c r="AP10"/>
      <c r="AQ10"/>
      <c r="AR10"/>
      <c r="AS10"/>
      <c r="AT10"/>
      <c r="AU10"/>
    </row>
    <row r="11" spans="1:47" ht="15" x14ac:dyDescent="0.25">
      <c r="A11" s="422"/>
      <c r="B11" s="425"/>
      <c r="C11" s="421"/>
      <c r="D11" s="421"/>
      <c r="E11" s="430"/>
      <c r="F11" s="275" t="s">
        <v>343</v>
      </c>
      <c r="G11" s="275">
        <v>2013</v>
      </c>
      <c r="H11" s="275"/>
      <c r="I11" s="275" t="s">
        <v>351</v>
      </c>
      <c r="J11" s="269">
        <v>0.105</v>
      </c>
      <c r="K11" s="269">
        <v>0.105</v>
      </c>
      <c r="L11" s="269">
        <v>0.105</v>
      </c>
      <c r="M11" s="269">
        <v>0.105</v>
      </c>
      <c r="N11" s="269">
        <v>0.105</v>
      </c>
      <c r="O11" s="269">
        <v>0.105</v>
      </c>
      <c r="P11" s="269">
        <v>0.105</v>
      </c>
      <c r="Q11" s="269">
        <v>0.105</v>
      </c>
      <c r="R11" s="269">
        <v>0.105</v>
      </c>
      <c r="S11" s="269">
        <v>0.105</v>
      </c>
      <c r="T11" s="269">
        <v>0.105</v>
      </c>
      <c r="U11" s="269">
        <v>0.105</v>
      </c>
      <c r="V11" s="269">
        <v>0.105</v>
      </c>
      <c r="W11" s="269">
        <v>0.105</v>
      </c>
      <c r="X11" s="269">
        <v>0.105</v>
      </c>
      <c r="Y11" s="269">
        <v>0.105</v>
      </c>
      <c r="Z11" s="2"/>
      <c r="AA11" s="2"/>
      <c r="AB11"/>
      <c r="AC11"/>
      <c r="AD11"/>
      <c r="AE11"/>
      <c r="AF11"/>
      <c r="AG11"/>
      <c r="AH11"/>
      <c r="AI11"/>
      <c r="AJ11"/>
      <c r="AK11"/>
      <c r="AL11"/>
      <c r="AM11"/>
      <c r="AN11"/>
      <c r="AO11"/>
      <c r="AP11"/>
      <c r="AQ11"/>
      <c r="AR11"/>
      <c r="AS11"/>
      <c r="AT11"/>
      <c r="AU11"/>
    </row>
    <row r="12" spans="1:47" ht="38.25" customHeight="1" x14ac:dyDescent="0.25">
      <c r="A12" s="422"/>
      <c r="B12" s="426"/>
      <c r="C12" s="421"/>
      <c r="D12" s="421"/>
      <c r="E12" s="430"/>
      <c r="F12" s="274" t="s">
        <v>345</v>
      </c>
      <c r="G12" s="270">
        <v>2025</v>
      </c>
      <c r="H12" s="270"/>
      <c r="I12" s="281" t="s">
        <v>352</v>
      </c>
      <c r="J12" s="271">
        <v>5.0999999999999997E-2</v>
      </c>
      <c r="K12" s="271">
        <v>5.0999999999999997E-2</v>
      </c>
      <c r="L12" s="271">
        <v>5.0999999999999997E-2</v>
      </c>
      <c r="M12" s="271">
        <v>5.0999999999999997E-2</v>
      </c>
      <c r="N12" s="271">
        <v>5.0999999999999997E-2</v>
      </c>
      <c r="O12" s="271">
        <v>6.5000000000000002E-2</v>
      </c>
      <c r="P12" s="271">
        <v>6.5000000000000002E-2</v>
      </c>
      <c r="Q12" s="271">
        <v>5.0999999999999997E-2</v>
      </c>
      <c r="R12" s="271">
        <v>5.0999999999999997E-2</v>
      </c>
      <c r="S12" s="271">
        <v>5.0999999999999997E-2</v>
      </c>
      <c r="T12" s="271">
        <v>5.0999999999999997E-2</v>
      </c>
      <c r="U12" s="271">
        <v>5.0999999999999997E-2</v>
      </c>
      <c r="V12" s="271">
        <v>5.0999999999999997E-2</v>
      </c>
      <c r="W12" s="271">
        <v>5.0999999999999997E-2</v>
      </c>
      <c r="X12" s="271">
        <v>5.0999999999999997E-2</v>
      </c>
      <c r="Y12" s="271">
        <v>5.0999999999999997E-2</v>
      </c>
      <c r="Z12" s="2"/>
      <c r="AA12" s="2"/>
      <c r="AB12"/>
      <c r="AC12"/>
      <c r="AD12"/>
      <c r="AE12"/>
      <c r="AF12"/>
      <c r="AG12"/>
      <c r="AH12"/>
      <c r="AI12"/>
      <c r="AJ12"/>
      <c r="AK12"/>
      <c r="AL12"/>
      <c r="AM12"/>
      <c r="AN12"/>
      <c r="AO12"/>
      <c r="AP12"/>
      <c r="AQ12"/>
      <c r="AR12"/>
      <c r="AS12"/>
      <c r="AT12"/>
      <c r="AU12"/>
    </row>
    <row r="13" spans="1:47" ht="37.5" customHeight="1" x14ac:dyDescent="0.25">
      <c r="A13" s="422" t="s">
        <v>353</v>
      </c>
      <c r="B13" s="424" t="str">
        <f>Prototype!$A$2</f>
        <v>ApartmentHighRise</v>
      </c>
      <c r="C13" s="421" t="s">
        <v>354</v>
      </c>
      <c r="D13" s="428" t="s">
        <v>355</v>
      </c>
      <c r="E13" s="422" t="s">
        <v>337</v>
      </c>
      <c r="F13" s="365" t="s">
        <v>338</v>
      </c>
      <c r="G13" s="365" t="s">
        <v>339</v>
      </c>
      <c r="H13" s="365"/>
      <c r="I13" s="421" t="s">
        <v>356</v>
      </c>
      <c r="J13" s="266">
        <v>3.6999999999999998E-2</v>
      </c>
      <c r="K13" s="266">
        <v>5.0999999999999997E-2</v>
      </c>
      <c r="L13" s="266">
        <v>5.0999999999999997E-2</v>
      </c>
      <c r="M13" s="266">
        <v>5.0999999999999997E-2</v>
      </c>
      <c r="N13" s="266">
        <v>5.0999999999999997E-2</v>
      </c>
      <c r="O13" s="266">
        <v>5.0999999999999997E-2</v>
      </c>
      <c r="P13" s="266">
        <v>5.0999999999999997E-2</v>
      </c>
      <c r="Q13" s="266">
        <v>5.0999999999999997E-2</v>
      </c>
      <c r="R13" s="266">
        <v>5.0999999999999997E-2</v>
      </c>
      <c r="S13" s="266">
        <v>5.0999999999999997E-2</v>
      </c>
      <c r="T13" s="266">
        <v>3.6999999999999998E-2</v>
      </c>
      <c r="U13" s="266">
        <v>3.6999999999999998E-2</v>
      </c>
      <c r="V13" s="266">
        <v>3.6999999999999998E-2</v>
      </c>
      <c r="W13" s="266">
        <v>3.6999999999999998E-2</v>
      </c>
      <c r="X13" s="266">
        <v>3.6999999999999998E-2</v>
      </c>
      <c r="Y13" s="266">
        <v>3.6999999999999998E-2</v>
      </c>
      <c r="Z13" s="2"/>
      <c r="AA13" s="2"/>
      <c r="AB13" s="2"/>
      <c r="AC13" s="2"/>
      <c r="AD13" s="2"/>
      <c r="AE13" s="2"/>
      <c r="AF13" s="2"/>
      <c r="AG13" s="2"/>
      <c r="AH13" s="2"/>
      <c r="AI13" s="2"/>
      <c r="AJ13" s="2"/>
      <c r="AK13"/>
      <c r="AL13"/>
      <c r="AM13"/>
      <c r="AN13"/>
      <c r="AO13"/>
      <c r="AP13"/>
      <c r="AQ13"/>
      <c r="AR13"/>
      <c r="AS13"/>
      <c r="AT13"/>
      <c r="AU13"/>
    </row>
    <row r="14" spans="1:47" ht="18" customHeight="1" x14ac:dyDescent="0.25">
      <c r="A14" s="422"/>
      <c r="B14" s="425"/>
      <c r="C14" s="421"/>
      <c r="D14" s="428"/>
      <c r="E14" s="422"/>
      <c r="F14" s="268" t="s">
        <v>340</v>
      </c>
      <c r="G14" s="268">
        <v>1992</v>
      </c>
      <c r="H14" s="268"/>
      <c r="I14" s="429"/>
      <c r="J14" s="273">
        <v>3.6999999999999998E-2</v>
      </c>
      <c r="K14" s="273">
        <v>5.0999999999999997E-2</v>
      </c>
      <c r="L14" s="273">
        <v>5.0999999999999997E-2</v>
      </c>
      <c r="M14" s="273">
        <v>5.0999999999999997E-2</v>
      </c>
      <c r="N14" s="273">
        <v>5.0999999999999997E-2</v>
      </c>
      <c r="O14" s="273">
        <v>5.0999999999999997E-2</v>
      </c>
      <c r="P14" s="273">
        <v>5.0999999999999997E-2</v>
      </c>
      <c r="Q14" s="273">
        <v>5.0999999999999997E-2</v>
      </c>
      <c r="R14" s="273">
        <v>5.0999999999999997E-2</v>
      </c>
      <c r="S14" s="273">
        <v>5.0999999999999997E-2</v>
      </c>
      <c r="T14" s="273">
        <v>3.6999999999999998E-2</v>
      </c>
      <c r="U14" s="273">
        <v>3.6999999999999998E-2</v>
      </c>
      <c r="V14" s="273">
        <v>3.6999999999999998E-2</v>
      </c>
      <c r="W14" s="273">
        <v>3.6999999999999998E-2</v>
      </c>
      <c r="X14" s="273">
        <v>3.6999999999999998E-2</v>
      </c>
      <c r="Y14" s="273">
        <v>3.6999999999999998E-2</v>
      </c>
      <c r="Z14" s="2"/>
      <c r="AA14" s="2"/>
      <c r="AB14" s="2"/>
      <c r="AC14" s="2"/>
      <c r="AD14" s="2"/>
      <c r="AE14" s="2"/>
      <c r="AF14" s="2"/>
      <c r="AG14" s="2"/>
      <c r="AH14" s="2"/>
      <c r="AI14" s="2"/>
      <c r="AJ14" s="2"/>
      <c r="AK14"/>
      <c r="AL14"/>
      <c r="AM14"/>
      <c r="AN14"/>
      <c r="AO14"/>
      <c r="AP14"/>
      <c r="AQ14"/>
      <c r="AR14"/>
      <c r="AS14"/>
      <c r="AT14"/>
      <c r="AU14"/>
    </row>
    <row r="15" spans="1:47" ht="15" x14ac:dyDescent="0.25">
      <c r="A15" s="422"/>
      <c r="B15" s="425"/>
      <c r="C15" s="421"/>
      <c r="D15" s="428"/>
      <c r="E15" s="422"/>
      <c r="F15" s="276" t="s">
        <v>341</v>
      </c>
      <c r="G15" s="276">
        <v>2001</v>
      </c>
      <c r="H15" s="276"/>
      <c r="I15" s="276" t="s">
        <v>342</v>
      </c>
      <c r="J15" s="272">
        <v>3.6999999999999998E-2</v>
      </c>
      <c r="K15" s="272">
        <v>3.6999999999999998E-2</v>
      </c>
      <c r="L15" s="272">
        <v>5.0999999999999997E-2</v>
      </c>
      <c r="M15" s="272">
        <v>5.0999999999999997E-2</v>
      </c>
      <c r="N15" s="272">
        <v>5.0999999999999997E-2</v>
      </c>
      <c r="O15" s="272">
        <v>5.0999999999999997E-2</v>
      </c>
      <c r="P15" s="272">
        <v>5.0999999999999997E-2</v>
      </c>
      <c r="Q15" s="272">
        <v>5.0999999999999997E-2</v>
      </c>
      <c r="R15" s="272">
        <v>5.0999999999999997E-2</v>
      </c>
      <c r="S15" s="272">
        <v>3.6999999999999998E-2</v>
      </c>
      <c r="T15" s="272">
        <v>3.6999999999999998E-2</v>
      </c>
      <c r="U15" s="272">
        <v>3.6999999999999998E-2</v>
      </c>
      <c r="V15" s="272">
        <v>3.6999999999999998E-2</v>
      </c>
      <c r="W15" s="272">
        <v>3.6999999999999998E-2</v>
      </c>
      <c r="X15" s="272">
        <v>3.6999999999999998E-2</v>
      </c>
      <c r="Y15" s="272">
        <v>3.6999999999999998E-2</v>
      </c>
      <c r="Z15" s="2"/>
      <c r="AA15" s="2"/>
      <c r="AB15" s="2"/>
      <c r="AC15" s="2"/>
      <c r="AD15" s="2"/>
      <c r="AE15" s="2"/>
      <c r="AF15" s="2"/>
      <c r="AG15" s="2"/>
      <c r="AH15" s="2"/>
      <c r="AI15" s="2"/>
      <c r="AJ15" s="2"/>
      <c r="AK15"/>
      <c r="AL15"/>
      <c r="AM15"/>
      <c r="AN15"/>
      <c r="AO15"/>
      <c r="AP15"/>
      <c r="AQ15"/>
      <c r="AR15"/>
      <c r="AS15"/>
      <c r="AT15"/>
      <c r="AU15"/>
    </row>
    <row r="16" spans="1:47" ht="15" x14ac:dyDescent="0.25">
      <c r="A16" s="422"/>
      <c r="B16" s="425"/>
      <c r="C16" s="421"/>
      <c r="D16" s="428"/>
      <c r="E16" s="422"/>
      <c r="F16" s="275" t="s">
        <v>343</v>
      </c>
      <c r="G16" s="275">
        <v>2013</v>
      </c>
      <c r="H16" s="275"/>
      <c r="I16" s="275" t="s">
        <v>344</v>
      </c>
      <c r="J16" s="269">
        <v>3.4000000000000002E-2</v>
      </c>
      <c r="K16" s="269">
        <v>2.8000000000000001E-2</v>
      </c>
      <c r="L16" s="269">
        <v>3.9E-2</v>
      </c>
      <c r="M16" s="269">
        <v>2.8000000000000001E-2</v>
      </c>
      <c r="N16" s="269">
        <v>3.9E-2</v>
      </c>
      <c r="O16" s="269">
        <v>3.9E-2</v>
      </c>
      <c r="P16" s="269">
        <v>3.9E-2</v>
      </c>
      <c r="Q16" s="269">
        <v>2.8000000000000001E-2</v>
      </c>
      <c r="R16" s="269">
        <v>2.8000000000000001E-2</v>
      </c>
      <c r="S16" s="269">
        <v>2.8000000000000001E-2</v>
      </c>
      <c r="T16" s="269">
        <v>2.8000000000000001E-2</v>
      </c>
      <c r="U16" s="269">
        <v>2.8000000000000001E-2</v>
      </c>
      <c r="V16" s="269">
        <v>2.8000000000000001E-2</v>
      </c>
      <c r="W16" s="269">
        <v>2.8000000000000001E-2</v>
      </c>
      <c r="X16" s="269">
        <v>2.8000000000000001E-2</v>
      </c>
      <c r="Y16" s="269">
        <v>2.8000000000000001E-2</v>
      </c>
      <c r="Z16" s="2"/>
      <c r="AA16" s="2"/>
      <c r="AB16" s="2"/>
      <c r="AC16" s="2"/>
      <c r="AD16" s="2"/>
      <c r="AE16" s="2"/>
      <c r="AF16" s="2"/>
      <c r="AG16" s="2"/>
      <c r="AH16" s="2"/>
      <c r="AI16" s="2"/>
      <c r="AJ16" s="2"/>
      <c r="AK16"/>
      <c r="AL16"/>
      <c r="AM16"/>
      <c r="AN16"/>
      <c r="AO16"/>
      <c r="AP16"/>
      <c r="AQ16"/>
      <c r="AR16"/>
      <c r="AS16"/>
      <c r="AT16"/>
      <c r="AU16"/>
    </row>
    <row r="17" spans="1:47" ht="43.5" customHeight="1" x14ac:dyDescent="0.25">
      <c r="A17" s="422"/>
      <c r="B17" s="426"/>
      <c r="C17" s="421"/>
      <c r="D17" s="428"/>
      <c r="E17" s="422"/>
      <c r="F17" s="274" t="s">
        <v>345</v>
      </c>
      <c r="G17" s="270">
        <v>2025</v>
      </c>
      <c r="H17" s="270"/>
      <c r="I17" s="280" t="s">
        <v>357</v>
      </c>
      <c r="J17" s="271">
        <v>2.8000000000000001E-2</v>
      </c>
      <c r="K17" s="271">
        <v>2.8000000000000001E-2</v>
      </c>
      <c r="L17" s="271">
        <v>3.4000000000000002E-2</v>
      </c>
      <c r="M17" s="271">
        <v>2.8000000000000001E-2</v>
      </c>
      <c r="N17" s="271">
        <v>3.4000000000000002E-2</v>
      </c>
      <c r="O17" s="271">
        <v>3.4000000000000002E-2</v>
      </c>
      <c r="P17" s="271">
        <v>3.9E-2</v>
      </c>
      <c r="Q17" s="271">
        <v>2.8000000000000001E-2</v>
      </c>
      <c r="R17" s="271">
        <v>2.8000000000000001E-2</v>
      </c>
      <c r="S17" s="271">
        <v>2.8000000000000001E-2</v>
      </c>
      <c r="T17" s="271">
        <v>2.8000000000000001E-2</v>
      </c>
      <c r="U17" s="271">
        <v>2.8000000000000001E-2</v>
      </c>
      <c r="V17" s="271">
        <v>2.8000000000000001E-2</v>
      </c>
      <c r="W17" s="271">
        <v>2.8000000000000001E-2</v>
      </c>
      <c r="X17" s="271">
        <v>2.8000000000000001E-2</v>
      </c>
      <c r="Y17" s="271">
        <v>2.8000000000000001E-2</v>
      </c>
      <c r="Z17" s="2"/>
      <c r="AA17" s="2"/>
      <c r="AB17" s="2"/>
      <c r="AC17" s="2"/>
      <c r="AD17" s="2"/>
      <c r="AE17" s="2"/>
      <c r="AF17" s="2"/>
      <c r="AG17" s="2"/>
      <c r="AH17" s="2"/>
      <c r="AI17" s="2"/>
      <c r="AJ17" s="2"/>
      <c r="AK17"/>
      <c r="AL17"/>
      <c r="AM17"/>
      <c r="AN17"/>
      <c r="AO17"/>
      <c r="AP17"/>
      <c r="AQ17"/>
      <c r="AR17"/>
      <c r="AS17"/>
      <c r="AT17"/>
      <c r="AU17"/>
    </row>
    <row r="18" spans="1:47" s="2" customFormat="1" ht="15" customHeight="1" x14ac:dyDescent="0.2">
      <c r="A18" s="421" t="s">
        <v>358</v>
      </c>
      <c r="B18" s="424" t="str">
        <f>Prototype!$A$2</f>
        <v>ApartmentHighRise</v>
      </c>
      <c r="C18" s="423" t="s">
        <v>359</v>
      </c>
      <c r="D18" s="421" t="s">
        <v>360</v>
      </c>
      <c r="E18" s="422" t="s">
        <v>361</v>
      </c>
      <c r="F18" s="365" t="s">
        <v>338</v>
      </c>
      <c r="G18" s="365" t="s">
        <v>339</v>
      </c>
      <c r="H18" s="365"/>
      <c r="I18" s="421" t="s">
        <v>362</v>
      </c>
      <c r="J18" s="266">
        <f>0.42*J21+0.58*((1-$C$59)*1.12+$C$59*1.23)</f>
        <v>0.82725000000000004</v>
      </c>
      <c r="K18" s="266">
        <f>0.42*K21+0.58*((1-$C$59)*1.12+$C$59*1.23)</f>
        <v>0.82725000000000004</v>
      </c>
      <c r="L18" s="266">
        <f t="shared" ref="L18:Y18" si="0">0.42*L21+0.58*((1-$C$59)*1.12+$C$59*1.23)</f>
        <v>0.82725000000000004</v>
      </c>
      <c r="M18" s="266">
        <f t="shared" si="0"/>
        <v>0.82725000000000004</v>
      </c>
      <c r="N18" s="266">
        <f t="shared" si="0"/>
        <v>0.82725000000000004</v>
      </c>
      <c r="O18" s="266">
        <f t="shared" si="0"/>
        <v>0.82725000000000004</v>
      </c>
      <c r="P18" s="266">
        <f t="shared" si="0"/>
        <v>0.82725000000000004</v>
      </c>
      <c r="Q18" s="266">
        <f t="shared" si="0"/>
        <v>0.82725000000000004</v>
      </c>
      <c r="R18" s="266">
        <f t="shared" si="0"/>
        <v>0.82725000000000004</v>
      </c>
      <c r="S18" s="266">
        <f t="shared" si="0"/>
        <v>0.82725000000000004</v>
      </c>
      <c r="T18" s="266">
        <f t="shared" si="0"/>
        <v>0.82725000000000004</v>
      </c>
      <c r="U18" s="266">
        <f t="shared" si="0"/>
        <v>0.82725000000000004</v>
      </c>
      <c r="V18" s="266">
        <f t="shared" si="0"/>
        <v>0.82725000000000004</v>
      </c>
      <c r="W18" s="266">
        <f t="shared" si="0"/>
        <v>0.82725000000000004</v>
      </c>
      <c r="X18" s="266">
        <f t="shared" si="0"/>
        <v>0.82725000000000004</v>
      </c>
      <c r="Y18" s="266">
        <f t="shared" si="0"/>
        <v>0.82725000000000004</v>
      </c>
    </row>
    <row r="19" spans="1:47" s="2" customFormat="1" ht="15" customHeight="1" x14ac:dyDescent="0.2">
      <c r="A19" s="421"/>
      <c r="B19" s="425"/>
      <c r="C19" s="423"/>
      <c r="D19" s="421"/>
      <c r="E19" s="422"/>
      <c r="F19" s="365" t="s">
        <v>340</v>
      </c>
      <c r="G19" s="365" t="s">
        <v>339</v>
      </c>
      <c r="H19" s="365"/>
      <c r="I19" s="429"/>
      <c r="J19" s="266">
        <f t="shared" ref="J19:Y19" si="1">0.42*J21+0.58*((1-$C$59)*1.12+$C$59*1.23)</f>
        <v>0.82725000000000004</v>
      </c>
      <c r="K19" s="266">
        <f t="shared" si="1"/>
        <v>0.82725000000000004</v>
      </c>
      <c r="L19" s="266">
        <f t="shared" si="1"/>
        <v>0.82725000000000004</v>
      </c>
      <c r="M19" s="266">
        <f t="shared" si="1"/>
        <v>0.82725000000000004</v>
      </c>
      <c r="N19" s="266">
        <f t="shared" si="1"/>
        <v>0.82725000000000004</v>
      </c>
      <c r="O19" s="266">
        <f t="shared" si="1"/>
        <v>0.82725000000000004</v>
      </c>
      <c r="P19" s="266">
        <f t="shared" si="1"/>
        <v>0.82725000000000004</v>
      </c>
      <c r="Q19" s="266">
        <f t="shared" si="1"/>
        <v>0.82725000000000004</v>
      </c>
      <c r="R19" s="266">
        <f t="shared" si="1"/>
        <v>0.82725000000000004</v>
      </c>
      <c r="S19" s="266">
        <f t="shared" si="1"/>
        <v>0.82725000000000004</v>
      </c>
      <c r="T19" s="266">
        <f t="shared" si="1"/>
        <v>0.82725000000000004</v>
      </c>
      <c r="U19" s="266">
        <f t="shared" si="1"/>
        <v>0.82725000000000004</v>
      </c>
      <c r="V19" s="266">
        <f t="shared" si="1"/>
        <v>0.82725000000000004</v>
      </c>
      <c r="W19" s="266">
        <f t="shared" si="1"/>
        <v>0.82725000000000004</v>
      </c>
      <c r="X19" s="266">
        <f t="shared" si="1"/>
        <v>0.82725000000000004</v>
      </c>
      <c r="Y19" s="266">
        <f t="shared" si="1"/>
        <v>0.82725000000000004</v>
      </c>
    </row>
    <row r="20" spans="1:47" s="2" customFormat="1" ht="15" customHeight="1" x14ac:dyDescent="0.2">
      <c r="A20" s="421"/>
      <c r="B20" s="425"/>
      <c r="C20" s="423"/>
      <c r="D20" s="422" t="s">
        <v>363</v>
      </c>
      <c r="E20" s="422"/>
      <c r="F20" s="276" t="s">
        <v>341</v>
      </c>
      <c r="G20" s="276">
        <v>2001</v>
      </c>
      <c r="H20" s="276"/>
      <c r="I20" s="283" t="s">
        <v>364</v>
      </c>
      <c r="J20" s="285">
        <f>(1-$C$59)*L78+$C$59*L98</f>
        <v>0.49</v>
      </c>
      <c r="K20" s="285">
        <f t="shared" ref="K20" si="2">(1-$C$59)*M78+$C$59*M98</f>
        <v>0.49</v>
      </c>
      <c r="L20" s="285">
        <f t="shared" ref="L20" si="3">(1-$C$59)*N78+$C$59*N98</f>
        <v>0.49</v>
      </c>
      <c r="M20" s="285">
        <f t="shared" ref="M20" si="4">(1-$C$59)*O78+$C$59*O98</f>
        <v>0.49</v>
      </c>
      <c r="N20" s="285">
        <f t="shared" ref="N20" si="5">(1-$C$59)*P78+$C$59*P98</f>
        <v>0.49</v>
      </c>
      <c r="O20" s="285">
        <f t="shared" ref="O20" si="6">(1-$C$59)*Q78+$C$59*Q98</f>
        <v>0.49</v>
      </c>
      <c r="P20" s="285">
        <f t="shared" ref="P20" si="7">(1-$C$59)*R78+$C$59*R98</f>
        <v>0.49</v>
      </c>
      <c r="Q20" s="285">
        <f t="shared" ref="Q20" si="8">(1-$C$59)*S78+$C$59*S98</f>
        <v>0.49</v>
      </c>
      <c r="R20" s="285">
        <f t="shared" ref="R20" si="9">(1-$C$59)*T78+$C$59*T98</f>
        <v>0.49</v>
      </c>
      <c r="S20" s="285">
        <f t="shared" ref="S20" si="10">(1-$C$59)*U78+$C$59*U98</f>
        <v>0.49</v>
      </c>
      <c r="T20" s="285">
        <f t="shared" ref="T20" si="11">(1-$C$59)*V78+$C$59*V98</f>
        <v>0.49</v>
      </c>
      <c r="U20" s="285">
        <f t="shared" ref="U20" si="12">(1-$C$59)*W78+$C$59*W98</f>
        <v>0.49</v>
      </c>
      <c r="V20" s="285">
        <f t="shared" ref="V20" si="13">(1-$C$59)*X78+$C$59*X98</f>
        <v>0.49</v>
      </c>
      <c r="W20" s="285">
        <f t="shared" ref="W20" si="14">(1-$C$59)*Y78+$C$59*Y98</f>
        <v>0.49</v>
      </c>
      <c r="X20" s="285">
        <f t="shared" ref="X20" si="15">(1-$C$59)*Z78+$C$59*Z98</f>
        <v>0.49</v>
      </c>
      <c r="Y20" s="285">
        <f t="shared" ref="Y20" si="16">(1-$C$59)*AA78+$C$59*AA98</f>
        <v>0.49</v>
      </c>
    </row>
    <row r="21" spans="1:47" s="2" customFormat="1" ht="15" customHeight="1" x14ac:dyDescent="0.2">
      <c r="A21" s="421"/>
      <c r="B21" s="425"/>
      <c r="C21" s="423"/>
      <c r="D21" s="422"/>
      <c r="E21" s="422"/>
      <c r="F21" s="275" t="s">
        <v>343</v>
      </c>
      <c r="G21" s="275">
        <v>2013</v>
      </c>
      <c r="H21" s="275"/>
      <c r="I21" s="282" t="s">
        <v>365</v>
      </c>
      <c r="J21" s="269">
        <f>(1-$C$59)*L79+$C$59*L99</f>
        <v>0.38500000000000001</v>
      </c>
      <c r="K21" s="269">
        <f t="shared" ref="K21:Y21" si="17">(1-$C$59)*M79+$C$59*M99</f>
        <v>0.38500000000000001</v>
      </c>
      <c r="L21" s="269">
        <f t="shared" si="17"/>
        <v>0.38500000000000001</v>
      </c>
      <c r="M21" s="269">
        <f t="shared" si="17"/>
        <v>0.38500000000000001</v>
      </c>
      <c r="N21" s="269">
        <f t="shared" si="17"/>
        <v>0.38500000000000001</v>
      </c>
      <c r="O21" s="269">
        <f t="shared" si="17"/>
        <v>0.38500000000000001</v>
      </c>
      <c r="P21" s="269">
        <f t="shared" si="17"/>
        <v>0.38500000000000001</v>
      </c>
      <c r="Q21" s="269">
        <f t="shared" si="17"/>
        <v>0.38500000000000001</v>
      </c>
      <c r="R21" s="269">
        <f t="shared" si="17"/>
        <v>0.38500000000000001</v>
      </c>
      <c r="S21" s="269">
        <f t="shared" si="17"/>
        <v>0.38500000000000001</v>
      </c>
      <c r="T21" s="269">
        <f t="shared" si="17"/>
        <v>0.38500000000000001</v>
      </c>
      <c r="U21" s="269">
        <f t="shared" si="17"/>
        <v>0.38500000000000001</v>
      </c>
      <c r="V21" s="269">
        <f t="shared" si="17"/>
        <v>0.38500000000000001</v>
      </c>
      <c r="W21" s="269">
        <f t="shared" si="17"/>
        <v>0.38500000000000001</v>
      </c>
      <c r="X21" s="269">
        <f t="shared" si="17"/>
        <v>0.38500000000000001</v>
      </c>
      <c r="Y21" s="269">
        <f t="shared" si="17"/>
        <v>0.38500000000000001</v>
      </c>
      <c r="Z21" s="83"/>
      <c r="AA21" s="83"/>
      <c r="AB21" s="83"/>
      <c r="AC21" s="83"/>
      <c r="AD21" s="83"/>
      <c r="AE21" s="83"/>
      <c r="AF21" s="83"/>
      <c r="AG21" s="83"/>
      <c r="AH21" s="83"/>
      <c r="AI21" s="83"/>
      <c r="AJ21" s="83"/>
    </row>
    <row r="22" spans="1:47" s="2" customFormat="1" ht="15" customHeight="1" x14ac:dyDescent="0.2">
      <c r="A22" s="421"/>
      <c r="B22" s="425"/>
      <c r="C22" s="423"/>
      <c r="D22" s="422"/>
      <c r="E22" s="422"/>
      <c r="F22" s="274" t="s">
        <v>345</v>
      </c>
      <c r="G22" s="270">
        <v>2025</v>
      </c>
      <c r="H22" s="270"/>
      <c r="I22" s="280" t="s">
        <v>366</v>
      </c>
      <c r="J22" s="271">
        <f t="shared" ref="J22:Y22" si="18">(1-$C$59)*L80+$C$59*L100</f>
        <v>0.32500000000000001</v>
      </c>
      <c r="K22" s="271">
        <f t="shared" si="18"/>
        <v>0.33999999999999997</v>
      </c>
      <c r="L22" s="271">
        <f t="shared" si="18"/>
        <v>0.32500000000000001</v>
      </c>
      <c r="M22" s="271">
        <f t="shared" si="18"/>
        <v>0.32500000000000001</v>
      </c>
      <c r="N22" s="271">
        <f t="shared" si="18"/>
        <v>0.32500000000000001</v>
      </c>
      <c r="O22" s="271">
        <f t="shared" si="18"/>
        <v>0.37</v>
      </c>
      <c r="P22" s="271">
        <f t="shared" si="18"/>
        <v>0.37</v>
      </c>
      <c r="Q22" s="271">
        <f t="shared" si="18"/>
        <v>0.33999999999999997</v>
      </c>
      <c r="R22" s="271">
        <f t="shared" si="18"/>
        <v>0.33999999999999997</v>
      </c>
      <c r="S22" s="271">
        <f t="shared" si="18"/>
        <v>0.33999999999999997</v>
      </c>
      <c r="T22" s="271">
        <f t="shared" si="18"/>
        <v>0.32500000000000001</v>
      </c>
      <c r="U22" s="271">
        <f t="shared" si="18"/>
        <v>0.33999999999999997</v>
      </c>
      <c r="V22" s="271">
        <f t="shared" si="18"/>
        <v>0.32500000000000001</v>
      </c>
      <c r="W22" s="271">
        <f t="shared" si="18"/>
        <v>0.32500000000000001</v>
      </c>
      <c r="X22" s="271">
        <f t="shared" si="18"/>
        <v>0.32500000000000001</v>
      </c>
      <c r="Y22" s="271">
        <f t="shared" si="18"/>
        <v>0.32500000000000001</v>
      </c>
      <c r="Z22" s="84"/>
      <c r="AA22" s="84"/>
      <c r="AB22" s="84"/>
      <c r="AC22" s="84"/>
      <c r="AD22" s="84"/>
      <c r="AE22" s="84"/>
      <c r="AF22" s="84"/>
      <c r="AG22" s="84"/>
      <c r="AH22" s="84"/>
      <c r="AI22" s="84"/>
      <c r="AJ22" s="84"/>
    </row>
    <row r="23" spans="1:47" s="2" customFormat="1" ht="15" customHeight="1" x14ac:dyDescent="0.2">
      <c r="A23" s="421"/>
      <c r="B23" s="425"/>
      <c r="C23" s="423"/>
      <c r="D23" s="421" t="s">
        <v>360</v>
      </c>
      <c r="E23" s="422" t="s">
        <v>367</v>
      </c>
      <c r="F23" s="365" t="s">
        <v>338</v>
      </c>
      <c r="G23" s="365" t="s">
        <v>339</v>
      </c>
      <c r="H23" s="365"/>
      <c r="I23" s="421" t="str">
        <f>I18</f>
        <v>ASHRAE Handbook of Fundamentals for single pane &amp; T24, 2013  for double pane (58%-42%)</v>
      </c>
      <c r="J23" s="266">
        <f t="shared" ref="J23:Y23" si="19">0.42*J26+0.58*((1-$C$59)*0.79+$C$59*0.78)</f>
        <v>0.55859999999999999</v>
      </c>
      <c r="K23" s="266">
        <f t="shared" si="19"/>
        <v>0.55859999999999999</v>
      </c>
      <c r="L23" s="266">
        <f t="shared" si="19"/>
        <v>0.55859999999999999</v>
      </c>
      <c r="M23" s="266">
        <f t="shared" si="19"/>
        <v>0.55859999999999999</v>
      </c>
      <c r="N23" s="266">
        <f t="shared" si="19"/>
        <v>0.55859999999999999</v>
      </c>
      <c r="O23" s="266">
        <f t="shared" si="19"/>
        <v>0.55859999999999999</v>
      </c>
      <c r="P23" s="266">
        <f t="shared" si="19"/>
        <v>0.55859999999999999</v>
      </c>
      <c r="Q23" s="266">
        <f t="shared" si="19"/>
        <v>0.55859999999999999</v>
      </c>
      <c r="R23" s="266">
        <f t="shared" si="19"/>
        <v>0.55859999999999999</v>
      </c>
      <c r="S23" s="266">
        <f t="shared" si="19"/>
        <v>0.55859999999999999</v>
      </c>
      <c r="T23" s="266">
        <f t="shared" si="19"/>
        <v>0.55859999999999999</v>
      </c>
      <c r="U23" s="266">
        <f t="shared" si="19"/>
        <v>0.55859999999999999</v>
      </c>
      <c r="V23" s="266">
        <f t="shared" si="19"/>
        <v>0.55859999999999999</v>
      </c>
      <c r="W23" s="266">
        <f t="shared" si="19"/>
        <v>0.55859999999999999</v>
      </c>
      <c r="X23" s="266">
        <f t="shared" si="19"/>
        <v>0.55859999999999999</v>
      </c>
      <c r="Y23" s="266">
        <f t="shared" si="19"/>
        <v>0.55859999999999999</v>
      </c>
      <c r="Z23" s="83"/>
      <c r="AA23" s="83"/>
      <c r="AB23" s="83"/>
      <c r="AC23" s="83"/>
      <c r="AD23" s="83"/>
      <c r="AE23" s="83"/>
      <c r="AF23" s="83"/>
      <c r="AG23" s="83"/>
      <c r="AH23" s="83"/>
      <c r="AI23" s="83"/>
      <c r="AJ23" s="83"/>
    </row>
    <row r="24" spans="1:47" s="2" customFormat="1" ht="15" customHeight="1" x14ac:dyDescent="0.2">
      <c r="A24" s="421"/>
      <c r="B24" s="425"/>
      <c r="C24" s="423"/>
      <c r="D24" s="421"/>
      <c r="E24" s="422"/>
      <c r="F24" s="365" t="s">
        <v>340</v>
      </c>
      <c r="G24" s="365" t="s">
        <v>339</v>
      </c>
      <c r="H24" s="365"/>
      <c r="I24" s="429"/>
      <c r="J24" s="266">
        <f t="shared" ref="J24:Y24" si="20">0.42*J26+0.58*((1-$C$59)*0.79+$C$59*0.78)</f>
        <v>0.55859999999999999</v>
      </c>
      <c r="K24" s="266">
        <f t="shared" si="20"/>
        <v>0.55859999999999999</v>
      </c>
      <c r="L24" s="266">
        <f t="shared" si="20"/>
        <v>0.55859999999999999</v>
      </c>
      <c r="M24" s="266">
        <f t="shared" si="20"/>
        <v>0.55859999999999999</v>
      </c>
      <c r="N24" s="266">
        <f t="shared" si="20"/>
        <v>0.55859999999999999</v>
      </c>
      <c r="O24" s="266">
        <f t="shared" si="20"/>
        <v>0.55859999999999999</v>
      </c>
      <c r="P24" s="266">
        <f t="shared" si="20"/>
        <v>0.55859999999999999</v>
      </c>
      <c r="Q24" s="266">
        <f t="shared" si="20"/>
        <v>0.55859999999999999</v>
      </c>
      <c r="R24" s="266">
        <f t="shared" si="20"/>
        <v>0.55859999999999999</v>
      </c>
      <c r="S24" s="266">
        <f t="shared" si="20"/>
        <v>0.55859999999999999</v>
      </c>
      <c r="T24" s="266">
        <f t="shared" si="20"/>
        <v>0.55859999999999999</v>
      </c>
      <c r="U24" s="266">
        <f t="shared" si="20"/>
        <v>0.55859999999999999</v>
      </c>
      <c r="V24" s="266">
        <f t="shared" si="20"/>
        <v>0.55859999999999999</v>
      </c>
      <c r="W24" s="266">
        <f t="shared" si="20"/>
        <v>0.55859999999999999</v>
      </c>
      <c r="X24" s="266">
        <f t="shared" si="20"/>
        <v>0.55859999999999999</v>
      </c>
      <c r="Y24" s="266">
        <f t="shared" si="20"/>
        <v>0.55859999999999999</v>
      </c>
      <c r="Z24" s="83"/>
      <c r="AA24" s="83"/>
      <c r="AB24" s="83"/>
      <c r="AC24" s="83"/>
      <c r="AD24" s="83"/>
      <c r="AE24" s="83"/>
      <c r="AF24" s="83"/>
      <c r="AG24" s="83"/>
      <c r="AH24" s="83"/>
      <c r="AI24" s="83"/>
      <c r="AJ24" s="83"/>
    </row>
    <row r="25" spans="1:47" s="2" customFormat="1" ht="15" customHeight="1" x14ac:dyDescent="0.2">
      <c r="A25" s="421"/>
      <c r="B25" s="425"/>
      <c r="C25" s="423"/>
      <c r="D25" s="422" t="s">
        <v>363</v>
      </c>
      <c r="E25" s="422"/>
      <c r="F25" s="276" t="s">
        <v>341</v>
      </c>
      <c r="G25" s="276">
        <v>2001</v>
      </c>
      <c r="H25" s="276"/>
      <c r="I25" s="283" t="s">
        <v>368</v>
      </c>
      <c r="J25" s="272">
        <f t="shared" ref="J25:Y25" si="21">L121</f>
        <v>0.3</v>
      </c>
      <c r="K25" s="272">
        <f t="shared" si="21"/>
        <v>0.26</v>
      </c>
      <c r="L25" s="272">
        <f t="shared" si="21"/>
        <v>0.26</v>
      </c>
      <c r="M25" s="272">
        <f t="shared" si="21"/>
        <v>0.26</v>
      </c>
      <c r="N25" s="272">
        <f t="shared" si="21"/>
        <v>0.26</v>
      </c>
      <c r="O25" s="272">
        <f t="shared" si="21"/>
        <v>0.31</v>
      </c>
      <c r="P25" s="272">
        <f t="shared" si="21"/>
        <v>0.31</v>
      </c>
      <c r="Q25" s="272">
        <f t="shared" si="21"/>
        <v>0.31</v>
      </c>
      <c r="R25" s="272">
        <f t="shared" si="21"/>
        <v>0.31</v>
      </c>
      <c r="S25" s="272">
        <f t="shared" si="21"/>
        <v>0.26</v>
      </c>
      <c r="T25" s="272">
        <f t="shared" si="21"/>
        <v>0.26</v>
      </c>
      <c r="U25" s="272">
        <f t="shared" si="21"/>
        <v>0.26</v>
      </c>
      <c r="V25" s="272">
        <f t="shared" si="21"/>
        <v>0.26</v>
      </c>
      <c r="W25" s="272">
        <f t="shared" si="21"/>
        <v>0.26</v>
      </c>
      <c r="X25" s="272">
        <f t="shared" si="21"/>
        <v>0.26</v>
      </c>
      <c r="Y25" s="272">
        <f t="shared" si="21"/>
        <v>0.3</v>
      </c>
      <c r="Z25" s="83"/>
      <c r="AA25" s="83"/>
      <c r="AB25" s="83"/>
      <c r="AC25" s="83"/>
      <c r="AD25" s="83"/>
      <c r="AE25" s="83"/>
      <c r="AF25" s="83"/>
      <c r="AG25" s="83"/>
      <c r="AH25" s="83"/>
      <c r="AI25" s="83"/>
      <c r="AJ25" s="83"/>
    </row>
    <row r="26" spans="1:47" s="2" customFormat="1" ht="15" customHeight="1" x14ac:dyDescent="0.2">
      <c r="A26" s="421"/>
      <c r="B26" s="425"/>
      <c r="C26" s="423"/>
      <c r="D26" s="422"/>
      <c r="E26" s="422"/>
      <c r="F26" s="275" t="s">
        <v>343</v>
      </c>
      <c r="G26" s="275">
        <v>2013</v>
      </c>
      <c r="H26" s="275"/>
      <c r="I26" s="282" t="s">
        <v>369</v>
      </c>
      <c r="J26" s="269">
        <f t="shared" ref="J26:Y26" si="22">(1-$C$59)*L84+$C$59*L104</f>
        <v>0.24249999999999999</v>
      </c>
      <c r="K26" s="269">
        <f t="shared" si="22"/>
        <v>0.24249999999999999</v>
      </c>
      <c r="L26" s="269">
        <f t="shared" si="22"/>
        <v>0.24249999999999999</v>
      </c>
      <c r="M26" s="269">
        <f t="shared" si="22"/>
        <v>0.24249999999999999</v>
      </c>
      <c r="N26" s="269">
        <f t="shared" si="22"/>
        <v>0.24249999999999999</v>
      </c>
      <c r="O26" s="269">
        <f t="shared" si="22"/>
        <v>0.24249999999999999</v>
      </c>
      <c r="P26" s="269">
        <f t="shared" si="22"/>
        <v>0.24249999999999999</v>
      </c>
      <c r="Q26" s="269">
        <f t="shared" si="22"/>
        <v>0.24249999999999999</v>
      </c>
      <c r="R26" s="269">
        <f t="shared" si="22"/>
        <v>0.24249999999999999</v>
      </c>
      <c r="S26" s="269">
        <f t="shared" si="22"/>
        <v>0.24249999999999999</v>
      </c>
      <c r="T26" s="269">
        <f t="shared" si="22"/>
        <v>0.24249999999999999</v>
      </c>
      <c r="U26" s="269">
        <f t="shared" si="22"/>
        <v>0.24249999999999999</v>
      </c>
      <c r="V26" s="269">
        <f t="shared" si="22"/>
        <v>0.24249999999999999</v>
      </c>
      <c r="W26" s="269">
        <f t="shared" si="22"/>
        <v>0.24249999999999999</v>
      </c>
      <c r="X26" s="269">
        <f t="shared" si="22"/>
        <v>0.24249999999999999</v>
      </c>
      <c r="Y26" s="269">
        <f t="shared" si="22"/>
        <v>0.24249999999999999</v>
      </c>
      <c r="Z26" s="83"/>
      <c r="AA26" s="83"/>
      <c r="AB26" s="83"/>
      <c r="AC26" s="83"/>
      <c r="AD26" s="83"/>
      <c r="AE26" s="83"/>
      <c r="AF26" s="83"/>
      <c r="AG26" s="83"/>
      <c r="AH26" s="83"/>
      <c r="AI26" s="83"/>
      <c r="AJ26" s="83"/>
    </row>
    <row r="27" spans="1:47" s="2" customFormat="1" ht="29.25" customHeight="1" x14ac:dyDescent="0.2">
      <c r="A27" s="421"/>
      <c r="B27" s="426"/>
      <c r="C27" s="423"/>
      <c r="D27" s="422"/>
      <c r="E27" s="422"/>
      <c r="F27" s="274" t="s">
        <v>345</v>
      </c>
      <c r="G27" s="270">
        <v>2025</v>
      </c>
      <c r="H27" s="270"/>
      <c r="I27" s="280" t="s">
        <v>370</v>
      </c>
      <c r="J27" s="271">
        <f>(1-$C$59)*L85+$C$59*L105</f>
        <v>0.52750000000000008</v>
      </c>
      <c r="K27" s="271">
        <f t="shared" ref="K27:Y27" si="23">(1-$C$59)*M85+$C$59*M105</f>
        <v>0.22750000000000001</v>
      </c>
      <c r="L27" s="271">
        <f t="shared" si="23"/>
        <v>0.52750000000000008</v>
      </c>
      <c r="M27" s="271">
        <f t="shared" si="23"/>
        <v>0.22750000000000001</v>
      </c>
      <c r="N27" s="271">
        <f t="shared" si="23"/>
        <v>0.52750000000000008</v>
      </c>
      <c r="O27" s="271">
        <f t="shared" si="23"/>
        <v>0.22750000000000001</v>
      </c>
      <c r="P27" s="271">
        <f t="shared" si="23"/>
        <v>0.22750000000000001</v>
      </c>
      <c r="Q27" s="271">
        <f t="shared" si="23"/>
        <v>0.22750000000000001</v>
      </c>
      <c r="R27" s="271">
        <f t="shared" si="23"/>
        <v>0.22750000000000001</v>
      </c>
      <c r="S27" s="271">
        <f t="shared" si="23"/>
        <v>0.22750000000000001</v>
      </c>
      <c r="T27" s="271">
        <f t="shared" si="23"/>
        <v>0.22750000000000001</v>
      </c>
      <c r="U27" s="271">
        <f t="shared" si="23"/>
        <v>0.22750000000000001</v>
      </c>
      <c r="V27" s="271">
        <f t="shared" si="23"/>
        <v>0.22750000000000001</v>
      </c>
      <c r="W27" s="271">
        <f t="shared" si="23"/>
        <v>0.22750000000000001</v>
      </c>
      <c r="X27" s="271">
        <f t="shared" si="23"/>
        <v>0.22750000000000001</v>
      </c>
      <c r="Y27" s="271">
        <f t="shared" si="23"/>
        <v>0.52750000000000008</v>
      </c>
      <c r="Z27" s="84"/>
      <c r="AA27" s="84"/>
      <c r="AB27" s="84"/>
      <c r="AC27" s="84"/>
      <c r="AD27" s="84"/>
      <c r="AE27" s="84"/>
      <c r="AF27" s="84"/>
      <c r="AG27" s="84"/>
      <c r="AH27" s="84"/>
      <c r="AI27" s="84"/>
      <c r="AJ27" s="84"/>
    </row>
    <row r="28" spans="1:47" s="185" customFormat="1" ht="15" customHeight="1" x14ac:dyDescent="0.2">
      <c r="A28" s="421" t="s">
        <v>371</v>
      </c>
      <c r="B28" s="424" t="str">
        <f>Prototype!$A$2</f>
        <v>ApartmentHighRise</v>
      </c>
      <c r="C28" s="423" t="s">
        <v>372</v>
      </c>
      <c r="D28" s="421" t="s">
        <v>360</v>
      </c>
      <c r="E28" s="422" t="s">
        <v>361</v>
      </c>
      <c r="F28" s="365" t="s">
        <v>338</v>
      </c>
      <c r="G28" s="365" t="s">
        <v>339</v>
      </c>
      <c r="H28" s="365"/>
      <c r="I28" s="421" t="str">
        <f>I18</f>
        <v>ASHRAE Handbook of Fundamentals for single pane &amp; T24, 2013  for double pane (58%-42%)</v>
      </c>
      <c r="J28" s="273">
        <f>1.12*0.58+J$31*0.42</f>
        <v>0.80080000000000007</v>
      </c>
      <c r="K28" s="273">
        <f>1.12*0.58+K$31*0.42</f>
        <v>0.80080000000000007</v>
      </c>
      <c r="L28" s="273">
        <f t="shared" ref="J28:Y29" si="24">1.12*0.58+L$31*0.42</f>
        <v>0.80080000000000007</v>
      </c>
      <c r="M28" s="273">
        <f t="shared" si="24"/>
        <v>0.80080000000000007</v>
      </c>
      <c r="N28" s="273">
        <f t="shared" si="24"/>
        <v>0.80080000000000007</v>
      </c>
      <c r="O28" s="273">
        <f t="shared" si="24"/>
        <v>0.80080000000000007</v>
      </c>
      <c r="P28" s="273">
        <f t="shared" si="24"/>
        <v>0.80080000000000007</v>
      </c>
      <c r="Q28" s="273">
        <f t="shared" si="24"/>
        <v>0.80080000000000007</v>
      </c>
      <c r="R28" s="273">
        <f t="shared" si="24"/>
        <v>0.80080000000000007</v>
      </c>
      <c r="S28" s="273">
        <f t="shared" si="24"/>
        <v>0.80080000000000007</v>
      </c>
      <c r="T28" s="273">
        <f t="shared" si="24"/>
        <v>0.80080000000000007</v>
      </c>
      <c r="U28" s="273">
        <f t="shared" si="24"/>
        <v>0.80080000000000007</v>
      </c>
      <c r="V28" s="273">
        <f t="shared" si="24"/>
        <v>0.80080000000000007</v>
      </c>
      <c r="W28" s="273">
        <f t="shared" si="24"/>
        <v>0.80080000000000007</v>
      </c>
      <c r="X28" s="273">
        <f t="shared" si="24"/>
        <v>0.80080000000000007</v>
      </c>
      <c r="Y28" s="273">
        <f t="shared" si="24"/>
        <v>0.80080000000000007</v>
      </c>
      <c r="Z28" s="184"/>
      <c r="AA28" s="184"/>
      <c r="AB28" s="184"/>
      <c r="AC28" s="184"/>
      <c r="AD28" s="184"/>
      <c r="AE28" s="184"/>
      <c r="AF28" s="184"/>
      <c r="AG28" s="184"/>
      <c r="AH28" s="184"/>
      <c r="AI28" s="184"/>
      <c r="AJ28" s="184"/>
    </row>
    <row r="29" spans="1:47" s="2" customFormat="1" ht="15" customHeight="1" x14ac:dyDescent="0.2">
      <c r="A29" s="421"/>
      <c r="B29" s="425"/>
      <c r="C29" s="423"/>
      <c r="D29" s="421"/>
      <c r="E29" s="422"/>
      <c r="F29" s="365" t="s">
        <v>340</v>
      </c>
      <c r="G29" s="365" t="s">
        <v>339</v>
      </c>
      <c r="H29" s="365"/>
      <c r="I29" s="429"/>
      <c r="J29" s="266">
        <f t="shared" si="24"/>
        <v>0.80080000000000007</v>
      </c>
      <c r="K29" s="266">
        <f t="shared" si="24"/>
        <v>0.80080000000000007</v>
      </c>
      <c r="L29" s="266">
        <f t="shared" si="24"/>
        <v>0.80080000000000007</v>
      </c>
      <c r="M29" s="266">
        <f t="shared" si="24"/>
        <v>0.80080000000000007</v>
      </c>
      <c r="N29" s="266">
        <f t="shared" si="24"/>
        <v>0.80080000000000007</v>
      </c>
      <c r="O29" s="266">
        <f t="shared" si="24"/>
        <v>0.80080000000000007</v>
      </c>
      <c r="P29" s="266">
        <f t="shared" si="24"/>
        <v>0.80080000000000007</v>
      </c>
      <c r="Q29" s="266">
        <f t="shared" si="24"/>
        <v>0.80080000000000007</v>
      </c>
      <c r="R29" s="266">
        <f t="shared" si="24"/>
        <v>0.80080000000000007</v>
      </c>
      <c r="S29" s="266">
        <f t="shared" si="24"/>
        <v>0.80080000000000007</v>
      </c>
      <c r="T29" s="266">
        <f t="shared" si="24"/>
        <v>0.80080000000000007</v>
      </c>
      <c r="U29" s="266">
        <f t="shared" si="24"/>
        <v>0.80080000000000007</v>
      </c>
      <c r="V29" s="266">
        <f t="shared" si="24"/>
        <v>0.80080000000000007</v>
      </c>
      <c r="W29" s="266">
        <f t="shared" si="24"/>
        <v>0.80080000000000007</v>
      </c>
      <c r="X29" s="266">
        <f t="shared" si="24"/>
        <v>0.80080000000000007</v>
      </c>
      <c r="Y29" s="266">
        <f t="shared" si="24"/>
        <v>0.80080000000000007</v>
      </c>
      <c r="Z29" s="83"/>
      <c r="AA29" s="83"/>
      <c r="AB29" s="83"/>
      <c r="AC29" s="83"/>
      <c r="AD29" s="83"/>
      <c r="AE29" s="83"/>
      <c r="AF29" s="83"/>
      <c r="AG29" s="83"/>
      <c r="AH29" s="83"/>
      <c r="AI29" s="83"/>
      <c r="AJ29" s="83"/>
    </row>
    <row r="30" spans="1:47" s="2" customFormat="1" ht="15" customHeight="1" x14ac:dyDescent="0.2">
      <c r="A30" s="421"/>
      <c r="B30" s="425"/>
      <c r="C30" s="423"/>
      <c r="D30" s="422" t="s">
        <v>363</v>
      </c>
      <c r="E30" s="422"/>
      <c r="F30" s="276" t="s">
        <v>341</v>
      </c>
      <c r="G30" s="276">
        <v>2001</v>
      </c>
      <c r="H30" s="276"/>
      <c r="I30" s="283" t="s">
        <v>373</v>
      </c>
      <c r="J30" s="285">
        <f>L88</f>
        <v>0.49</v>
      </c>
      <c r="K30" s="285">
        <f t="shared" ref="K30:Y30" si="25">M88</f>
        <v>0.49</v>
      </c>
      <c r="L30" s="285">
        <f t="shared" si="25"/>
        <v>0.81</v>
      </c>
      <c r="M30" s="285">
        <f t="shared" si="25"/>
        <v>0.81</v>
      </c>
      <c r="N30" s="285">
        <f t="shared" si="25"/>
        <v>0.81</v>
      </c>
      <c r="O30" s="285">
        <f t="shared" si="25"/>
        <v>0.81</v>
      </c>
      <c r="P30" s="285">
        <f t="shared" si="25"/>
        <v>0.81</v>
      </c>
      <c r="Q30" s="285">
        <f t="shared" si="25"/>
        <v>0.81</v>
      </c>
      <c r="R30" s="285">
        <f t="shared" si="25"/>
        <v>0.81</v>
      </c>
      <c r="S30" s="285">
        <f t="shared" si="25"/>
        <v>0.49</v>
      </c>
      <c r="T30" s="285">
        <f t="shared" si="25"/>
        <v>0.49</v>
      </c>
      <c r="U30" s="285">
        <f t="shared" si="25"/>
        <v>0.49</v>
      </c>
      <c r="V30" s="285">
        <f t="shared" si="25"/>
        <v>0.49</v>
      </c>
      <c r="W30" s="285">
        <f t="shared" si="25"/>
        <v>0.49</v>
      </c>
      <c r="X30" s="285">
        <f t="shared" si="25"/>
        <v>0.49</v>
      </c>
      <c r="Y30" s="285">
        <f t="shared" si="25"/>
        <v>0.49</v>
      </c>
      <c r="Z30" s="83"/>
      <c r="AA30" s="83"/>
      <c r="AB30" s="83"/>
      <c r="AC30" s="83"/>
      <c r="AD30" s="83"/>
      <c r="AE30" s="83"/>
      <c r="AF30" s="83"/>
      <c r="AG30" s="83"/>
      <c r="AH30" s="83"/>
      <c r="AI30" s="83"/>
      <c r="AJ30" s="83"/>
    </row>
    <row r="31" spans="1:47" s="2" customFormat="1" ht="15" customHeight="1" x14ac:dyDescent="0.2">
      <c r="A31" s="421"/>
      <c r="B31" s="425"/>
      <c r="C31" s="423"/>
      <c r="D31" s="422"/>
      <c r="E31" s="422"/>
      <c r="F31" s="275" t="s">
        <v>343</v>
      </c>
      <c r="G31" s="275">
        <v>2013</v>
      </c>
      <c r="H31" s="275"/>
      <c r="I31" s="282" t="s">
        <v>374</v>
      </c>
      <c r="J31" s="269">
        <f>L89</f>
        <v>0.36</v>
      </c>
      <c r="K31" s="269">
        <f t="shared" ref="K31:Y31" si="26">M89</f>
        <v>0.36</v>
      </c>
      <c r="L31" s="269">
        <f t="shared" si="26"/>
        <v>0.36</v>
      </c>
      <c r="M31" s="269">
        <f t="shared" si="26"/>
        <v>0.36</v>
      </c>
      <c r="N31" s="269">
        <f t="shared" si="26"/>
        <v>0.36</v>
      </c>
      <c r="O31" s="269">
        <f t="shared" si="26"/>
        <v>0.36</v>
      </c>
      <c r="P31" s="269">
        <f t="shared" si="26"/>
        <v>0.36</v>
      </c>
      <c r="Q31" s="269">
        <f t="shared" si="26"/>
        <v>0.36</v>
      </c>
      <c r="R31" s="269">
        <f t="shared" si="26"/>
        <v>0.36</v>
      </c>
      <c r="S31" s="269">
        <f t="shared" si="26"/>
        <v>0.36</v>
      </c>
      <c r="T31" s="269">
        <f t="shared" si="26"/>
        <v>0.36</v>
      </c>
      <c r="U31" s="269">
        <f t="shared" si="26"/>
        <v>0.36</v>
      </c>
      <c r="V31" s="269">
        <f t="shared" si="26"/>
        <v>0.36</v>
      </c>
      <c r="W31" s="269">
        <f t="shared" si="26"/>
        <v>0.36</v>
      </c>
      <c r="X31" s="269">
        <f t="shared" si="26"/>
        <v>0.36</v>
      </c>
      <c r="Y31" s="269">
        <f t="shared" si="26"/>
        <v>0.36</v>
      </c>
      <c r="Z31" s="83"/>
      <c r="AA31" s="83"/>
      <c r="AB31" s="83"/>
      <c r="AC31" s="83"/>
      <c r="AD31" s="83"/>
      <c r="AE31" s="83"/>
      <c r="AF31" s="83"/>
      <c r="AG31" s="83"/>
      <c r="AH31" s="83"/>
      <c r="AI31" s="83"/>
      <c r="AJ31" s="83"/>
    </row>
    <row r="32" spans="1:47" s="2" customFormat="1" ht="15" customHeight="1" x14ac:dyDescent="0.2">
      <c r="A32" s="421"/>
      <c r="B32" s="425"/>
      <c r="C32" s="423"/>
      <c r="D32" s="422"/>
      <c r="E32" s="422"/>
      <c r="F32" s="274" t="s">
        <v>345</v>
      </c>
      <c r="G32" s="270">
        <v>2025</v>
      </c>
      <c r="H32" s="270"/>
      <c r="I32" s="280" t="s">
        <v>375</v>
      </c>
      <c r="J32" s="271">
        <f>L90</f>
        <v>0.36</v>
      </c>
      <c r="K32" s="271">
        <f t="shared" ref="K32:Y32" si="27">M90</f>
        <v>0.36</v>
      </c>
      <c r="L32" s="271">
        <f t="shared" si="27"/>
        <v>0.36</v>
      </c>
      <c r="M32" s="271">
        <f t="shared" si="27"/>
        <v>0.36</v>
      </c>
      <c r="N32" s="271">
        <f t="shared" si="27"/>
        <v>0.36</v>
      </c>
      <c r="O32" s="271">
        <f t="shared" si="27"/>
        <v>0.36</v>
      </c>
      <c r="P32" s="271">
        <f t="shared" si="27"/>
        <v>0.36</v>
      </c>
      <c r="Q32" s="271">
        <f t="shared" si="27"/>
        <v>0.36</v>
      </c>
      <c r="R32" s="271">
        <f t="shared" si="27"/>
        <v>0.34</v>
      </c>
      <c r="S32" s="271">
        <f t="shared" si="27"/>
        <v>0.36</v>
      </c>
      <c r="T32" s="271">
        <f t="shared" si="27"/>
        <v>0.34</v>
      </c>
      <c r="U32" s="271">
        <f t="shared" si="27"/>
        <v>0.34</v>
      </c>
      <c r="V32" s="271">
        <f t="shared" si="27"/>
        <v>0.34</v>
      </c>
      <c r="W32" s="271">
        <f t="shared" si="27"/>
        <v>0.34</v>
      </c>
      <c r="X32" s="271">
        <f t="shared" si="27"/>
        <v>0.34</v>
      </c>
      <c r="Y32" s="271">
        <f t="shared" si="27"/>
        <v>0.36</v>
      </c>
      <c r="Z32" s="83"/>
      <c r="AA32" s="83"/>
      <c r="AB32" s="83"/>
      <c r="AC32" s="83"/>
      <c r="AD32" s="83"/>
      <c r="AE32" s="83"/>
      <c r="AF32" s="83"/>
      <c r="AG32" s="83"/>
      <c r="AH32" s="83"/>
      <c r="AI32" s="83"/>
      <c r="AJ32" s="83"/>
    </row>
    <row r="33" spans="1:47" s="2" customFormat="1" ht="15" customHeight="1" x14ac:dyDescent="0.2">
      <c r="A33" s="421"/>
      <c r="B33" s="425"/>
      <c r="C33" s="423"/>
      <c r="D33" s="421" t="s">
        <v>360</v>
      </c>
      <c r="E33" s="422" t="s">
        <v>367</v>
      </c>
      <c r="F33" s="365" t="s">
        <v>338</v>
      </c>
      <c r="G33" s="365" t="s">
        <v>339</v>
      </c>
      <c r="H33" s="365"/>
      <c r="I33" s="421" t="str">
        <f>I18</f>
        <v>ASHRAE Handbook of Fundamentals for single pane &amp; T24, 2013  for double pane (58%-42%)</v>
      </c>
      <c r="J33" s="266">
        <f>0.79*0.58+J$36*0.42</f>
        <v>0.56320000000000003</v>
      </c>
      <c r="K33" s="266">
        <f t="shared" ref="K33:Y34" si="28">0.79*0.58+K$36*0.42</f>
        <v>0.56320000000000003</v>
      </c>
      <c r="L33" s="266">
        <f t="shared" si="28"/>
        <v>0.56320000000000003</v>
      </c>
      <c r="M33" s="266">
        <f t="shared" si="28"/>
        <v>0.56320000000000003</v>
      </c>
      <c r="N33" s="266">
        <f t="shared" si="28"/>
        <v>0.56320000000000003</v>
      </c>
      <c r="O33" s="266">
        <f t="shared" si="28"/>
        <v>0.56320000000000003</v>
      </c>
      <c r="P33" s="266">
        <f t="shared" si="28"/>
        <v>0.56320000000000003</v>
      </c>
      <c r="Q33" s="266">
        <f t="shared" si="28"/>
        <v>0.56320000000000003</v>
      </c>
      <c r="R33" s="266">
        <f t="shared" si="28"/>
        <v>0.56320000000000003</v>
      </c>
      <c r="S33" s="266">
        <f t="shared" si="28"/>
        <v>0.56320000000000003</v>
      </c>
      <c r="T33" s="266">
        <f t="shared" si="28"/>
        <v>0.56320000000000003</v>
      </c>
      <c r="U33" s="266">
        <f t="shared" si="28"/>
        <v>0.56320000000000003</v>
      </c>
      <c r="V33" s="266">
        <f t="shared" si="28"/>
        <v>0.56320000000000003</v>
      </c>
      <c r="W33" s="266">
        <f t="shared" si="28"/>
        <v>0.56320000000000003</v>
      </c>
      <c r="X33" s="266">
        <f t="shared" si="28"/>
        <v>0.56320000000000003</v>
      </c>
      <c r="Y33" s="266">
        <f t="shared" si="28"/>
        <v>0.56320000000000003</v>
      </c>
    </row>
    <row r="34" spans="1:47" s="2" customFormat="1" ht="15" customHeight="1" x14ac:dyDescent="0.2">
      <c r="A34" s="421"/>
      <c r="B34" s="425"/>
      <c r="C34" s="423"/>
      <c r="D34" s="421"/>
      <c r="E34" s="422"/>
      <c r="F34" s="365" t="s">
        <v>340</v>
      </c>
      <c r="G34" s="365" t="s">
        <v>339</v>
      </c>
      <c r="H34" s="365"/>
      <c r="I34" s="429"/>
      <c r="J34" s="273">
        <f>0.79*0.58+J$36*0.42</f>
        <v>0.56320000000000003</v>
      </c>
      <c r="K34" s="273">
        <f t="shared" si="28"/>
        <v>0.56320000000000003</v>
      </c>
      <c r="L34" s="273">
        <f t="shared" si="28"/>
        <v>0.56320000000000003</v>
      </c>
      <c r="M34" s="273">
        <f t="shared" si="28"/>
        <v>0.56320000000000003</v>
      </c>
      <c r="N34" s="273">
        <f t="shared" si="28"/>
        <v>0.56320000000000003</v>
      </c>
      <c r="O34" s="273">
        <f t="shared" si="28"/>
        <v>0.56320000000000003</v>
      </c>
      <c r="P34" s="273">
        <f t="shared" si="28"/>
        <v>0.56320000000000003</v>
      </c>
      <c r="Q34" s="273">
        <f t="shared" si="28"/>
        <v>0.56320000000000003</v>
      </c>
      <c r="R34" s="273">
        <f t="shared" si="28"/>
        <v>0.56320000000000003</v>
      </c>
      <c r="S34" s="273">
        <f t="shared" si="28"/>
        <v>0.56320000000000003</v>
      </c>
      <c r="T34" s="273">
        <f t="shared" si="28"/>
        <v>0.56320000000000003</v>
      </c>
      <c r="U34" s="273">
        <f t="shared" si="28"/>
        <v>0.56320000000000003</v>
      </c>
      <c r="V34" s="273">
        <f t="shared" si="28"/>
        <v>0.56320000000000003</v>
      </c>
      <c r="W34" s="273">
        <f t="shared" si="28"/>
        <v>0.56320000000000003</v>
      </c>
      <c r="X34" s="273">
        <f t="shared" si="28"/>
        <v>0.56320000000000003</v>
      </c>
      <c r="Y34" s="273">
        <f t="shared" si="28"/>
        <v>0.56320000000000003</v>
      </c>
    </row>
    <row r="35" spans="1:47" s="2" customFormat="1" ht="15" customHeight="1" x14ac:dyDescent="0.2">
      <c r="A35" s="421"/>
      <c r="B35" s="425"/>
      <c r="C35" s="423"/>
      <c r="D35" s="422" t="s">
        <v>363</v>
      </c>
      <c r="E35" s="422"/>
      <c r="F35" s="276" t="s">
        <v>341</v>
      </c>
      <c r="G35" s="276">
        <v>2001</v>
      </c>
      <c r="H35" s="276"/>
      <c r="I35" s="283" t="s">
        <v>376</v>
      </c>
      <c r="J35" s="272">
        <f t="shared" ref="J35:Y35" si="29">L125</f>
        <v>0.43</v>
      </c>
      <c r="K35" s="272">
        <f t="shared" si="29"/>
        <v>0.31</v>
      </c>
      <c r="L35" s="272">
        <f t="shared" si="29"/>
        <v>0.41</v>
      </c>
      <c r="M35" s="272">
        <f t="shared" si="29"/>
        <v>0.41</v>
      </c>
      <c r="N35" s="272">
        <f t="shared" si="29"/>
        <v>0.41</v>
      </c>
      <c r="O35" s="272">
        <f t="shared" si="29"/>
        <v>0.34</v>
      </c>
      <c r="P35" s="272">
        <f t="shared" si="29"/>
        <v>0.34</v>
      </c>
      <c r="Q35" s="272">
        <f t="shared" si="29"/>
        <v>0.34</v>
      </c>
      <c r="R35" s="272">
        <f t="shared" si="29"/>
        <v>0.34</v>
      </c>
      <c r="S35" s="272">
        <f t="shared" si="29"/>
        <v>0.31</v>
      </c>
      <c r="T35" s="272">
        <f t="shared" si="29"/>
        <v>0.31</v>
      </c>
      <c r="U35" s="272">
        <f t="shared" si="29"/>
        <v>0.31</v>
      </c>
      <c r="V35" s="272">
        <f t="shared" si="29"/>
        <v>0.31</v>
      </c>
      <c r="W35" s="272">
        <f t="shared" si="29"/>
        <v>0.31</v>
      </c>
      <c r="X35" s="272">
        <f t="shared" si="29"/>
        <v>0.31</v>
      </c>
      <c r="Y35" s="272">
        <f t="shared" si="29"/>
        <v>0.43</v>
      </c>
    </row>
    <row r="36" spans="1:47" s="2" customFormat="1" ht="15" customHeight="1" x14ac:dyDescent="0.2">
      <c r="A36" s="421"/>
      <c r="B36" s="425"/>
      <c r="C36" s="423"/>
      <c r="D36" s="422"/>
      <c r="E36" s="422"/>
      <c r="F36" s="275" t="s">
        <v>343</v>
      </c>
      <c r="G36" s="275">
        <v>2013</v>
      </c>
      <c r="H36" s="275"/>
      <c r="I36" s="282" t="s">
        <v>377</v>
      </c>
      <c r="J36" s="269">
        <f>L94</f>
        <v>0.25</v>
      </c>
      <c r="K36" s="269">
        <f t="shared" ref="K36:Y36" si="30">M94</f>
        <v>0.25</v>
      </c>
      <c r="L36" s="269">
        <f t="shared" si="30"/>
        <v>0.25</v>
      </c>
      <c r="M36" s="269">
        <f t="shared" si="30"/>
        <v>0.25</v>
      </c>
      <c r="N36" s="269">
        <f t="shared" si="30"/>
        <v>0.25</v>
      </c>
      <c r="O36" s="269">
        <f t="shared" si="30"/>
        <v>0.25</v>
      </c>
      <c r="P36" s="269">
        <f t="shared" si="30"/>
        <v>0.25</v>
      </c>
      <c r="Q36" s="269">
        <f t="shared" si="30"/>
        <v>0.25</v>
      </c>
      <c r="R36" s="269">
        <f t="shared" si="30"/>
        <v>0.25</v>
      </c>
      <c r="S36" s="269">
        <f t="shared" si="30"/>
        <v>0.25</v>
      </c>
      <c r="T36" s="269">
        <f t="shared" si="30"/>
        <v>0.25</v>
      </c>
      <c r="U36" s="269">
        <f t="shared" si="30"/>
        <v>0.25</v>
      </c>
      <c r="V36" s="269">
        <f t="shared" si="30"/>
        <v>0.25</v>
      </c>
      <c r="W36" s="269">
        <f t="shared" si="30"/>
        <v>0.25</v>
      </c>
      <c r="X36" s="269">
        <f t="shared" si="30"/>
        <v>0.25</v>
      </c>
      <c r="Y36" s="269">
        <f t="shared" si="30"/>
        <v>0.25</v>
      </c>
    </row>
    <row r="37" spans="1:47" s="2" customFormat="1" ht="15.75" customHeight="1" x14ac:dyDescent="0.2">
      <c r="A37" s="421"/>
      <c r="B37" s="426"/>
      <c r="C37" s="423"/>
      <c r="D37" s="422"/>
      <c r="E37" s="422"/>
      <c r="F37" s="274" t="s">
        <v>345</v>
      </c>
      <c r="G37" s="270">
        <v>2025</v>
      </c>
      <c r="H37" s="270"/>
      <c r="I37" s="280" t="s">
        <v>377</v>
      </c>
      <c r="J37" s="271">
        <f>L95</f>
        <v>0.25</v>
      </c>
      <c r="K37" s="271">
        <f t="shared" ref="K37:Y37" si="31">M95</f>
        <v>0.25</v>
      </c>
      <c r="L37" s="271">
        <f t="shared" si="31"/>
        <v>0.25</v>
      </c>
      <c r="M37" s="271">
        <f t="shared" si="31"/>
        <v>0.25</v>
      </c>
      <c r="N37" s="271">
        <f t="shared" si="31"/>
        <v>0.25</v>
      </c>
      <c r="O37" s="271">
        <f t="shared" si="31"/>
        <v>0.25</v>
      </c>
      <c r="P37" s="271">
        <f t="shared" si="31"/>
        <v>0.25</v>
      </c>
      <c r="Q37" s="271">
        <f t="shared" si="31"/>
        <v>0.25</v>
      </c>
      <c r="R37" s="271">
        <f t="shared" si="31"/>
        <v>0.22</v>
      </c>
      <c r="S37" s="271">
        <f t="shared" si="31"/>
        <v>0.25</v>
      </c>
      <c r="T37" s="271">
        <f t="shared" si="31"/>
        <v>0.22</v>
      </c>
      <c r="U37" s="271">
        <f t="shared" si="31"/>
        <v>0.22</v>
      </c>
      <c r="V37" s="271">
        <f t="shared" si="31"/>
        <v>0.22</v>
      </c>
      <c r="W37" s="271">
        <f t="shared" si="31"/>
        <v>0.22</v>
      </c>
      <c r="X37" s="271">
        <f t="shared" si="31"/>
        <v>0.22</v>
      </c>
      <c r="Y37" s="271">
        <f t="shared" si="31"/>
        <v>0.25</v>
      </c>
    </row>
    <row r="38" spans="1:47" customFormat="1" ht="30.75" customHeight="1" x14ac:dyDescent="0.25">
      <c r="A38" t="s">
        <v>378</v>
      </c>
    </row>
    <row r="39" spans="1:47" customFormat="1" ht="30.75" customHeight="1" x14ac:dyDescent="0.25"/>
    <row r="40" spans="1:47" customFormat="1" ht="30.75" customHeight="1" x14ac:dyDescent="0.25"/>
    <row r="41" spans="1:47" customFormat="1" ht="26.25" customHeight="1" x14ac:dyDescent="0.25">
      <c r="E41" s="455" t="s">
        <v>379</v>
      </c>
      <c r="F41" s="456"/>
      <c r="G41" s="456"/>
      <c r="H41" s="456"/>
      <c r="I41" s="457"/>
    </row>
    <row r="42" spans="1:47" customFormat="1" ht="55.5" customHeight="1" x14ac:dyDescent="0.25">
      <c r="E42" s="267"/>
      <c r="F42" s="118" t="s">
        <v>315</v>
      </c>
      <c r="G42" s="267" t="s">
        <v>380</v>
      </c>
      <c r="H42" s="267" t="s">
        <v>69</v>
      </c>
      <c r="I42" s="267" t="s">
        <v>381</v>
      </c>
    </row>
    <row r="43" spans="1:47" customFormat="1" ht="15" customHeight="1" x14ac:dyDescent="0.25">
      <c r="E43" s="424" t="s">
        <v>379</v>
      </c>
      <c r="F43" s="365" t="s">
        <v>338</v>
      </c>
      <c r="G43" s="432" t="s">
        <v>382</v>
      </c>
      <c r="H43" s="424" t="s">
        <v>383</v>
      </c>
      <c r="I43" s="421">
        <v>3.18</v>
      </c>
    </row>
    <row r="44" spans="1:47" customFormat="1" ht="15" x14ac:dyDescent="0.25">
      <c r="E44" s="425"/>
      <c r="F44" s="365" t="s">
        <v>340</v>
      </c>
      <c r="G44" s="432"/>
      <c r="H44" s="425"/>
      <c r="I44" s="421"/>
    </row>
    <row r="45" spans="1:47" customFormat="1" ht="15" x14ac:dyDescent="0.25">
      <c r="E45" s="425"/>
      <c r="F45" s="365" t="s">
        <v>341</v>
      </c>
      <c r="G45" s="432"/>
      <c r="H45" s="425"/>
      <c r="I45" s="421"/>
    </row>
    <row r="46" spans="1:47" customFormat="1" ht="15" x14ac:dyDescent="0.25">
      <c r="E46" s="425"/>
      <c r="F46" s="365" t="s">
        <v>343</v>
      </c>
      <c r="G46" s="432"/>
      <c r="H46" s="426"/>
      <c r="I46" s="421"/>
    </row>
    <row r="47" spans="1:47" customFormat="1" ht="45" customHeight="1" x14ac:dyDescent="0.25">
      <c r="E47" s="425"/>
      <c r="F47" s="363" t="s">
        <v>345</v>
      </c>
      <c r="G47" s="453" t="s">
        <v>384</v>
      </c>
      <c r="H47" s="365" t="s">
        <v>110</v>
      </c>
      <c r="I47" s="364">
        <v>2.2999999999999998</v>
      </c>
    </row>
    <row r="48" spans="1:47" ht="50.25" customHeight="1" x14ac:dyDescent="0.25">
      <c r="A48" s="6"/>
      <c r="B48" s="6"/>
      <c r="C48" s="6"/>
      <c r="D48" s="82"/>
      <c r="E48" s="452"/>
      <c r="F48" s="341" t="s">
        <v>345</v>
      </c>
      <c r="G48" s="454"/>
      <c r="H48" s="365" t="s">
        <v>83</v>
      </c>
      <c r="I48" s="340">
        <v>7</v>
      </c>
      <c r="J48"/>
      <c r="K48"/>
      <c r="L48"/>
      <c r="M48"/>
      <c r="N48"/>
      <c r="O48"/>
      <c r="P48"/>
      <c r="Q48"/>
      <c r="R48"/>
      <c r="S48"/>
      <c r="T48"/>
      <c r="U48"/>
      <c r="V48"/>
      <c r="W48"/>
      <c r="X48"/>
      <c r="Y48"/>
      <c r="Z48"/>
      <c r="AA48"/>
      <c r="AB48"/>
      <c r="AC48" s="2"/>
      <c r="AD48" s="2"/>
      <c r="AE48" s="2"/>
      <c r="AF48" s="2"/>
      <c r="AG48" s="2"/>
      <c r="AH48" s="2"/>
      <c r="AI48" s="2"/>
      <c r="AJ48" s="2"/>
      <c r="AK48" s="2"/>
      <c r="AL48" s="2"/>
      <c r="AM48" s="2"/>
      <c r="AN48" s="2"/>
      <c r="AO48" s="2"/>
      <c r="AP48" s="2"/>
      <c r="AQ48" s="2"/>
      <c r="AR48" s="2"/>
      <c r="AS48" s="2"/>
      <c r="AT48" s="2"/>
      <c r="AU48" s="2"/>
    </row>
    <row r="49" spans="1:47" ht="15" customHeight="1" x14ac:dyDescent="0.25">
      <c r="A49" s="6"/>
      <c r="B49" s="6"/>
      <c r="C49" s="6"/>
      <c r="D49" s="82"/>
      <c r="E49" s="360" t="s">
        <v>385</v>
      </c>
      <c r="F49" s="6"/>
      <c r="G49" s="132"/>
      <c r="H49" s="132"/>
      <c r="I49" s="82"/>
      <c r="J49"/>
      <c r="K49"/>
      <c r="L49"/>
      <c r="M49"/>
      <c r="N49"/>
      <c r="O49"/>
      <c r="P49"/>
      <c r="Q49"/>
      <c r="R49"/>
      <c r="S49"/>
      <c r="T49"/>
      <c r="U49"/>
      <c r="V49"/>
      <c r="W49"/>
      <c r="X49"/>
      <c r="Y49"/>
      <c r="Z49"/>
      <c r="AA49"/>
      <c r="AB49"/>
      <c r="AC49" s="2"/>
      <c r="AD49" s="2"/>
      <c r="AE49" s="2"/>
      <c r="AF49" s="2"/>
      <c r="AG49" s="2"/>
      <c r="AH49" s="2"/>
      <c r="AI49" s="2"/>
      <c r="AJ49" s="2"/>
      <c r="AK49" s="2"/>
      <c r="AL49" s="2"/>
      <c r="AM49" s="2"/>
      <c r="AN49" s="2"/>
      <c r="AO49" s="2"/>
      <c r="AP49" s="2"/>
      <c r="AQ49" s="2"/>
      <c r="AR49" s="2"/>
      <c r="AS49" s="2"/>
      <c r="AT49" s="2"/>
      <c r="AU49" s="2"/>
    </row>
    <row r="50" spans="1:47" ht="15" customHeight="1" x14ac:dyDescent="0.25">
      <c r="A50" s="6"/>
      <c r="B50" s="6"/>
      <c r="C50" s="6"/>
      <c r="D50" s="82"/>
      <c r="E50" s="6" t="s">
        <v>56</v>
      </c>
      <c r="F50" s="6"/>
      <c r="G50" s="132"/>
      <c r="H50" s="132"/>
      <c r="I50" s="82"/>
      <c r="J50"/>
      <c r="K50"/>
      <c r="L50"/>
      <c r="M50"/>
      <c r="N50"/>
      <c r="O50"/>
      <c r="P50"/>
      <c r="Q50"/>
      <c r="R50"/>
      <c r="S50"/>
      <c r="T50"/>
      <c r="U50"/>
      <c r="V50"/>
      <c r="W50"/>
      <c r="X50"/>
      <c r="Y50"/>
      <c r="Z50"/>
      <c r="AA50"/>
      <c r="AB50"/>
      <c r="AC50" s="2"/>
      <c r="AD50" s="2"/>
      <c r="AE50" s="2"/>
      <c r="AF50" s="2"/>
      <c r="AG50" s="2"/>
      <c r="AH50" s="2"/>
      <c r="AI50" s="2"/>
      <c r="AJ50" s="2"/>
      <c r="AK50" s="2"/>
      <c r="AL50" s="2"/>
      <c r="AM50" s="2"/>
      <c r="AN50" s="2"/>
      <c r="AO50" s="2"/>
      <c r="AP50" s="2"/>
      <c r="AQ50" s="2"/>
      <c r="AR50" s="2"/>
      <c r="AS50" s="2"/>
      <c r="AT50" s="2"/>
      <c r="AU50" s="2"/>
    </row>
    <row r="51" spans="1:47" ht="15" customHeight="1" x14ac:dyDescent="0.25">
      <c r="A51" s="6"/>
      <c r="B51" s="6"/>
      <c r="C51" s="6"/>
      <c r="D51" s="82"/>
      <c r="E51" s="6"/>
      <c r="F51" s="6"/>
      <c r="G51" s="132"/>
      <c r="H51" s="132"/>
      <c r="I51" s="82"/>
      <c r="J51"/>
      <c r="K51"/>
      <c r="L51"/>
      <c r="M51"/>
      <c r="N51"/>
      <c r="O51"/>
      <c r="P51"/>
      <c r="Q51"/>
      <c r="R51"/>
      <c r="S51"/>
      <c r="T51"/>
      <c r="U51"/>
      <c r="V51"/>
      <c r="W51"/>
      <c r="X51"/>
      <c r="Y51"/>
      <c r="Z51"/>
      <c r="AA51"/>
      <c r="AB51"/>
      <c r="AC51" s="2"/>
      <c r="AD51" s="2"/>
      <c r="AE51" s="2"/>
      <c r="AF51" s="2"/>
      <c r="AG51" s="2"/>
      <c r="AH51" s="2"/>
      <c r="AI51" s="2"/>
      <c r="AJ51" s="2"/>
      <c r="AK51" s="2"/>
      <c r="AL51" s="2"/>
      <c r="AM51" s="2"/>
      <c r="AN51" s="2"/>
      <c r="AO51" s="2"/>
      <c r="AP51" s="2"/>
      <c r="AQ51" s="2"/>
      <c r="AR51" s="2"/>
      <c r="AS51" s="2"/>
      <c r="AT51" s="2"/>
      <c r="AU51" s="2"/>
    </row>
    <row r="53" spans="1:47" s="63" customFormat="1" ht="18" x14ac:dyDescent="0.25">
      <c r="A53" s="25" t="s">
        <v>175</v>
      </c>
      <c r="B53" s="203"/>
      <c r="C53" s="203"/>
      <c r="D53" s="203"/>
      <c r="E53" s="204"/>
      <c r="F53" s="205"/>
      <c r="G53" s="206"/>
      <c r="H53" s="206"/>
      <c r="I53" s="203"/>
      <c r="J53" s="203"/>
      <c r="K53" s="203"/>
      <c r="L53" s="203"/>
      <c r="M53" s="203"/>
      <c r="N53" s="203"/>
      <c r="O53" s="203"/>
      <c r="P53" s="203"/>
      <c r="Q53" s="203"/>
      <c r="R53" s="203"/>
      <c r="S53" s="203"/>
      <c r="T53" s="203"/>
      <c r="U53" s="203"/>
      <c r="V53" s="203"/>
      <c r="W53" s="203"/>
      <c r="X53" s="203"/>
      <c r="Y53" s="203"/>
      <c r="Z53" s="203"/>
      <c r="AA53" s="203"/>
      <c r="AB53" s="203"/>
      <c r="AC53" s="203"/>
      <c r="AD53" s="203"/>
      <c r="AE53" s="203"/>
      <c r="AF53" s="203"/>
      <c r="AG53" s="203"/>
      <c r="AH53" s="203"/>
      <c r="AI53" s="203"/>
      <c r="AJ53" s="203"/>
      <c r="AK53" s="203"/>
      <c r="AL53" s="203"/>
      <c r="AM53" s="203"/>
      <c r="AN53" s="203"/>
      <c r="AO53" s="203"/>
      <c r="AP53" s="203"/>
      <c r="AQ53" s="203"/>
      <c r="AR53" s="203"/>
      <c r="AS53" s="203"/>
      <c r="AT53" s="203"/>
      <c r="AU53" s="203"/>
    </row>
    <row r="54" spans="1:47" x14ac:dyDescent="0.2">
      <c r="A54" s="2"/>
      <c r="B54" s="207"/>
      <c r="C54" s="2"/>
      <c r="D54" s="2"/>
      <c r="E54" s="2"/>
      <c r="F54" s="2"/>
      <c r="G54" s="208"/>
      <c r="H54" s="208"/>
      <c r="I54" s="208"/>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row>
    <row r="55" spans="1:47" ht="15.75" x14ac:dyDescent="0.2">
      <c r="A55" s="2"/>
      <c r="B55" s="207"/>
      <c r="C55" s="81" t="s">
        <v>386</v>
      </c>
      <c r="D55" s="2"/>
      <c r="E55" s="2"/>
      <c r="F55" s="2"/>
      <c r="G55" s="208"/>
      <c r="H55" s="208"/>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row>
    <row r="56" spans="1:47" ht="15.75" x14ac:dyDescent="0.2">
      <c r="A56" s="2"/>
      <c r="B56" s="207"/>
      <c r="C56" s="81"/>
      <c r="D56" s="2"/>
      <c r="E56" s="2"/>
      <c r="F56" s="2"/>
      <c r="G56" s="208"/>
      <c r="H56" s="208"/>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row>
    <row r="57" spans="1:47" ht="15.75" x14ac:dyDescent="0.25">
      <c r="A57" s="2"/>
      <c r="B57" s="207"/>
      <c r="C57" s="81" t="s">
        <v>387</v>
      </c>
      <c r="D57"/>
      <c r="E57" s="2"/>
      <c r="F57" s="2"/>
      <c r="G57" s="208"/>
      <c r="H57" s="208"/>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row>
    <row r="58" spans="1:47" ht="15" x14ac:dyDescent="0.25">
      <c r="A58" s="2"/>
      <c r="B58" s="207"/>
      <c r="C58" s="2"/>
      <c r="D58"/>
      <c r="E58" s="2"/>
      <c r="F58" s="2"/>
      <c r="G58" s="208"/>
      <c r="H58" s="208"/>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row>
    <row r="59" spans="1:47" ht="15" x14ac:dyDescent="0.25">
      <c r="A59" s="87" t="s">
        <v>388</v>
      </c>
      <c r="B59" s="88"/>
      <c r="C59" s="86">
        <v>0.25</v>
      </c>
      <c r="D59"/>
      <c r="E59" s="2"/>
      <c r="F59" s="2"/>
      <c r="G59" s="208"/>
      <c r="H59" s="208"/>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row>
    <row r="60" spans="1:47" ht="15" customHeight="1" x14ac:dyDescent="0.25">
      <c r="A60" s="2"/>
      <c r="B60" s="207"/>
      <c r="C60" s="2"/>
      <c r="D60"/>
      <c r="E60" s="451" t="s">
        <v>389</v>
      </c>
      <c r="F60" s="2" t="s">
        <v>390</v>
      </c>
      <c r="G60" s="208">
        <f>(160+66)*2</f>
        <v>452</v>
      </c>
      <c r="H60" s="208"/>
      <c r="I60" s="2" t="s">
        <v>391</v>
      </c>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row>
    <row r="61" spans="1:47" ht="15" x14ac:dyDescent="0.25">
      <c r="A61" s="2"/>
      <c r="B61" s="207"/>
      <c r="C61" s="2"/>
      <c r="D61"/>
      <c r="E61" s="451"/>
      <c r="F61" s="2" t="s">
        <v>392</v>
      </c>
      <c r="G61" s="208">
        <f>190*66</f>
        <v>12540</v>
      </c>
      <c r="H61" s="208"/>
      <c r="I61" s="2" t="s">
        <v>393</v>
      </c>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row>
    <row r="62" spans="1:47" ht="15" x14ac:dyDescent="0.25">
      <c r="A62" s="2"/>
      <c r="B62" s="207"/>
      <c r="C62" s="2"/>
      <c r="D62" s="2"/>
      <c r="E62" s="451"/>
      <c r="F62" s="212" t="s">
        <v>394</v>
      </c>
      <c r="G62" s="208"/>
      <c r="H62" s="208"/>
      <c r="I62" s="213"/>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row>
    <row r="63" spans="1:47" ht="15" x14ac:dyDescent="0.25">
      <c r="A63" s="2"/>
      <c r="B63" s="207"/>
      <c r="C63" s="2"/>
      <c r="D63" s="2"/>
      <c r="E63" s="451"/>
      <c r="F63" s="212" t="s">
        <v>395</v>
      </c>
      <c r="G63" s="208"/>
      <c r="H63" s="208"/>
      <c r="I63" s="215"/>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row>
    <row r="64" spans="1:47" ht="15" x14ac:dyDescent="0.25">
      <c r="A64" s="2"/>
      <c r="B64" s="207"/>
      <c r="C64" s="2"/>
      <c r="D64" s="2"/>
      <c r="E64" s="451"/>
      <c r="F64" s="212" t="s">
        <v>396</v>
      </c>
      <c r="G64" s="208"/>
      <c r="H64" s="208"/>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row>
    <row r="65" spans="1:47" ht="15" x14ac:dyDescent="0.25">
      <c r="A65" s="2"/>
      <c r="B65" s="207"/>
      <c r="C65" s="2"/>
      <c r="D65" s="2"/>
      <c r="E65" s="451"/>
      <c r="F65" s="212" t="s">
        <v>397</v>
      </c>
      <c r="G65" s="208"/>
      <c r="H65" s="208"/>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row>
    <row r="66" spans="1:47" ht="15" x14ac:dyDescent="0.25">
      <c r="A66" s="2"/>
      <c r="B66" s="207"/>
      <c r="C66" s="2"/>
      <c r="D66" s="2"/>
      <c r="E66" s="451"/>
      <c r="F66" s="212" t="s">
        <v>398</v>
      </c>
      <c r="G66" s="208"/>
      <c r="H66" s="208"/>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row>
    <row r="67" spans="1:47" ht="15" x14ac:dyDescent="0.25">
      <c r="A67" s="2"/>
      <c r="B67" s="207"/>
      <c r="C67" s="2"/>
      <c r="D67" s="2"/>
      <c r="E67" s="451"/>
      <c r="F67" s="212" t="s">
        <v>399</v>
      </c>
      <c r="G67" s="208"/>
      <c r="H67" s="208"/>
      <c r="I67" s="2" t="s">
        <v>400</v>
      </c>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row>
    <row r="68" spans="1:47" ht="15.75" x14ac:dyDescent="0.25">
      <c r="A68" s="2"/>
      <c r="B68" s="207"/>
      <c r="C68" s="2"/>
      <c r="D68" s="2"/>
      <c r="E68" s="451"/>
      <c r="F68" s="146" t="s">
        <v>401</v>
      </c>
      <c r="G68" t="s">
        <v>402</v>
      </c>
      <c r="H68"/>
      <c r="I68" s="214" t="s">
        <v>403</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row>
    <row r="69" spans="1:47" ht="15.75" x14ac:dyDescent="0.25">
      <c r="A69" s="2"/>
      <c r="B69" s="207"/>
      <c r="C69" s="2"/>
      <c r="D69" s="2"/>
      <c r="E69" s="451"/>
      <c r="F69" s="146" t="s">
        <v>404</v>
      </c>
      <c r="G69" t="s">
        <v>405</v>
      </c>
      <c r="H69"/>
      <c r="I69" s="2" t="s">
        <v>406</v>
      </c>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row>
    <row r="70" spans="1:47" x14ac:dyDescent="0.2">
      <c r="A70" s="2"/>
      <c r="B70" s="207"/>
      <c r="C70" s="2"/>
      <c r="D70" s="2"/>
      <c r="E70" s="147"/>
      <c r="F70" s="2"/>
      <c r="G70" s="208"/>
      <c r="H70" s="208"/>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row>
    <row r="71" spans="1:47" x14ac:dyDescent="0.2">
      <c r="A71" s="2"/>
      <c r="B71" s="207"/>
      <c r="C71" s="2"/>
      <c r="D71" s="2"/>
      <c r="E71" s="147"/>
      <c r="F71" s="2"/>
      <c r="G71" s="208"/>
      <c r="H71" s="208"/>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row>
    <row r="72" spans="1:47" x14ac:dyDescent="0.2">
      <c r="A72" s="2"/>
      <c r="B72" s="207"/>
      <c r="C72" s="2"/>
      <c r="D72" s="2"/>
      <c r="E72" s="2"/>
      <c r="F72" s="2"/>
      <c r="G72" s="208"/>
      <c r="H72" s="208"/>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row>
    <row r="73" spans="1:47" x14ac:dyDescent="0.2">
      <c r="A73" s="2"/>
      <c r="B73" s="207"/>
      <c r="C73" s="2"/>
      <c r="D73" s="2"/>
      <c r="E73" s="2"/>
      <c r="F73" s="2"/>
      <c r="G73" s="208"/>
      <c r="H73" s="208"/>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row>
    <row r="74" spans="1:47" ht="15" x14ac:dyDescent="0.25">
      <c r="A74" s="2"/>
      <c r="B74" s="207"/>
      <c r="C74" s="2"/>
      <c r="D74" s="2"/>
      <c r="E74" s="2"/>
      <c r="F74"/>
      <c r="G74" s="208"/>
      <c r="H74" s="208"/>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row>
    <row r="75" spans="1:47" ht="15" thickBot="1" x14ac:dyDescent="0.25">
      <c r="A75" s="2"/>
      <c r="B75" s="207"/>
      <c r="C75" s="2"/>
      <c r="D75" s="2"/>
      <c r="E75" s="2"/>
      <c r="F75" s="2"/>
      <c r="G75" s="208"/>
      <c r="H75" s="208"/>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row>
    <row r="76" spans="1:47" ht="15" customHeight="1" x14ac:dyDescent="0.2">
      <c r="A76" s="2"/>
      <c r="B76" s="207"/>
      <c r="C76" s="445" t="s">
        <v>407</v>
      </c>
      <c r="D76" s="448" t="s">
        <v>408</v>
      </c>
      <c r="E76" s="439" t="s">
        <v>409</v>
      </c>
      <c r="F76" s="433" t="s">
        <v>410</v>
      </c>
      <c r="G76" s="434"/>
      <c r="H76" s="337"/>
      <c r="I76" s="186" t="s">
        <v>338</v>
      </c>
      <c r="J76" s="112" t="s">
        <v>339</v>
      </c>
      <c r="K76" s="102"/>
      <c r="L76" s="102"/>
      <c r="M76" s="102"/>
      <c r="N76" s="102"/>
      <c r="O76" s="102"/>
      <c r="P76" s="102"/>
      <c r="Q76" s="102"/>
      <c r="R76" s="102"/>
      <c r="S76" s="102"/>
      <c r="T76" s="102"/>
      <c r="U76" s="102"/>
      <c r="V76" s="102"/>
      <c r="W76" s="102"/>
      <c r="X76" s="102"/>
      <c r="Y76" s="102"/>
      <c r="Z76" s="102"/>
      <c r="AA76" s="103"/>
      <c r="AB76" s="2"/>
      <c r="AC76" s="2"/>
      <c r="AD76" s="2"/>
      <c r="AE76" s="2"/>
      <c r="AF76" s="2"/>
      <c r="AG76" s="2"/>
      <c r="AH76" s="2"/>
      <c r="AI76" s="2"/>
      <c r="AJ76" s="2"/>
      <c r="AK76" s="2"/>
      <c r="AL76" s="2"/>
      <c r="AM76" s="2"/>
      <c r="AN76" s="2"/>
      <c r="AO76" s="2"/>
      <c r="AP76" s="2"/>
      <c r="AQ76" s="2"/>
      <c r="AR76" s="2"/>
      <c r="AS76" s="2"/>
      <c r="AT76" s="2"/>
      <c r="AU76" s="2"/>
    </row>
    <row r="77" spans="1:47" ht="15" customHeight="1" x14ac:dyDescent="0.2">
      <c r="A77" s="2"/>
      <c r="B77" s="207"/>
      <c r="C77" s="446"/>
      <c r="D77" s="449"/>
      <c r="E77" s="440"/>
      <c r="F77" s="435"/>
      <c r="G77" s="436"/>
      <c r="H77" s="338"/>
      <c r="I77" s="187" t="s">
        <v>340</v>
      </c>
      <c r="J77" s="113">
        <v>1984</v>
      </c>
      <c r="K77" s="90"/>
      <c r="L77" s="90"/>
      <c r="M77" s="90"/>
      <c r="N77" s="90"/>
      <c r="O77" s="90"/>
      <c r="P77" s="90"/>
      <c r="Q77" s="90"/>
      <c r="R77" s="90"/>
      <c r="S77" s="90"/>
      <c r="T77" s="90"/>
      <c r="U77" s="90"/>
      <c r="V77" s="90"/>
      <c r="W77" s="90"/>
      <c r="X77" s="90"/>
      <c r="Y77" s="90"/>
      <c r="Z77" s="90"/>
      <c r="AA77" s="104"/>
      <c r="AB77" s="2"/>
      <c r="AC77" s="2"/>
      <c r="AD77" s="2"/>
      <c r="AE77" s="2"/>
      <c r="AF77" s="2"/>
      <c r="AG77" s="2"/>
      <c r="AH77" s="2"/>
      <c r="AI77" s="2"/>
      <c r="AJ77" s="2"/>
      <c r="AK77" s="2"/>
      <c r="AL77" s="2"/>
      <c r="AM77" s="2"/>
      <c r="AN77" s="2"/>
      <c r="AO77" s="2"/>
      <c r="AP77" s="2"/>
      <c r="AQ77" s="2"/>
      <c r="AR77" s="2"/>
      <c r="AS77" s="2"/>
      <c r="AT77" s="2"/>
      <c r="AU77" s="2"/>
    </row>
    <row r="78" spans="1:47" ht="15" customHeight="1" x14ac:dyDescent="0.2">
      <c r="A78" s="2"/>
      <c r="B78" s="207"/>
      <c r="C78" s="446"/>
      <c r="D78" s="449"/>
      <c r="E78" s="440"/>
      <c r="F78" s="435"/>
      <c r="G78" s="436"/>
      <c r="H78" s="338"/>
      <c r="I78" s="187" t="s">
        <v>341</v>
      </c>
      <c r="J78" s="113">
        <v>2001</v>
      </c>
      <c r="K78" s="90"/>
      <c r="L78" s="90">
        <v>0.49</v>
      </c>
      <c r="M78" s="90">
        <v>0.49</v>
      </c>
      <c r="N78" s="90">
        <v>0.49</v>
      </c>
      <c r="O78" s="90">
        <v>0.49</v>
      </c>
      <c r="P78" s="90">
        <v>0.49</v>
      </c>
      <c r="Q78" s="90">
        <v>0.49</v>
      </c>
      <c r="R78" s="90">
        <v>0.49</v>
      </c>
      <c r="S78" s="90">
        <v>0.49</v>
      </c>
      <c r="T78" s="90">
        <v>0.49</v>
      </c>
      <c r="U78" s="90">
        <v>0.49</v>
      </c>
      <c r="V78" s="90">
        <v>0.49</v>
      </c>
      <c r="W78" s="90">
        <v>0.49</v>
      </c>
      <c r="X78" s="90">
        <v>0.49</v>
      </c>
      <c r="Y78" s="90">
        <v>0.49</v>
      </c>
      <c r="Z78" s="90">
        <v>0.49</v>
      </c>
      <c r="AA78" s="104">
        <v>0.49</v>
      </c>
      <c r="AB78" s="2"/>
      <c r="AC78" s="2"/>
      <c r="AD78" s="2"/>
      <c r="AE78" s="2"/>
      <c r="AF78" s="2"/>
      <c r="AG78" s="2"/>
      <c r="AH78" s="2"/>
      <c r="AI78" s="2"/>
      <c r="AJ78" s="2"/>
      <c r="AK78" s="2"/>
      <c r="AL78" s="2"/>
      <c r="AM78" s="2"/>
      <c r="AN78" s="2"/>
      <c r="AO78" s="2"/>
      <c r="AP78" s="2"/>
      <c r="AQ78" s="2"/>
      <c r="AR78" s="2"/>
      <c r="AS78" s="2"/>
      <c r="AT78" s="2"/>
      <c r="AU78" s="2"/>
    </row>
    <row r="79" spans="1:47" ht="15" customHeight="1" x14ac:dyDescent="0.2">
      <c r="A79" s="2"/>
      <c r="B79" s="207"/>
      <c r="C79" s="446"/>
      <c r="D79" s="449"/>
      <c r="E79" s="440"/>
      <c r="F79" s="435"/>
      <c r="G79" s="436"/>
      <c r="H79" s="338"/>
      <c r="I79" s="187" t="s">
        <v>343</v>
      </c>
      <c r="J79" s="113">
        <v>2013</v>
      </c>
      <c r="K79" s="90"/>
      <c r="L79" s="90">
        <v>0.36</v>
      </c>
      <c r="M79" s="90">
        <v>0.36</v>
      </c>
      <c r="N79" s="90">
        <v>0.36</v>
      </c>
      <c r="O79" s="90">
        <v>0.36</v>
      </c>
      <c r="P79" s="90">
        <v>0.36</v>
      </c>
      <c r="Q79" s="90">
        <v>0.36</v>
      </c>
      <c r="R79" s="90">
        <v>0.36</v>
      </c>
      <c r="S79" s="90">
        <v>0.36</v>
      </c>
      <c r="T79" s="90">
        <v>0.36</v>
      </c>
      <c r="U79" s="90">
        <v>0.36</v>
      </c>
      <c r="V79" s="90">
        <v>0.36</v>
      </c>
      <c r="W79" s="90">
        <v>0.36</v>
      </c>
      <c r="X79" s="90">
        <v>0.36</v>
      </c>
      <c r="Y79" s="90">
        <v>0.36</v>
      </c>
      <c r="Z79" s="90">
        <v>0.36</v>
      </c>
      <c r="AA79" s="104">
        <v>0.36</v>
      </c>
      <c r="AB79" s="2"/>
      <c r="AC79" s="2"/>
      <c r="AD79" s="2"/>
      <c r="AE79" s="2"/>
      <c r="AF79" s="2"/>
      <c r="AG79" s="2"/>
      <c r="AH79" s="2"/>
      <c r="AI79" s="2"/>
      <c r="AJ79" s="2"/>
      <c r="AK79" s="2"/>
      <c r="AL79" s="2"/>
      <c r="AM79" s="2"/>
      <c r="AN79" s="2"/>
      <c r="AO79" s="2"/>
      <c r="AP79" s="2"/>
      <c r="AQ79" s="2"/>
      <c r="AR79" s="2"/>
      <c r="AS79" s="2"/>
      <c r="AT79" s="2"/>
      <c r="AU79" s="2"/>
    </row>
    <row r="80" spans="1:47" ht="15.75" customHeight="1" thickBot="1" x14ac:dyDescent="0.25">
      <c r="A80" s="2"/>
      <c r="B80" s="207"/>
      <c r="C80" s="446"/>
      <c r="D80" s="449"/>
      <c r="E80" s="440"/>
      <c r="F80" s="437"/>
      <c r="G80" s="438"/>
      <c r="H80" s="339"/>
      <c r="I80" s="188" t="s">
        <v>345</v>
      </c>
      <c r="J80" s="114">
        <v>2025</v>
      </c>
      <c r="K80" s="111"/>
      <c r="L80" s="91">
        <v>0.28000000000000003</v>
      </c>
      <c r="M80" s="91">
        <v>0.3</v>
      </c>
      <c r="N80" s="91">
        <v>0.28000000000000003</v>
      </c>
      <c r="O80" s="91">
        <v>0.28000000000000003</v>
      </c>
      <c r="P80" s="91">
        <v>0.28000000000000003</v>
      </c>
      <c r="Q80" s="91">
        <v>0.34</v>
      </c>
      <c r="R80" s="91">
        <v>0.34</v>
      </c>
      <c r="S80" s="91">
        <v>0.3</v>
      </c>
      <c r="T80" s="91">
        <v>0.3</v>
      </c>
      <c r="U80" s="91">
        <v>0.3</v>
      </c>
      <c r="V80" s="91">
        <v>0.28000000000000003</v>
      </c>
      <c r="W80" s="91">
        <v>0.3</v>
      </c>
      <c r="X80" s="91">
        <v>0.28000000000000003</v>
      </c>
      <c r="Y80" s="91">
        <v>0.28000000000000003</v>
      </c>
      <c r="Z80" s="91">
        <v>0.28000000000000003</v>
      </c>
      <c r="AA80" s="105">
        <v>0.28000000000000003</v>
      </c>
      <c r="AB80" s="2"/>
      <c r="AC80" s="2"/>
      <c r="AD80" s="2"/>
      <c r="AE80" s="2"/>
      <c r="AF80" s="2"/>
      <c r="AG80" s="2"/>
      <c r="AH80" s="2"/>
      <c r="AI80" s="2"/>
      <c r="AJ80" s="2"/>
      <c r="AK80" s="2"/>
      <c r="AL80" s="2"/>
      <c r="AM80" s="2"/>
      <c r="AN80" s="2"/>
      <c r="AO80" s="2"/>
      <c r="AP80" s="2"/>
      <c r="AQ80" s="2"/>
      <c r="AR80" s="2"/>
      <c r="AS80" s="2"/>
      <c r="AT80" s="2"/>
      <c r="AU80" s="2"/>
    </row>
    <row r="81" spans="1:47" ht="15" customHeight="1" x14ac:dyDescent="0.2">
      <c r="A81" s="2"/>
      <c r="B81" s="207"/>
      <c r="C81" s="446"/>
      <c r="D81" s="449"/>
      <c r="E81" s="440"/>
      <c r="F81" s="433" t="s">
        <v>367</v>
      </c>
      <c r="G81" s="434"/>
      <c r="H81" s="337"/>
      <c r="I81" s="186" t="s">
        <v>338</v>
      </c>
      <c r="J81" s="112" t="s">
        <v>339</v>
      </c>
      <c r="K81" s="89"/>
      <c r="L81" s="89"/>
      <c r="M81" s="89"/>
      <c r="N81" s="89"/>
      <c r="O81" s="89"/>
      <c r="P81" s="89"/>
      <c r="Q81" s="89"/>
      <c r="R81" s="89"/>
      <c r="S81" s="89"/>
      <c r="T81" s="89"/>
      <c r="U81" s="89"/>
      <c r="V81" s="89"/>
      <c r="W81" s="89"/>
      <c r="X81" s="89"/>
      <c r="Y81" s="89"/>
      <c r="Z81" s="89"/>
      <c r="AA81" s="106"/>
      <c r="AB81" s="2"/>
      <c r="AC81" s="2"/>
      <c r="AD81" s="2"/>
      <c r="AE81" s="2"/>
      <c r="AF81" s="2"/>
      <c r="AG81" s="2"/>
      <c r="AH81" s="2"/>
      <c r="AI81" s="2"/>
      <c r="AJ81" s="2"/>
      <c r="AK81" s="2"/>
      <c r="AL81" s="2"/>
      <c r="AM81" s="2"/>
      <c r="AN81" s="2"/>
      <c r="AO81" s="2"/>
      <c r="AP81" s="2"/>
      <c r="AQ81" s="2"/>
      <c r="AR81" s="2"/>
      <c r="AS81" s="2"/>
      <c r="AT81" s="2"/>
      <c r="AU81" s="2"/>
    </row>
    <row r="82" spans="1:47" ht="15" customHeight="1" x14ac:dyDescent="0.2">
      <c r="A82" s="2"/>
      <c r="B82" s="207"/>
      <c r="C82" s="446"/>
      <c r="D82" s="449"/>
      <c r="E82" s="440"/>
      <c r="F82" s="435"/>
      <c r="G82" s="436"/>
      <c r="H82" s="338"/>
      <c r="I82" s="187" t="s">
        <v>340</v>
      </c>
      <c r="J82" s="113">
        <v>1984</v>
      </c>
      <c r="K82" s="90"/>
      <c r="L82" s="90"/>
      <c r="M82" s="90"/>
      <c r="N82" s="90"/>
      <c r="O82" s="90"/>
      <c r="P82" s="90"/>
      <c r="Q82" s="90"/>
      <c r="R82" s="90"/>
      <c r="S82" s="90"/>
      <c r="T82" s="90"/>
      <c r="U82" s="90"/>
      <c r="V82" s="90"/>
      <c r="W82" s="90"/>
      <c r="X82" s="90"/>
      <c r="Y82" s="90"/>
      <c r="Z82" s="90"/>
      <c r="AA82" s="104"/>
      <c r="AB82" s="2"/>
      <c r="AC82" s="2"/>
      <c r="AD82" s="2"/>
      <c r="AE82" s="2"/>
      <c r="AF82" s="2"/>
      <c r="AG82" s="2"/>
      <c r="AH82" s="2"/>
      <c r="AI82" s="2"/>
      <c r="AJ82" s="2"/>
      <c r="AK82" s="2"/>
      <c r="AL82" s="2"/>
      <c r="AM82" s="2"/>
      <c r="AN82" s="2"/>
      <c r="AO82" s="2"/>
      <c r="AP82" s="2"/>
      <c r="AQ82" s="2"/>
      <c r="AR82" s="2"/>
      <c r="AS82" s="2"/>
      <c r="AT82" s="2"/>
      <c r="AU82" s="2"/>
    </row>
    <row r="83" spans="1:47" ht="76.5" x14ac:dyDescent="0.2">
      <c r="A83" s="2"/>
      <c r="B83" s="207"/>
      <c r="C83" s="446"/>
      <c r="D83" s="449"/>
      <c r="E83" s="440"/>
      <c r="F83" s="435"/>
      <c r="G83" s="436"/>
      <c r="H83" s="338"/>
      <c r="I83" s="189" t="s">
        <v>341</v>
      </c>
      <c r="J83" s="116">
        <v>2001</v>
      </c>
      <c r="K83" s="115" t="s">
        <v>411</v>
      </c>
      <c r="L83" s="109">
        <f>0.5*L119+0.5*L121</f>
        <v>0.38500000000000001</v>
      </c>
      <c r="M83" s="109">
        <f t="shared" ref="M83:AA83" si="32">0.5*M119+0.5*M121</f>
        <v>0.33</v>
      </c>
      <c r="N83" s="109">
        <f t="shared" si="32"/>
        <v>0.435</v>
      </c>
      <c r="O83" s="109">
        <f t="shared" si="32"/>
        <v>0.435</v>
      </c>
      <c r="P83" s="109">
        <f t="shared" si="32"/>
        <v>0.435</v>
      </c>
      <c r="Q83" s="109">
        <f t="shared" si="32"/>
        <v>0.45999999999999996</v>
      </c>
      <c r="R83" s="109">
        <f t="shared" si="32"/>
        <v>0.45999999999999996</v>
      </c>
      <c r="S83" s="109">
        <f t="shared" si="32"/>
        <v>0.45999999999999996</v>
      </c>
      <c r="T83" s="109">
        <f t="shared" si="32"/>
        <v>0.45999999999999996</v>
      </c>
      <c r="U83" s="109">
        <f t="shared" si="32"/>
        <v>0.33</v>
      </c>
      <c r="V83" s="109">
        <f t="shared" si="32"/>
        <v>0.33</v>
      </c>
      <c r="W83" s="109">
        <f t="shared" si="32"/>
        <v>0.33</v>
      </c>
      <c r="X83" s="109">
        <f t="shared" si="32"/>
        <v>0.33</v>
      </c>
      <c r="Y83" s="109">
        <f t="shared" si="32"/>
        <v>0.34499999999999997</v>
      </c>
      <c r="Z83" s="109">
        <f t="shared" si="32"/>
        <v>0.34499999999999997</v>
      </c>
      <c r="AA83" s="110">
        <f t="shared" si="32"/>
        <v>0.38500000000000001</v>
      </c>
      <c r="AB83" s="2"/>
      <c r="AC83" s="2"/>
      <c r="AD83" s="2"/>
      <c r="AE83" s="2"/>
      <c r="AF83" s="2"/>
      <c r="AG83" s="2"/>
      <c r="AH83" s="2"/>
      <c r="AI83" s="2"/>
      <c r="AJ83" s="2"/>
      <c r="AK83" s="2"/>
      <c r="AL83" s="2"/>
      <c r="AM83" s="2"/>
      <c r="AN83" s="2"/>
      <c r="AO83" s="2"/>
      <c r="AP83" s="2"/>
      <c r="AQ83" s="2"/>
      <c r="AR83" s="2"/>
      <c r="AS83" s="2"/>
      <c r="AT83" s="2"/>
      <c r="AU83" s="2"/>
    </row>
    <row r="84" spans="1:47" ht="15" customHeight="1" x14ac:dyDescent="0.2">
      <c r="A84" s="2"/>
      <c r="B84" s="207"/>
      <c r="C84" s="446"/>
      <c r="D84" s="449"/>
      <c r="E84" s="440"/>
      <c r="F84" s="435"/>
      <c r="G84" s="436"/>
      <c r="H84" s="338"/>
      <c r="I84" s="187" t="s">
        <v>343</v>
      </c>
      <c r="J84" s="113">
        <v>2013</v>
      </c>
      <c r="K84" s="90"/>
      <c r="L84" s="90">
        <v>0.25</v>
      </c>
      <c r="M84" s="90">
        <v>0.25</v>
      </c>
      <c r="N84" s="90">
        <v>0.25</v>
      </c>
      <c r="O84" s="90">
        <v>0.25</v>
      </c>
      <c r="P84" s="90">
        <v>0.25</v>
      </c>
      <c r="Q84" s="90">
        <v>0.25</v>
      </c>
      <c r="R84" s="90">
        <v>0.25</v>
      </c>
      <c r="S84" s="90">
        <v>0.25</v>
      </c>
      <c r="T84" s="90">
        <v>0.25</v>
      </c>
      <c r="U84" s="90">
        <v>0.25</v>
      </c>
      <c r="V84" s="90">
        <v>0.25</v>
      </c>
      <c r="W84" s="90">
        <v>0.25</v>
      </c>
      <c r="X84" s="90">
        <v>0.25</v>
      </c>
      <c r="Y84" s="90">
        <v>0.25</v>
      </c>
      <c r="Z84" s="90">
        <v>0.25</v>
      </c>
      <c r="AA84" s="104">
        <v>0.25</v>
      </c>
      <c r="AB84" s="2"/>
      <c r="AC84" s="2"/>
      <c r="AD84" s="2"/>
      <c r="AE84" s="2"/>
      <c r="AF84" s="2"/>
      <c r="AG84" s="2"/>
      <c r="AH84" s="2"/>
      <c r="AI84" s="2"/>
      <c r="AJ84" s="2"/>
      <c r="AK84" s="2"/>
      <c r="AL84" s="2"/>
      <c r="AM84" s="2"/>
      <c r="AN84" s="2"/>
      <c r="AO84" s="2"/>
      <c r="AP84" s="2"/>
      <c r="AQ84" s="2"/>
      <c r="AR84" s="2"/>
      <c r="AS84" s="2"/>
      <c r="AT84" s="2"/>
      <c r="AU84" s="2"/>
    </row>
    <row r="85" spans="1:47" ht="15.75" customHeight="1" thickBot="1" x14ac:dyDescent="0.25">
      <c r="A85" s="2"/>
      <c r="B85" s="207"/>
      <c r="C85" s="447"/>
      <c r="D85" s="449"/>
      <c r="E85" s="440"/>
      <c r="F85" s="437"/>
      <c r="G85" s="438"/>
      <c r="H85" s="339"/>
      <c r="I85" s="188" t="s">
        <v>345</v>
      </c>
      <c r="J85" s="114">
        <v>2025</v>
      </c>
      <c r="K85" s="111"/>
      <c r="L85" s="239">
        <v>0.63</v>
      </c>
      <c r="M85" s="239">
        <v>0.23</v>
      </c>
      <c r="N85" s="239">
        <v>0.63</v>
      </c>
      <c r="O85" s="239">
        <v>0.23</v>
      </c>
      <c r="P85" s="239">
        <v>0.63</v>
      </c>
      <c r="Q85" s="239">
        <v>0.23</v>
      </c>
      <c r="R85" s="239">
        <v>0.23</v>
      </c>
      <c r="S85" s="239">
        <v>0.23</v>
      </c>
      <c r="T85" s="239">
        <v>0.23</v>
      </c>
      <c r="U85" s="239">
        <v>0.23</v>
      </c>
      <c r="V85" s="239">
        <v>0.23</v>
      </c>
      <c r="W85" s="239">
        <v>0.23</v>
      </c>
      <c r="X85" s="239">
        <v>0.23</v>
      </c>
      <c r="Y85" s="239">
        <v>0.23</v>
      </c>
      <c r="Z85" s="239">
        <v>0.23</v>
      </c>
      <c r="AA85" s="240">
        <v>0.63</v>
      </c>
      <c r="AB85" s="2"/>
      <c r="AC85" s="2"/>
      <c r="AD85" s="2"/>
      <c r="AE85" s="2"/>
      <c r="AF85" s="2"/>
      <c r="AG85" s="2"/>
      <c r="AH85" s="2"/>
      <c r="AI85" s="2"/>
      <c r="AJ85" s="2"/>
      <c r="AK85" s="2"/>
      <c r="AL85" s="2"/>
      <c r="AM85" s="2"/>
      <c r="AN85" s="2"/>
      <c r="AO85" s="2"/>
      <c r="AP85" s="2"/>
      <c r="AQ85" s="2"/>
      <c r="AR85" s="2"/>
      <c r="AS85" s="2"/>
      <c r="AT85" s="2"/>
      <c r="AU85" s="2"/>
    </row>
    <row r="86" spans="1:47" ht="15" customHeight="1" x14ac:dyDescent="0.2">
      <c r="A86" s="2"/>
      <c r="B86" s="207"/>
      <c r="C86" s="442" t="s">
        <v>412</v>
      </c>
      <c r="D86" s="449"/>
      <c r="E86" s="440"/>
      <c r="F86" s="433" t="s">
        <v>410</v>
      </c>
      <c r="G86" s="434"/>
      <c r="H86" s="337"/>
      <c r="I86" s="186" t="s">
        <v>338</v>
      </c>
      <c r="J86" s="112" t="s">
        <v>339</v>
      </c>
      <c r="K86" s="89"/>
      <c r="L86" s="89"/>
      <c r="M86" s="89"/>
      <c r="N86" s="89"/>
      <c r="O86" s="89"/>
      <c r="P86" s="89"/>
      <c r="Q86" s="89"/>
      <c r="R86" s="89"/>
      <c r="S86" s="89"/>
      <c r="T86" s="89"/>
      <c r="U86" s="89"/>
      <c r="V86" s="89"/>
      <c r="W86" s="89"/>
      <c r="X86" s="89"/>
      <c r="Y86" s="89"/>
      <c r="Z86" s="89"/>
      <c r="AA86" s="106"/>
      <c r="AB86" s="2"/>
      <c r="AC86" s="2"/>
      <c r="AD86" s="2"/>
      <c r="AE86" s="2"/>
      <c r="AF86" s="2"/>
      <c r="AG86" s="2"/>
      <c r="AH86" s="2"/>
      <c r="AI86" s="2"/>
      <c r="AJ86" s="2"/>
      <c r="AK86" s="2"/>
      <c r="AL86" s="2"/>
      <c r="AM86" s="2"/>
      <c r="AN86" s="2"/>
      <c r="AO86" s="2"/>
      <c r="AP86" s="2"/>
      <c r="AQ86" s="2"/>
      <c r="AR86" s="2"/>
      <c r="AS86" s="2"/>
      <c r="AT86" s="2"/>
      <c r="AU86" s="2"/>
    </row>
    <row r="87" spans="1:47" ht="15" customHeight="1" x14ac:dyDescent="0.2">
      <c r="A87" s="2"/>
      <c r="B87" s="207"/>
      <c r="C87" s="443"/>
      <c r="D87" s="449"/>
      <c r="E87" s="440"/>
      <c r="F87" s="435"/>
      <c r="G87" s="436"/>
      <c r="H87" s="338"/>
      <c r="I87" s="187" t="s">
        <v>340</v>
      </c>
      <c r="J87" s="113">
        <v>1984</v>
      </c>
      <c r="K87" s="90"/>
      <c r="L87" s="90"/>
      <c r="M87" s="90"/>
      <c r="N87" s="90"/>
      <c r="O87" s="90"/>
      <c r="P87" s="90"/>
      <c r="Q87" s="90"/>
      <c r="R87" s="90"/>
      <c r="S87" s="90"/>
      <c r="T87" s="90"/>
      <c r="U87" s="90"/>
      <c r="V87" s="90"/>
      <c r="W87" s="90"/>
      <c r="X87" s="90"/>
      <c r="Y87" s="90"/>
      <c r="Z87" s="90"/>
      <c r="AA87" s="104"/>
      <c r="AB87" s="2"/>
      <c r="AC87" s="2"/>
      <c r="AD87" s="2"/>
      <c r="AE87" s="2"/>
      <c r="AF87" s="2"/>
      <c r="AG87" s="2"/>
      <c r="AH87" s="2"/>
      <c r="AI87" s="2"/>
      <c r="AJ87" s="2"/>
      <c r="AK87" s="2"/>
      <c r="AL87" s="2"/>
      <c r="AM87" s="2"/>
      <c r="AN87" s="2"/>
      <c r="AO87" s="2"/>
      <c r="AP87" s="2"/>
      <c r="AQ87" s="2"/>
      <c r="AR87" s="2"/>
      <c r="AS87" s="2"/>
      <c r="AT87" s="2"/>
      <c r="AU87" s="2"/>
    </row>
    <row r="88" spans="1:47" ht="15" customHeight="1" x14ac:dyDescent="0.2">
      <c r="A88" s="2"/>
      <c r="B88" s="207"/>
      <c r="C88" s="443"/>
      <c r="D88" s="449"/>
      <c r="E88" s="440"/>
      <c r="F88" s="435"/>
      <c r="G88" s="436"/>
      <c r="H88" s="338"/>
      <c r="I88" s="187" t="s">
        <v>341</v>
      </c>
      <c r="J88" s="113">
        <v>2001</v>
      </c>
      <c r="K88" s="90"/>
      <c r="L88" s="90">
        <v>0.49</v>
      </c>
      <c r="M88" s="90">
        <v>0.49</v>
      </c>
      <c r="N88" s="90">
        <v>0.81</v>
      </c>
      <c r="O88" s="90">
        <v>0.81</v>
      </c>
      <c r="P88" s="90">
        <v>0.81</v>
      </c>
      <c r="Q88" s="90">
        <v>0.81</v>
      </c>
      <c r="R88" s="90">
        <v>0.81</v>
      </c>
      <c r="S88" s="90">
        <v>0.81</v>
      </c>
      <c r="T88" s="90">
        <v>0.81</v>
      </c>
      <c r="U88" s="90">
        <v>0.49</v>
      </c>
      <c r="V88" s="90">
        <v>0.49</v>
      </c>
      <c r="W88" s="90">
        <v>0.49</v>
      </c>
      <c r="X88" s="90">
        <v>0.49</v>
      </c>
      <c r="Y88" s="90">
        <v>0.49</v>
      </c>
      <c r="Z88" s="90">
        <v>0.49</v>
      </c>
      <c r="AA88" s="104">
        <v>0.49</v>
      </c>
      <c r="AB88" s="2"/>
      <c r="AC88" s="2"/>
      <c r="AD88" s="2"/>
      <c r="AE88" s="2"/>
      <c r="AF88" s="2"/>
      <c r="AG88" s="2"/>
      <c r="AH88" s="2"/>
      <c r="AI88" s="2"/>
      <c r="AJ88" s="2"/>
      <c r="AK88" s="2"/>
      <c r="AL88" s="2"/>
      <c r="AM88" s="2"/>
      <c r="AN88" s="2"/>
      <c r="AO88" s="2"/>
      <c r="AP88" s="2"/>
      <c r="AQ88" s="2"/>
      <c r="AR88" s="2"/>
      <c r="AS88" s="2"/>
      <c r="AT88" s="2"/>
      <c r="AU88" s="2"/>
    </row>
    <row r="89" spans="1:47" ht="15" customHeight="1" x14ac:dyDescent="0.2">
      <c r="A89" s="2"/>
      <c r="B89" s="207"/>
      <c r="C89" s="443"/>
      <c r="D89" s="449"/>
      <c r="E89" s="440"/>
      <c r="F89" s="435"/>
      <c r="G89" s="436"/>
      <c r="H89" s="338"/>
      <c r="I89" s="187" t="s">
        <v>343</v>
      </c>
      <c r="J89" s="113">
        <v>2013</v>
      </c>
      <c r="K89" s="90"/>
      <c r="L89" s="90">
        <v>0.36</v>
      </c>
      <c r="M89" s="90">
        <v>0.36</v>
      </c>
      <c r="N89" s="90">
        <v>0.36</v>
      </c>
      <c r="O89" s="90">
        <v>0.36</v>
      </c>
      <c r="P89" s="90">
        <v>0.36</v>
      </c>
      <c r="Q89" s="90">
        <v>0.36</v>
      </c>
      <c r="R89" s="90">
        <v>0.36</v>
      </c>
      <c r="S89" s="90">
        <v>0.36</v>
      </c>
      <c r="T89" s="90">
        <v>0.36</v>
      </c>
      <c r="U89" s="90">
        <v>0.36</v>
      </c>
      <c r="V89" s="90">
        <v>0.36</v>
      </c>
      <c r="W89" s="90">
        <v>0.36</v>
      </c>
      <c r="X89" s="90">
        <v>0.36</v>
      </c>
      <c r="Y89" s="90">
        <v>0.36</v>
      </c>
      <c r="Z89" s="90">
        <v>0.36</v>
      </c>
      <c r="AA89" s="104">
        <v>0.36</v>
      </c>
      <c r="AB89" s="2"/>
      <c r="AC89" s="2"/>
      <c r="AD89" s="2"/>
      <c r="AE89" s="2"/>
      <c r="AF89" s="2"/>
      <c r="AG89" s="2"/>
      <c r="AH89" s="2"/>
      <c r="AI89" s="2"/>
      <c r="AJ89" s="2"/>
      <c r="AK89" s="2"/>
      <c r="AL89" s="2"/>
      <c r="AM89" s="2"/>
      <c r="AN89" s="2"/>
      <c r="AO89" s="2"/>
      <c r="AP89" s="2"/>
      <c r="AQ89" s="2"/>
      <c r="AR89" s="2"/>
      <c r="AS89" s="2"/>
      <c r="AT89" s="2"/>
      <c r="AU89" s="2"/>
    </row>
    <row r="90" spans="1:47" ht="15.75" customHeight="1" thickBot="1" x14ac:dyDescent="0.25">
      <c r="A90" s="2"/>
      <c r="B90" s="207"/>
      <c r="C90" s="443"/>
      <c r="D90" s="449"/>
      <c r="E90" s="440"/>
      <c r="F90" s="437"/>
      <c r="G90" s="438"/>
      <c r="H90" s="339"/>
      <c r="I90" s="188" t="s">
        <v>345</v>
      </c>
      <c r="J90" s="114">
        <v>2025</v>
      </c>
      <c r="K90" s="111"/>
      <c r="L90" s="91">
        <v>0.36</v>
      </c>
      <c r="M90" s="91">
        <v>0.36</v>
      </c>
      <c r="N90" s="91">
        <v>0.36</v>
      </c>
      <c r="O90" s="91">
        <v>0.36</v>
      </c>
      <c r="P90" s="91">
        <v>0.36</v>
      </c>
      <c r="Q90" s="91">
        <v>0.36</v>
      </c>
      <c r="R90" s="91">
        <v>0.36</v>
      </c>
      <c r="S90" s="91">
        <v>0.36</v>
      </c>
      <c r="T90" s="91">
        <v>0.34</v>
      </c>
      <c r="U90" s="91">
        <v>0.36</v>
      </c>
      <c r="V90" s="91">
        <v>0.34</v>
      </c>
      <c r="W90" s="91">
        <v>0.34</v>
      </c>
      <c r="X90" s="91">
        <v>0.34</v>
      </c>
      <c r="Y90" s="91">
        <v>0.34</v>
      </c>
      <c r="Z90" s="91">
        <v>0.34</v>
      </c>
      <c r="AA90" s="105">
        <v>0.36</v>
      </c>
      <c r="AB90" s="2"/>
      <c r="AC90" s="2"/>
      <c r="AD90" s="2"/>
      <c r="AE90" s="2"/>
      <c r="AF90" s="2"/>
      <c r="AG90" s="2"/>
      <c r="AH90" s="2"/>
      <c r="AI90" s="2"/>
      <c r="AJ90" s="2"/>
      <c r="AK90" s="2"/>
      <c r="AL90" s="2"/>
      <c r="AM90" s="2"/>
      <c r="AN90" s="2"/>
      <c r="AO90" s="2"/>
      <c r="AP90" s="2"/>
      <c r="AQ90" s="2"/>
      <c r="AR90" s="2"/>
      <c r="AS90" s="2"/>
      <c r="AT90" s="2"/>
      <c r="AU90" s="2"/>
    </row>
    <row r="91" spans="1:47" ht="15" customHeight="1" x14ac:dyDescent="0.2">
      <c r="A91" s="2"/>
      <c r="B91" s="207"/>
      <c r="C91" s="443"/>
      <c r="D91" s="449"/>
      <c r="E91" s="440"/>
      <c r="F91" s="433" t="s">
        <v>367</v>
      </c>
      <c r="G91" s="434"/>
      <c r="H91" s="337"/>
      <c r="I91" s="186" t="s">
        <v>338</v>
      </c>
      <c r="J91" s="112" t="s">
        <v>339</v>
      </c>
      <c r="K91" s="89"/>
      <c r="L91" s="89"/>
      <c r="M91" s="89"/>
      <c r="N91" s="89"/>
      <c r="O91" s="89"/>
      <c r="P91" s="89"/>
      <c r="Q91" s="89"/>
      <c r="R91" s="89"/>
      <c r="S91" s="89"/>
      <c r="T91" s="89"/>
      <c r="U91" s="89"/>
      <c r="V91" s="89"/>
      <c r="W91" s="89"/>
      <c r="X91" s="89"/>
      <c r="Y91" s="89"/>
      <c r="Z91" s="89"/>
      <c r="AA91" s="106"/>
      <c r="AB91" s="2"/>
      <c r="AC91" s="2"/>
      <c r="AD91" s="2"/>
      <c r="AE91" s="2"/>
      <c r="AF91" s="2"/>
      <c r="AG91" s="2"/>
      <c r="AH91" s="2"/>
      <c r="AI91" s="2"/>
      <c r="AJ91" s="2"/>
      <c r="AK91" s="2"/>
      <c r="AL91" s="2"/>
      <c r="AM91" s="2"/>
      <c r="AN91" s="2"/>
      <c r="AO91" s="2"/>
      <c r="AP91" s="2"/>
      <c r="AQ91" s="2"/>
      <c r="AR91" s="2"/>
      <c r="AS91" s="2"/>
      <c r="AT91" s="2"/>
      <c r="AU91" s="2"/>
    </row>
    <row r="92" spans="1:47" ht="15" customHeight="1" x14ac:dyDescent="0.2">
      <c r="A92" s="2"/>
      <c r="B92" s="207"/>
      <c r="C92" s="443"/>
      <c r="D92" s="449"/>
      <c r="E92" s="440"/>
      <c r="F92" s="435"/>
      <c r="G92" s="436"/>
      <c r="H92" s="338"/>
      <c r="I92" s="187" t="s">
        <v>340</v>
      </c>
      <c r="J92" s="113">
        <v>1984</v>
      </c>
      <c r="K92" s="90"/>
      <c r="L92" s="90"/>
      <c r="M92" s="90"/>
      <c r="N92" s="90"/>
      <c r="O92" s="90"/>
      <c r="P92" s="90"/>
      <c r="Q92" s="90"/>
      <c r="R92" s="90"/>
      <c r="S92" s="90"/>
      <c r="T92" s="90"/>
      <c r="U92" s="90"/>
      <c r="V92" s="90"/>
      <c r="W92" s="90"/>
      <c r="X92" s="90"/>
      <c r="Y92" s="90"/>
      <c r="Z92" s="90"/>
      <c r="AA92" s="104"/>
      <c r="AB92" s="2"/>
      <c r="AC92" s="2"/>
      <c r="AD92" s="2"/>
      <c r="AE92" s="2"/>
      <c r="AF92" s="2"/>
      <c r="AG92" s="2"/>
      <c r="AH92" s="2"/>
      <c r="AI92" s="2"/>
      <c r="AJ92" s="2"/>
      <c r="AK92" s="2"/>
      <c r="AL92" s="2"/>
      <c r="AM92" s="2"/>
      <c r="AN92" s="2"/>
      <c r="AO92" s="2"/>
      <c r="AP92" s="2"/>
      <c r="AQ92" s="2"/>
      <c r="AR92" s="2"/>
      <c r="AS92" s="2"/>
      <c r="AT92" s="2"/>
      <c r="AU92" s="2"/>
    </row>
    <row r="93" spans="1:47" ht="15" customHeight="1" x14ac:dyDescent="0.2">
      <c r="A93" s="2"/>
      <c r="B93" s="207"/>
      <c r="C93" s="443"/>
      <c r="D93" s="449"/>
      <c r="E93" s="440"/>
      <c r="F93" s="435"/>
      <c r="G93" s="436"/>
      <c r="H93" s="338"/>
      <c r="I93" s="189" t="s">
        <v>341</v>
      </c>
      <c r="J93" s="116">
        <v>2001</v>
      </c>
      <c r="K93" s="90"/>
      <c r="L93" s="90">
        <f>0.5*L123+0.5*L125</f>
        <v>0.44999999999999996</v>
      </c>
      <c r="M93" s="90">
        <f t="shared" ref="M93:AA93" si="33">0.5*M123+0.5*M125</f>
        <v>0.39</v>
      </c>
      <c r="N93" s="90">
        <f t="shared" si="33"/>
        <v>0.51</v>
      </c>
      <c r="O93" s="90">
        <f t="shared" si="33"/>
        <v>0.51</v>
      </c>
      <c r="P93" s="90">
        <f t="shared" si="33"/>
        <v>0.51</v>
      </c>
      <c r="Q93" s="90">
        <f t="shared" si="33"/>
        <v>0.47499999999999998</v>
      </c>
      <c r="R93" s="90">
        <f t="shared" si="33"/>
        <v>0.47499999999999998</v>
      </c>
      <c r="S93" s="90">
        <f t="shared" si="33"/>
        <v>0.47499999999999998</v>
      </c>
      <c r="T93" s="90">
        <f t="shared" si="33"/>
        <v>0.47499999999999998</v>
      </c>
      <c r="U93" s="90">
        <f t="shared" si="33"/>
        <v>0.39</v>
      </c>
      <c r="V93" s="90">
        <f t="shared" si="33"/>
        <v>0.39</v>
      </c>
      <c r="W93" s="90">
        <f t="shared" si="33"/>
        <v>0.39</v>
      </c>
      <c r="X93" s="90">
        <f t="shared" si="33"/>
        <v>0.39</v>
      </c>
      <c r="Y93" s="90">
        <f t="shared" si="33"/>
        <v>0.39</v>
      </c>
      <c r="Z93" s="90">
        <f t="shared" si="33"/>
        <v>0.39</v>
      </c>
      <c r="AA93" s="104">
        <f t="shared" si="33"/>
        <v>0.44999999999999996</v>
      </c>
      <c r="AB93" s="2"/>
      <c r="AC93" s="2"/>
      <c r="AD93" s="2"/>
      <c r="AE93" s="2"/>
      <c r="AF93" s="2"/>
      <c r="AG93" s="2"/>
      <c r="AH93" s="2"/>
      <c r="AI93" s="2"/>
      <c r="AJ93" s="2"/>
      <c r="AK93" s="2"/>
      <c r="AL93" s="2"/>
      <c r="AM93" s="2"/>
      <c r="AN93" s="2"/>
      <c r="AO93" s="2"/>
      <c r="AP93" s="2"/>
      <c r="AQ93" s="2"/>
      <c r="AR93" s="2"/>
      <c r="AS93" s="2"/>
      <c r="AT93" s="2"/>
      <c r="AU93" s="2"/>
    </row>
    <row r="94" spans="1:47" ht="15" customHeight="1" x14ac:dyDescent="0.2">
      <c r="A94" s="2"/>
      <c r="B94" s="207"/>
      <c r="C94" s="443"/>
      <c r="D94" s="449"/>
      <c r="E94" s="440"/>
      <c r="F94" s="435"/>
      <c r="G94" s="436"/>
      <c r="H94" s="338"/>
      <c r="I94" s="187" t="s">
        <v>343</v>
      </c>
      <c r="J94" s="113">
        <v>2013</v>
      </c>
      <c r="K94" s="90"/>
      <c r="L94" s="90">
        <v>0.25</v>
      </c>
      <c r="M94" s="90">
        <v>0.25</v>
      </c>
      <c r="N94" s="90">
        <v>0.25</v>
      </c>
      <c r="O94" s="90">
        <v>0.25</v>
      </c>
      <c r="P94" s="90">
        <v>0.25</v>
      </c>
      <c r="Q94" s="90">
        <v>0.25</v>
      </c>
      <c r="R94" s="90">
        <v>0.25</v>
      </c>
      <c r="S94" s="90">
        <v>0.25</v>
      </c>
      <c r="T94" s="90">
        <v>0.25</v>
      </c>
      <c r="U94" s="90">
        <v>0.25</v>
      </c>
      <c r="V94" s="90">
        <v>0.25</v>
      </c>
      <c r="W94" s="90">
        <v>0.25</v>
      </c>
      <c r="X94" s="90">
        <v>0.25</v>
      </c>
      <c r="Y94" s="90">
        <v>0.25</v>
      </c>
      <c r="Z94" s="90">
        <v>0.25</v>
      </c>
      <c r="AA94" s="104">
        <v>0.25</v>
      </c>
      <c r="AB94" s="2"/>
      <c r="AC94" s="2"/>
      <c r="AD94" s="2"/>
      <c r="AE94" s="2"/>
      <c r="AF94" s="2"/>
      <c r="AG94" s="2"/>
      <c r="AH94" s="2"/>
      <c r="AI94" s="2"/>
      <c r="AJ94" s="2"/>
      <c r="AK94" s="2"/>
      <c r="AL94" s="2"/>
      <c r="AM94" s="2"/>
      <c r="AN94" s="2"/>
      <c r="AO94" s="2"/>
      <c r="AP94" s="2"/>
      <c r="AQ94" s="2"/>
      <c r="AR94" s="2"/>
      <c r="AS94" s="2"/>
      <c r="AT94" s="2"/>
      <c r="AU94" s="2"/>
    </row>
    <row r="95" spans="1:47" ht="15.75" customHeight="1" thickBot="1" x14ac:dyDescent="0.25">
      <c r="A95" s="2"/>
      <c r="B95" s="207"/>
      <c r="C95" s="444"/>
      <c r="D95" s="449"/>
      <c r="E95" s="441"/>
      <c r="F95" s="437"/>
      <c r="G95" s="438"/>
      <c r="H95" s="339"/>
      <c r="I95" s="188" t="s">
        <v>345</v>
      </c>
      <c r="J95" s="114">
        <v>2025</v>
      </c>
      <c r="K95" s="111"/>
      <c r="L95" s="91">
        <v>0.25</v>
      </c>
      <c r="M95" s="91">
        <v>0.25</v>
      </c>
      <c r="N95" s="91">
        <v>0.25</v>
      </c>
      <c r="O95" s="91">
        <v>0.25</v>
      </c>
      <c r="P95" s="91">
        <v>0.25</v>
      </c>
      <c r="Q95" s="91">
        <v>0.25</v>
      </c>
      <c r="R95" s="91">
        <v>0.25</v>
      </c>
      <c r="S95" s="91">
        <v>0.25</v>
      </c>
      <c r="T95" s="91">
        <v>0.22</v>
      </c>
      <c r="U95" s="91">
        <v>0.25</v>
      </c>
      <c r="V95" s="91">
        <v>0.22</v>
      </c>
      <c r="W95" s="91">
        <v>0.22</v>
      </c>
      <c r="X95" s="91">
        <v>0.22</v>
      </c>
      <c r="Y95" s="91">
        <v>0.22</v>
      </c>
      <c r="Z95" s="91">
        <v>0.22</v>
      </c>
      <c r="AA95" s="105">
        <v>0.25</v>
      </c>
      <c r="AB95" s="2"/>
      <c r="AC95" s="2"/>
      <c r="AD95" s="2"/>
      <c r="AE95" s="2"/>
      <c r="AF95" s="2"/>
      <c r="AG95" s="2"/>
      <c r="AH95" s="2"/>
      <c r="AI95" s="2"/>
      <c r="AJ95" s="2"/>
      <c r="AK95" s="2"/>
      <c r="AL95" s="2"/>
      <c r="AM95" s="2"/>
      <c r="AN95" s="2"/>
      <c r="AO95" s="2"/>
      <c r="AP95" s="2"/>
      <c r="AQ95" s="2"/>
      <c r="AR95" s="2"/>
      <c r="AS95" s="2"/>
      <c r="AT95" s="2"/>
      <c r="AU95" s="2"/>
    </row>
    <row r="96" spans="1:47" ht="15" customHeight="1" x14ac:dyDescent="0.2">
      <c r="A96" s="2"/>
      <c r="B96" s="207"/>
      <c r="C96" s="445" t="s">
        <v>407</v>
      </c>
      <c r="D96" s="449"/>
      <c r="E96" s="439" t="s">
        <v>413</v>
      </c>
      <c r="F96" s="433" t="s">
        <v>410</v>
      </c>
      <c r="G96" s="434"/>
      <c r="H96" s="337"/>
      <c r="I96" s="186" t="s">
        <v>338</v>
      </c>
      <c r="J96" s="112" t="s">
        <v>339</v>
      </c>
      <c r="K96" s="89"/>
      <c r="L96" s="89"/>
      <c r="M96" s="89"/>
      <c r="N96" s="89"/>
      <c r="O96" s="89"/>
      <c r="P96" s="89"/>
      <c r="Q96" s="89"/>
      <c r="R96" s="89"/>
      <c r="S96" s="89"/>
      <c r="T96" s="89"/>
      <c r="U96" s="89"/>
      <c r="V96" s="89"/>
      <c r="W96" s="89"/>
      <c r="X96" s="89"/>
      <c r="Y96" s="89"/>
      <c r="Z96" s="89"/>
      <c r="AA96" s="106"/>
      <c r="AB96" s="2"/>
      <c r="AC96" s="2"/>
      <c r="AD96" s="2"/>
      <c r="AE96" s="2"/>
      <c r="AF96" s="2"/>
      <c r="AG96" s="2"/>
      <c r="AH96" s="2"/>
      <c r="AI96" s="2"/>
      <c r="AJ96" s="2"/>
      <c r="AK96" s="2"/>
      <c r="AL96" s="2"/>
      <c r="AM96" s="2"/>
      <c r="AN96" s="2"/>
      <c r="AO96" s="2"/>
      <c r="AP96" s="2"/>
      <c r="AQ96" s="2"/>
      <c r="AR96" s="2"/>
      <c r="AS96" s="2"/>
      <c r="AT96" s="2"/>
      <c r="AU96" s="2"/>
    </row>
    <row r="97" spans="1:47" ht="15" customHeight="1" x14ac:dyDescent="0.2">
      <c r="A97" s="2"/>
      <c r="B97" s="207"/>
      <c r="C97" s="446"/>
      <c r="D97" s="449"/>
      <c r="E97" s="440"/>
      <c r="F97" s="435"/>
      <c r="G97" s="436"/>
      <c r="H97" s="338"/>
      <c r="I97" s="187" t="s">
        <v>340</v>
      </c>
      <c r="J97" s="113">
        <v>1984</v>
      </c>
      <c r="K97" s="90"/>
      <c r="L97" s="90"/>
      <c r="M97" s="90"/>
      <c r="N97" s="90"/>
      <c r="O97" s="90"/>
      <c r="P97" s="90"/>
      <c r="Q97" s="90"/>
      <c r="R97" s="90"/>
      <c r="S97" s="90"/>
      <c r="T97" s="90"/>
      <c r="U97" s="90"/>
      <c r="V97" s="90"/>
      <c r="W97" s="90"/>
      <c r="X97" s="90"/>
      <c r="Y97" s="90"/>
      <c r="Z97" s="90"/>
      <c r="AA97" s="104"/>
      <c r="AB97" s="2"/>
      <c r="AC97" s="2"/>
      <c r="AD97" s="2"/>
      <c r="AE97" s="2"/>
      <c r="AF97" s="2"/>
      <c r="AG97" s="2"/>
      <c r="AH97" s="2"/>
      <c r="AI97" s="2"/>
      <c r="AJ97" s="2"/>
      <c r="AK97" s="2"/>
      <c r="AL97" s="2"/>
      <c r="AM97" s="2"/>
      <c r="AN97" s="2"/>
      <c r="AO97" s="2"/>
      <c r="AP97" s="2"/>
      <c r="AQ97" s="2"/>
      <c r="AR97" s="2"/>
      <c r="AS97" s="2"/>
      <c r="AT97" s="2"/>
      <c r="AU97" s="2"/>
    </row>
    <row r="98" spans="1:47" ht="15" customHeight="1" x14ac:dyDescent="0.2">
      <c r="A98" s="2"/>
      <c r="B98" s="207"/>
      <c r="C98" s="446"/>
      <c r="D98" s="449"/>
      <c r="E98" s="440"/>
      <c r="F98" s="435"/>
      <c r="G98" s="436"/>
      <c r="H98" s="338"/>
      <c r="I98" s="187" t="s">
        <v>341</v>
      </c>
      <c r="J98" s="113">
        <v>2001</v>
      </c>
      <c r="K98" s="90"/>
      <c r="L98" s="90">
        <f>L78</f>
        <v>0.49</v>
      </c>
      <c r="M98" s="90">
        <f t="shared" ref="M98:AA98" si="34">M78</f>
        <v>0.49</v>
      </c>
      <c r="N98" s="90">
        <f t="shared" si="34"/>
        <v>0.49</v>
      </c>
      <c r="O98" s="90">
        <f t="shared" si="34"/>
        <v>0.49</v>
      </c>
      <c r="P98" s="90">
        <f t="shared" si="34"/>
        <v>0.49</v>
      </c>
      <c r="Q98" s="90">
        <f t="shared" si="34"/>
        <v>0.49</v>
      </c>
      <c r="R98" s="90">
        <f t="shared" si="34"/>
        <v>0.49</v>
      </c>
      <c r="S98" s="90">
        <f t="shared" si="34"/>
        <v>0.49</v>
      </c>
      <c r="T98" s="90">
        <f t="shared" si="34"/>
        <v>0.49</v>
      </c>
      <c r="U98" s="90">
        <f t="shared" si="34"/>
        <v>0.49</v>
      </c>
      <c r="V98" s="90">
        <f t="shared" si="34"/>
        <v>0.49</v>
      </c>
      <c r="W98" s="90">
        <f t="shared" si="34"/>
        <v>0.49</v>
      </c>
      <c r="X98" s="90">
        <f t="shared" si="34"/>
        <v>0.49</v>
      </c>
      <c r="Y98" s="90">
        <f t="shared" si="34"/>
        <v>0.49</v>
      </c>
      <c r="Z98" s="90">
        <f t="shared" si="34"/>
        <v>0.49</v>
      </c>
      <c r="AA98" s="104">
        <f t="shared" si="34"/>
        <v>0.49</v>
      </c>
      <c r="AB98" s="2"/>
      <c r="AC98" s="2"/>
      <c r="AD98" s="2"/>
      <c r="AE98" s="2"/>
      <c r="AF98" s="2"/>
      <c r="AG98" s="2"/>
      <c r="AH98" s="2"/>
      <c r="AI98" s="2"/>
      <c r="AJ98" s="2"/>
      <c r="AK98" s="2"/>
      <c r="AL98" s="2"/>
      <c r="AM98" s="2"/>
      <c r="AN98" s="2"/>
      <c r="AO98" s="2"/>
      <c r="AP98" s="2"/>
      <c r="AQ98" s="2"/>
      <c r="AR98" s="2"/>
      <c r="AS98" s="2"/>
      <c r="AT98" s="2"/>
      <c r="AU98" s="2"/>
    </row>
    <row r="99" spans="1:47" ht="15" customHeight="1" x14ac:dyDescent="0.2">
      <c r="A99" s="2"/>
      <c r="B99" s="207"/>
      <c r="C99" s="446"/>
      <c r="D99" s="449"/>
      <c r="E99" s="440"/>
      <c r="F99" s="435"/>
      <c r="G99" s="436"/>
      <c r="H99" s="338"/>
      <c r="I99" s="187" t="s">
        <v>343</v>
      </c>
      <c r="J99" s="113">
        <v>2013</v>
      </c>
      <c r="K99" s="90"/>
      <c r="L99" s="90">
        <v>0.46</v>
      </c>
      <c r="M99" s="90">
        <v>0.46</v>
      </c>
      <c r="N99" s="90">
        <v>0.46</v>
      </c>
      <c r="O99" s="90">
        <v>0.46</v>
      </c>
      <c r="P99" s="90">
        <v>0.46</v>
      </c>
      <c r="Q99" s="90">
        <v>0.46</v>
      </c>
      <c r="R99" s="90">
        <v>0.46</v>
      </c>
      <c r="S99" s="90">
        <v>0.46</v>
      </c>
      <c r="T99" s="90">
        <v>0.46</v>
      </c>
      <c r="U99" s="90">
        <v>0.46</v>
      </c>
      <c r="V99" s="90">
        <v>0.46</v>
      </c>
      <c r="W99" s="90">
        <v>0.46</v>
      </c>
      <c r="X99" s="90">
        <v>0.46</v>
      </c>
      <c r="Y99" s="90">
        <v>0.46</v>
      </c>
      <c r="Z99" s="90">
        <v>0.46</v>
      </c>
      <c r="AA99" s="104">
        <v>0.46</v>
      </c>
      <c r="AB99" s="2"/>
      <c r="AC99" s="2"/>
      <c r="AD99" s="2"/>
      <c r="AE99" s="2"/>
      <c r="AF99" s="2"/>
      <c r="AG99" s="2"/>
      <c r="AH99" s="2"/>
      <c r="AI99" s="2"/>
      <c r="AJ99" s="2"/>
      <c r="AK99" s="2"/>
      <c r="AL99" s="2"/>
      <c r="AM99" s="2"/>
      <c r="AN99" s="2"/>
      <c r="AO99" s="2"/>
      <c r="AP99" s="2"/>
      <c r="AQ99" s="2"/>
      <c r="AR99" s="2"/>
      <c r="AS99" s="2"/>
      <c r="AT99" s="2"/>
      <c r="AU99" s="2"/>
    </row>
    <row r="100" spans="1:47" ht="15.75" customHeight="1" thickBot="1" x14ac:dyDescent="0.25">
      <c r="A100" s="2"/>
      <c r="B100" s="207"/>
      <c r="C100" s="446"/>
      <c r="D100" s="449"/>
      <c r="E100" s="440"/>
      <c r="F100" s="437"/>
      <c r="G100" s="438"/>
      <c r="H100" s="339"/>
      <c r="I100" s="188" t="s">
        <v>345</v>
      </c>
      <c r="J100" s="114">
        <v>2025</v>
      </c>
      <c r="K100" s="111"/>
      <c r="L100" s="91">
        <v>0.46</v>
      </c>
      <c r="M100" s="91">
        <v>0.46</v>
      </c>
      <c r="N100" s="91">
        <v>0.46</v>
      </c>
      <c r="O100" s="91">
        <v>0.46</v>
      </c>
      <c r="P100" s="91">
        <v>0.46</v>
      </c>
      <c r="Q100" s="91">
        <v>0.46</v>
      </c>
      <c r="R100" s="91">
        <v>0.46</v>
      </c>
      <c r="S100" s="91">
        <v>0.46</v>
      </c>
      <c r="T100" s="91">
        <v>0.46</v>
      </c>
      <c r="U100" s="91">
        <v>0.46</v>
      </c>
      <c r="V100" s="91">
        <v>0.46</v>
      </c>
      <c r="W100" s="91">
        <v>0.46</v>
      </c>
      <c r="X100" s="91">
        <v>0.46</v>
      </c>
      <c r="Y100" s="91">
        <v>0.46</v>
      </c>
      <c r="Z100" s="91">
        <v>0.46</v>
      </c>
      <c r="AA100" s="105">
        <v>0.46</v>
      </c>
      <c r="AB100" s="2"/>
      <c r="AC100" s="2"/>
      <c r="AD100" s="2"/>
      <c r="AE100" s="2"/>
      <c r="AF100" s="2"/>
      <c r="AG100" s="2"/>
      <c r="AH100" s="2"/>
      <c r="AI100" s="2"/>
      <c r="AJ100" s="2"/>
      <c r="AK100" s="2"/>
      <c r="AL100" s="2"/>
      <c r="AM100" s="2"/>
      <c r="AN100" s="2"/>
      <c r="AO100" s="2"/>
      <c r="AP100" s="2"/>
      <c r="AQ100" s="2"/>
      <c r="AR100" s="2"/>
      <c r="AS100" s="2"/>
      <c r="AT100" s="2"/>
      <c r="AU100" s="2"/>
    </row>
    <row r="101" spans="1:47" ht="15" customHeight="1" x14ac:dyDescent="0.2">
      <c r="A101" s="2"/>
      <c r="B101" s="207"/>
      <c r="C101" s="446"/>
      <c r="D101" s="449"/>
      <c r="E101" s="440"/>
      <c r="F101" s="433" t="s">
        <v>367</v>
      </c>
      <c r="G101" s="434"/>
      <c r="H101" s="337"/>
      <c r="I101" s="186" t="s">
        <v>338</v>
      </c>
      <c r="J101" s="112" t="s">
        <v>339</v>
      </c>
      <c r="K101" s="89"/>
      <c r="L101" s="89"/>
      <c r="M101" s="89"/>
      <c r="N101" s="89"/>
      <c r="O101" s="89"/>
      <c r="P101" s="89"/>
      <c r="Q101" s="89"/>
      <c r="R101" s="89"/>
      <c r="S101" s="89"/>
      <c r="T101" s="89"/>
      <c r="U101" s="89"/>
      <c r="V101" s="89"/>
      <c r="W101" s="89"/>
      <c r="X101" s="89"/>
      <c r="Y101" s="89"/>
      <c r="Z101" s="89"/>
      <c r="AA101" s="106"/>
      <c r="AB101" s="2"/>
      <c r="AC101" s="2"/>
      <c r="AD101" s="2"/>
      <c r="AE101" s="2"/>
      <c r="AF101" s="2"/>
      <c r="AG101" s="2"/>
      <c r="AH101" s="2"/>
      <c r="AI101" s="2"/>
      <c r="AJ101" s="2"/>
      <c r="AK101" s="2"/>
      <c r="AL101" s="2"/>
      <c r="AM101" s="2"/>
      <c r="AN101" s="2"/>
      <c r="AO101" s="2"/>
      <c r="AP101" s="2"/>
      <c r="AQ101" s="2"/>
      <c r="AR101" s="2"/>
      <c r="AS101" s="2"/>
      <c r="AT101" s="2"/>
      <c r="AU101" s="2"/>
    </row>
    <row r="102" spans="1:47" ht="15" customHeight="1" x14ac:dyDescent="0.2">
      <c r="A102" s="2"/>
      <c r="B102" s="207"/>
      <c r="C102" s="446"/>
      <c r="D102" s="449"/>
      <c r="E102" s="440"/>
      <c r="F102" s="435"/>
      <c r="G102" s="436"/>
      <c r="H102" s="338"/>
      <c r="I102" s="187" t="s">
        <v>340</v>
      </c>
      <c r="J102" s="113">
        <v>1984</v>
      </c>
      <c r="K102" s="90"/>
      <c r="L102" s="90"/>
      <c r="M102" s="90"/>
      <c r="N102" s="90"/>
      <c r="O102" s="90"/>
      <c r="P102" s="90"/>
      <c r="Q102" s="90"/>
      <c r="R102" s="90"/>
      <c r="S102" s="90"/>
      <c r="T102" s="90"/>
      <c r="U102" s="90"/>
      <c r="V102" s="90"/>
      <c r="W102" s="90"/>
      <c r="X102" s="90"/>
      <c r="Y102" s="90"/>
      <c r="Z102" s="90"/>
      <c r="AA102" s="104"/>
      <c r="AB102" s="2"/>
      <c r="AC102" s="2"/>
      <c r="AD102" s="2"/>
      <c r="AE102" s="2"/>
      <c r="AF102" s="2"/>
      <c r="AG102" s="2"/>
      <c r="AH102" s="2"/>
      <c r="AI102" s="2"/>
      <c r="AJ102" s="2"/>
      <c r="AK102" s="2"/>
      <c r="AL102" s="2"/>
      <c r="AM102" s="2"/>
      <c r="AN102" s="2"/>
      <c r="AO102" s="2"/>
      <c r="AP102" s="2"/>
      <c r="AQ102" s="2"/>
      <c r="AR102" s="2"/>
      <c r="AS102" s="2"/>
      <c r="AT102" s="2"/>
      <c r="AU102" s="2"/>
    </row>
    <row r="103" spans="1:47" ht="76.5" x14ac:dyDescent="0.2">
      <c r="A103" s="2"/>
      <c r="B103" s="207"/>
      <c r="C103" s="446"/>
      <c r="D103" s="449"/>
      <c r="E103" s="440"/>
      <c r="F103" s="435"/>
      <c r="G103" s="436"/>
      <c r="H103" s="338"/>
      <c r="I103" s="189" t="s">
        <v>341</v>
      </c>
      <c r="J103" s="116">
        <v>2001</v>
      </c>
      <c r="K103" s="115" t="s">
        <v>414</v>
      </c>
      <c r="L103" s="109">
        <f t="shared" ref="L103:AA103" si="35">L83</f>
        <v>0.38500000000000001</v>
      </c>
      <c r="M103" s="109">
        <f t="shared" si="35"/>
        <v>0.33</v>
      </c>
      <c r="N103" s="109">
        <f t="shared" si="35"/>
        <v>0.435</v>
      </c>
      <c r="O103" s="109">
        <f t="shared" si="35"/>
        <v>0.435</v>
      </c>
      <c r="P103" s="109">
        <f t="shared" si="35"/>
        <v>0.435</v>
      </c>
      <c r="Q103" s="109">
        <f t="shared" si="35"/>
        <v>0.45999999999999996</v>
      </c>
      <c r="R103" s="109">
        <f t="shared" si="35"/>
        <v>0.45999999999999996</v>
      </c>
      <c r="S103" s="109">
        <f t="shared" si="35"/>
        <v>0.45999999999999996</v>
      </c>
      <c r="T103" s="109">
        <f t="shared" si="35"/>
        <v>0.45999999999999996</v>
      </c>
      <c r="U103" s="109">
        <f t="shared" si="35"/>
        <v>0.33</v>
      </c>
      <c r="V103" s="109">
        <f t="shared" si="35"/>
        <v>0.33</v>
      </c>
      <c r="W103" s="109">
        <f t="shared" si="35"/>
        <v>0.33</v>
      </c>
      <c r="X103" s="109">
        <f t="shared" si="35"/>
        <v>0.33</v>
      </c>
      <c r="Y103" s="109">
        <f t="shared" si="35"/>
        <v>0.34499999999999997</v>
      </c>
      <c r="Z103" s="109">
        <f t="shared" si="35"/>
        <v>0.34499999999999997</v>
      </c>
      <c r="AA103" s="110">
        <f t="shared" si="35"/>
        <v>0.38500000000000001</v>
      </c>
      <c r="AB103" s="2"/>
      <c r="AC103" s="2"/>
      <c r="AD103" s="2"/>
      <c r="AE103" s="2"/>
      <c r="AF103" s="2"/>
      <c r="AG103" s="2"/>
      <c r="AH103" s="2"/>
      <c r="AI103" s="2"/>
      <c r="AJ103" s="2"/>
      <c r="AK103" s="2"/>
      <c r="AL103" s="2"/>
      <c r="AM103" s="2"/>
      <c r="AN103" s="2"/>
      <c r="AO103" s="2"/>
      <c r="AP103" s="2"/>
      <c r="AQ103" s="2"/>
      <c r="AR103" s="2"/>
      <c r="AS103" s="2"/>
      <c r="AT103" s="2"/>
      <c r="AU103" s="2"/>
    </row>
    <row r="104" spans="1:47" ht="15" customHeight="1" x14ac:dyDescent="0.2">
      <c r="A104" s="2"/>
      <c r="B104" s="207"/>
      <c r="C104" s="446"/>
      <c r="D104" s="449"/>
      <c r="E104" s="440"/>
      <c r="F104" s="435"/>
      <c r="G104" s="436"/>
      <c r="H104" s="338"/>
      <c r="I104" s="187" t="s">
        <v>343</v>
      </c>
      <c r="J104" s="113">
        <v>2013</v>
      </c>
      <c r="K104" s="90"/>
      <c r="L104" s="90">
        <v>0.22</v>
      </c>
      <c r="M104" s="90">
        <v>0.22</v>
      </c>
      <c r="N104" s="90">
        <v>0.22</v>
      </c>
      <c r="O104" s="90">
        <v>0.22</v>
      </c>
      <c r="P104" s="90">
        <v>0.22</v>
      </c>
      <c r="Q104" s="90">
        <v>0.22</v>
      </c>
      <c r="R104" s="90">
        <v>0.22</v>
      </c>
      <c r="S104" s="90">
        <v>0.22</v>
      </c>
      <c r="T104" s="90">
        <v>0.22</v>
      </c>
      <c r="U104" s="90">
        <v>0.22</v>
      </c>
      <c r="V104" s="90">
        <v>0.22</v>
      </c>
      <c r="W104" s="90">
        <v>0.22</v>
      </c>
      <c r="X104" s="90">
        <v>0.22</v>
      </c>
      <c r="Y104" s="90">
        <v>0.22</v>
      </c>
      <c r="Z104" s="90">
        <v>0.22</v>
      </c>
      <c r="AA104" s="104">
        <v>0.22</v>
      </c>
      <c r="AB104" s="2"/>
      <c r="AC104" s="2"/>
      <c r="AD104" s="2"/>
      <c r="AE104" s="2"/>
      <c r="AF104" s="2"/>
      <c r="AG104" s="2"/>
      <c r="AH104" s="2"/>
      <c r="AI104" s="2"/>
      <c r="AJ104" s="2"/>
      <c r="AK104" s="2"/>
      <c r="AL104" s="2"/>
      <c r="AM104" s="2"/>
      <c r="AN104" s="2"/>
      <c r="AO104" s="2"/>
      <c r="AP104" s="2"/>
      <c r="AQ104" s="2"/>
      <c r="AR104" s="2"/>
      <c r="AS104" s="2"/>
      <c r="AT104" s="2"/>
      <c r="AU104" s="2"/>
    </row>
    <row r="105" spans="1:47" ht="15.75" customHeight="1" thickBot="1" x14ac:dyDescent="0.25">
      <c r="A105" s="2"/>
      <c r="B105" s="207"/>
      <c r="C105" s="447"/>
      <c r="D105" s="449"/>
      <c r="E105" s="440"/>
      <c r="F105" s="437"/>
      <c r="G105" s="438"/>
      <c r="H105" s="339"/>
      <c r="I105" s="188" t="s">
        <v>345</v>
      </c>
      <c r="J105" s="114">
        <v>2025</v>
      </c>
      <c r="K105" s="111"/>
      <c r="L105" s="91">
        <v>0.22</v>
      </c>
      <c r="M105" s="91">
        <v>0.22</v>
      </c>
      <c r="N105" s="91">
        <v>0.22</v>
      </c>
      <c r="O105" s="91">
        <v>0.22</v>
      </c>
      <c r="P105" s="91">
        <v>0.22</v>
      </c>
      <c r="Q105" s="91">
        <v>0.22</v>
      </c>
      <c r="R105" s="91">
        <v>0.22</v>
      </c>
      <c r="S105" s="91">
        <v>0.22</v>
      </c>
      <c r="T105" s="91">
        <v>0.22</v>
      </c>
      <c r="U105" s="91">
        <v>0.22</v>
      </c>
      <c r="V105" s="91">
        <v>0.22</v>
      </c>
      <c r="W105" s="91">
        <v>0.22</v>
      </c>
      <c r="X105" s="91">
        <v>0.22</v>
      </c>
      <c r="Y105" s="91">
        <v>0.22</v>
      </c>
      <c r="Z105" s="91">
        <v>0.22</v>
      </c>
      <c r="AA105" s="105">
        <v>0.22</v>
      </c>
      <c r="AB105" s="2"/>
      <c r="AC105" s="2"/>
      <c r="AD105" s="2"/>
      <c r="AE105" s="2"/>
      <c r="AF105" s="2"/>
      <c r="AG105" s="2"/>
      <c r="AH105" s="2"/>
      <c r="AI105" s="2"/>
      <c r="AJ105" s="2"/>
      <c r="AK105" s="2"/>
      <c r="AL105" s="2"/>
      <c r="AM105" s="2"/>
      <c r="AN105" s="2"/>
      <c r="AO105" s="2"/>
      <c r="AP105" s="2"/>
      <c r="AQ105" s="2"/>
      <c r="AR105" s="2"/>
      <c r="AS105" s="2"/>
      <c r="AT105" s="2"/>
      <c r="AU105" s="2"/>
    </row>
    <row r="106" spans="1:47" ht="15" customHeight="1" x14ac:dyDescent="0.2">
      <c r="A106" s="2"/>
      <c r="B106" s="207"/>
      <c r="C106" s="442" t="s">
        <v>412</v>
      </c>
      <c r="D106" s="449"/>
      <c r="E106" s="440"/>
      <c r="F106" s="433" t="s">
        <v>410</v>
      </c>
      <c r="G106" s="434"/>
      <c r="H106" s="337"/>
      <c r="I106" s="186" t="s">
        <v>338</v>
      </c>
      <c r="J106" s="112" t="s">
        <v>339</v>
      </c>
      <c r="K106" s="89"/>
      <c r="L106" s="89"/>
      <c r="M106" s="89"/>
      <c r="N106" s="89"/>
      <c r="O106" s="89"/>
      <c r="P106" s="89"/>
      <c r="Q106" s="89"/>
      <c r="R106" s="89"/>
      <c r="S106" s="89"/>
      <c r="T106" s="89"/>
      <c r="U106" s="89"/>
      <c r="V106" s="89"/>
      <c r="W106" s="89"/>
      <c r="X106" s="89"/>
      <c r="Y106" s="89"/>
      <c r="Z106" s="89"/>
      <c r="AA106" s="106"/>
      <c r="AB106" s="2"/>
      <c r="AC106" s="2"/>
      <c r="AD106" s="2"/>
      <c r="AE106" s="2"/>
      <c r="AF106" s="2"/>
      <c r="AG106" s="2"/>
      <c r="AH106" s="2"/>
      <c r="AI106" s="2"/>
      <c r="AJ106" s="2"/>
      <c r="AK106" s="2"/>
      <c r="AL106" s="2"/>
      <c r="AM106" s="2"/>
      <c r="AN106" s="2"/>
      <c r="AO106" s="2"/>
      <c r="AP106" s="2"/>
      <c r="AQ106" s="2"/>
      <c r="AR106" s="2"/>
      <c r="AS106" s="2"/>
      <c r="AT106" s="2"/>
      <c r="AU106" s="2"/>
    </row>
    <row r="107" spans="1:47" ht="15" customHeight="1" x14ac:dyDescent="0.2">
      <c r="A107" s="2"/>
      <c r="B107" s="207"/>
      <c r="C107" s="443"/>
      <c r="D107" s="449"/>
      <c r="E107" s="440"/>
      <c r="F107" s="435"/>
      <c r="G107" s="436"/>
      <c r="H107" s="338"/>
      <c r="I107" s="187" t="s">
        <v>340</v>
      </c>
      <c r="J107" s="113">
        <v>1984</v>
      </c>
      <c r="K107" s="90"/>
      <c r="L107" s="90"/>
      <c r="M107" s="90"/>
      <c r="N107" s="90"/>
      <c r="O107" s="90"/>
      <c r="P107" s="90"/>
      <c r="Q107" s="90"/>
      <c r="R107" s="90"/>
      <c r="S107" s="90"/>
      <c r="T107" s="90"/>
      <c r="U107" s="90"/>
      <c r="V107" s="90"/>
      <c r="W107" s="90"/>
      <c r="X107" s="90"/>
      <c r="Y107" s="90"/>
      <c r="Z107" s="90"/>
      <c r="AA107" s="104"/>
      <c r="AB107" s="2"/>
      <c r="AC107" s="2"/>
      <c r="AD107" s="2"/>
      <c r="AE107" s="2"/>
      <c r="AF107" s="2"/>
      <c r="AG107" s="2"/>
      <c r="AH107" s="2"/>
      <c r="AI107" s="2"/>
      <c r="AJ107" s="2"/>
      <c r="AK107" s="2"/>
      <c r="AL107" s="2"/>
      <c r="AM107" s="2"/>
      <c r="AN107" s="2"/>
      <c r="AO107" s="2"/>
      <c r="AP107" s="2"/>
      <c r="AQ107" s="2"/>
      <c r="AR107" s="2"/>
      <c r="AS107" s="2"/>
      <c r="AT107" s="2"/>
      <c r="AU107" s="2"/>
    </row>
    <row r="108" spans="1:47" ht="76.5" x14ac:dyDescent="0.2">
      <c r="A108" s="2"/>
      <c r="B108" s="207"/>
      <c r="C108" s="443"/>
      <c r="D108" s="449"/>
      <c r="E108" s="440"/>
      <c r="F108" s="435"/>
      <c r="G108" s="436"/>
      <c r="H108" s="338"/>
      <c r="I108" s="187" t="s">
        <v>341</v>
      </c>
      <c r="J108" s="113">
        <v>2001</v>
      </c>
      <c r="K108" s="115" t="s">
        <v>415</v>
      </c>
      <c r="L108" s="90">
        <v>0.49</v>
      </c>
      <c r="M108" s="90">
        <v>0.49</v>
      </c>
      <c r="N108" s="90">
        <v>0.81</v>
      </c>
      <c r="O108" s="90">
        <v>0.81</v>
      </c>
      <c r="P108" s="90">
        <v>0.81</v>
      </c>
      <c r="Q108" s="90">
        <v>0.81</v>
      </c>
      <c r="R108" s="90">
        <v>0.81</v>
      </c>
      <c r="S108" s="90">
        <v>0.81</v>
      </c>
      <c r="T108" s="90">
        <v>0.81</v>
      </c>
      <c r="U108" s="90">
        <v>0.49</v>
      </c>
      <c r="V108" s="90">
        <v>0.49</v>
      </c>
      <c r="W108" s="90">
        <v>0.49</v>
      </c>
      <c r="X108" s="90">
        <v>0.49</v>
      </c>
      <c r="Y108" s="90">
        <v>0.49</v>
      </c>
      <c r="Z108" s="90">
        <v>0.49</v>
      </c>
      <c r="AA108" s="104">
        <v>0.49</v>
      </c>
      <c r="AB108" s="2"/>
      <c r="AC108" s="2"/>
      <c r="AD108" s="2"/>
      <c r="AE108" s="2"/>
      <c r="AF108" s="2"/>
      <c r="AG108" s="2"/>
      <c r="AH108" s="2"/>
      <c r="AI108" s="2"/>
      <c r="AJ108" s="2"/>
      <c r="AK108" s="2"/>
      <c r="AL108" s="2"/>
      <c r="AM108" s="2"/>
      <c r="AN108" s="2"/>
      <c r="AO108" s="2"/>
      <c r="AP108" s="2"/>
      <c r="AQ108" s="2"/>
      <c r="AR108" s="2"/>
      <c r="AS108" s="2"/>
      <c r="AT108" s="2"/>
      <c r="AU108" s="2"/>
    </row>
    <row r="109" spans="1:47" ht="15" customHeight="1" x14ac:dyDescent="0.2">
      <c r="A109" s="2"/>
      <c r="B109" s="207"/>
      <c r="C109" s="443"/>
      <c r="D109" s="449"/>
      <c r="E109" s="440"/>
      <c r="F109" s="435"/>
      <c r="G109" s="436"/>
      <c r="H109" s="338"/>
      <c r="I109" s="187" t="s">
        <v>343</v>
      </c>
      <c r="J109" s="113">
        <v>2013</v>
      </c>
      <c r="K109" s="90"/>
      <c r="L109" s="90">
        <v>0.46</v>
      </c>
      <c r="M109" s="90">
        <v>0.46</v>
      </c>
      <c r="N109" s="90">
        <v>0.46</v>
      </c>
      <c r="O109" s="90">
        <v>0.46</v>
      </c>
      <c r="P109" s="90">
        <v>0.46</v>
      </c>
      <c r="Q109" s="90">
        <v>0.46</v>
      </c>
      <c r="R109" s="90">
        <v>0.46</v>
      </c>
      <c r="S109" s="90">
        <v>0.46</v>
      </c>
      <c r="T109" s="90">
        <v>0.46</v>
      </c>
      <c r="U109" s="90">
        <v>0.46</v>
      </c>
      <c r="V109" s="90">
        <v>0.46</v>
      </c>
      <c r="W109" s="90">
        <v>0.46</v>
      </c>
      <c r="X109" s="90">
        <v>0.46</v>
      </c>
      <c r="Y109" s="90">
        <v>0.46</v>
      </c>
      <c r="Z109" s="90">
        <v>0.46</v>
      </c>
      <c r="AA109" s="104">
        <v>0.46</v>
      </c>
      <c r="AB109" s="2"/>
      <c r="AC109" s="2"/>
      <c r="AD109" s="2"/>
      <c r="AE109" s="2"/>
      <c r="AF109" s="2"/>
      <c r="AG109" s="2"/>
      <c r="AH109" s="2"/>
      <c r="AI109" s="2"/>
      <c r="AJ109" s="2"/>
      <c r="AK109" s="2"/>
      <c r="AL109" s="2"/>
      <c r="AM109" s="2"/>
      <c r="AN109" s="2"/>
      <c r="AO109" s="2"/>
      <c r="AP109" s="2"/>
      <c r="AQ109" s="2"/>
      <c r="AR109" s="2"/>
      <c r="AS109" s="2"/>
      <c r="AT109" s="2"/>
      <c r="AU109" s="2"/>
    </row>
    <row r="110" spans="1:47" ht="15.75" customHeight="1" thickBot="1" x14ac:dyDescent="0.25">
      <c r="A110" s="2"/>
      <c r="B110" s="207"/>
      <c r="C110" s="443"/>
      <c r="D110" s="449"/>
      <c r="E110" s="440"/>
      <c r="F110" s="437"/>
      <c r="G110" s="438"/>
      <c r="H110" s="339"/>
      <c r="I110" s="188" t="s">
        <v>345</v>
      </c>
      <c r="J110" s="114">
        <v>2025</v>
      </c>
      <c r="K110" s="111"/>
      <c r="L110" s="91">
        <v>0.46</v>
      </c>
      <c r="M110" s="91">
        <v>0.46</v>
      </c>
      <c r="N110" s="91">
        <v>0.46</v>
      </c>
      <c r="O110" s="91">
        <v>0.46</v>
      </c>
      <c r="P110" s="91">
        <v>0.46</v>
      </c>
      <c r="Q110" s="91">
        <v>0.46</v>
      </c>
      <c r="R110" s="91">
        <v>0.46</v>
      </c>
      <c r="S110" s="91">
        <v>0.46</v>
      </c>
      <c r="T110" s="91">
        <v>0.46</v>
      </c>
      <c r="U110" s="91">
        <v>0.46</v>
      </c>
      <c r="V110" s="91">
        <v>0.46</v>
      </c>
      <c r="W110" s="91">
        <v>0.46</v>
      </c>
      <c r="X110" s="91">
        <v>0.46</v>
      </c>
      <c r="Y110" s="91">
        <v>0.46</v>
      </c>
      <c r="Z110" s="91">
        <v>0.46</v>
      </c>
      <c r="AA110" s="105">
        <v>0.46</v>
      </c>
      <c r="AB110" s="2"/>
      <c r="AC110" s="2"/>
      <c r="AD110" s="2"/>
      <c r="AE110" s="2"/>
      <c r="AF110" s="2"/>
      <c r="AG110" s="2"/>
      <c r="AH110" s="2"/>
      <c r="AI110" s="2"/>
      <c r="AJ110" s="2"/>
      <c r="AK110" s="2"/>
      <c r="AL110" s="2"/>
      <c r="AM110" s="2"/>
      <c r="AN110" s="2"/>
      <c r="AO110" s="2"/>
      <c r="AP110" s="2"/>
      <c r="AQ110" s="2"/>
      <c r="AR110" s="2"/>
      <c r="AS110" s="2"/>
      <c r="AT110" s="2"/>
      <c r="AU110" s="2"/>
    </row>
    <row r="111" spans="1:47" ht="15" customHeight="1" x14ac:dyDescent="0.2">
      <c r="A111" s="2"/>
      <c r="B111" s="207"/>
      <c r="C111" s="443"/>
      <c r="D111" s="449"/>
      <c r="E111" s="440"/>
      <c r="F111" s="433" t="s">
        <v>367</v>
      </c>
      <c r="G111" s="434"/>
      <c r="H111" s="337"/>
      <c r="I111" s="186" t="s">
        <v>338</v>
      </c>
      <c r="J111" s="112" t="s">
        <v>339</v>
      </c>
      <c r="K111" s="89"/>
      <c r="L111" s="89"/>
      <c r="M111" s="89"/>
      <c r="N111" s="89"/>
      <c r="O111" s="89"/>
      <c r="P111" s="89"/>
      <c r="Q111" s="89"/>
      <c r="R111" s="89"/>
      <c r="S111" s="89"/>
      <c r="T111" s="89"/>
      <c r="U111" s="89"/>
      <c r="V111" s="89"/>
      <c r="W111" s="89"/>
      <c r="X111" s="89"/>
      <c r="Y111" s="89"/>
      <c r="Z111" s="89"/>
      <c r="AA111" s="106"/>
      <c r="AB111" s="2"/>
      <c r="AC111" s="2"/>
      <c r="AD111" s="2"/>
      <c r="AE111" s="2"/>
      <c r="AF111" s="2"/>
      <c r="AG111" s="2"/>
      <c r="AH111" s="2"/>
      <c r="AI111" s="2"/>
      <c r="AJ111" s="2"/>
      <c r="AK111" s="2"/>
      <c r="AL111" s="2"/>
      <c r="AM111" s="2"/>
      <c r="AN111" s="2"/>
      <c r="AO111" s="2"/>
      <c r="AP111" s="2"/>
      <c r="AQ111" s="2"/>
      <c r="AR111" s="2"/>
      <c r="AS111" s="2"/>
      <c r="AT111" s="2"/>
      <c r="AU111" s="2"/>
    </row>
    <row r="112" spans="1:47" ht="15" customHeight="1" x14ac:dyDescent="0.2">
      <c r="A112" s="2"/>
      <c r="B112" s="207"/>
      <c r="C112" s="443"/>
      <c r="D112" s="449"/>
      <c r="E112" s="440"/>
      <c r="F112" s="435"/>
      <c r="G112" s="436"/>
      <c r="H112" s="338"/>
      <c r="I112" s="187" t="s">
        <v>340</v>
      </c>
      <c r="J112" s="113">
        <v>1984</v>
      </c>
      <c r="K112" s="90"/>
      <c r="L112" s="90"/>
      <c r="M112" s="90"/>
      <c r="N112" s="90"/>
      <c r="O112" s="90"/>
      <c r="P112" s="90"/>
      <c r="Q112" s="90"/>
      <c r="R112" s="90"/>
      <c r="S112" s="90"/>
      <c r="T112" s="90"/>
      <c r="U112" s="90"/>
      <c r="V112" s="90"/>
      <c r="W112" s="90"/>
      <c r="X112" s="90"/>
      <c r="Y112" s="90"/>
      <c r="Z112" s="90"/>
      <c r="AA112" s="104"/>
      <c r="AB112" s="2"/>
      <c r="AC112" s="2"/>
      <c r="AD112" s="2"/>
      <c r="AE112" s="2"/>
      <c r="AF112" s="2"/>
      <c r="AG112" s="2"/>
      <c r="AH112" s="2"/>
      <c r="AI112" s="2"/>
      <c r="AJ112" s="2"/>
      <c r="AK112" s="2"/>
      <c r="AL112" s="2"/>
      <c r="AM112" s="2"/>
      <c r="AN112" s="2"/>
      <c r="AO112" s="2"/>
      <c r="AP112" s="2"/>
      <c r="AQ112" s="2"/>
      <c r="AR112" s="2"/>
      <c r="AS112" s="2"/>
      <c r="AT112" s="2"/>
      <c r="AU112" s="2"/>
    </row>
    <row r="113" spans="1:47" ht="76.5" x14ac:dyDescent="0.2">
      <c r="A113" s="2"/>
      <c r="B113" s="207"/>
      <c r="C113" s="443"/>
      <c r="D113" s="449"/>
      <c r="E113" s="440"/>
      <c r="F113" s="435"/>
      <c r="G113" s="436"/>
      <c r="H113" s="338"/>
      <c r="I113" s="189" t="s">
        <v>341</v>
      </c>
      <c r="J113" s="116">
        <v>2001</v>
      </c>
      <c r="K113" s="115" t="s">
        <v>415</v>
      </c>
      <c r="L113" s="90">
        <f>L93</f>
        <v>0.44999999999999996</v>
      </c>
      <c r="M113" s="90">
        <f t="shared" ref="M113:AA113" si="36">M93</f>
        <v>0.39</v>
      </c>
      <c r="N113" s="90">
        <f t="shared" si="36"/>
        <v>0.51</v>
      </c>
      <c r="O113" s="90">
        <f t="shared" si="36"/>
        <v>0.51</v>
      </c>
      <c r="P113" s="90">
        <f t="shared" si="36"/>
        <v>0.51</v>
      </c>
      <c r="Q113" s="90">
        <f t="shared" si="36"/>
        <v>0.47499999999999998</v>
      </c>
      <c r="R113" s="90">
        <f t="shared" si="36"/>
        <v>0.47499999999999998</v>
      </c>
      <c r="S113" s="90">
        <f t="shared" si="36"/>
        <v>0.47499999999999998</v>
      </c>
      <c r="T113" s="90">
        <f t="shared" si="36"/>
        <v>0.47499999999999998</v>
      </c>
      <c r="U113" s="90">
        <f t="shared" si="36"/>
        <v>0.39</v>
      </c>
      <c r="V113" s="90">
        <f t="shared" si="36"/>
        <v>0.39</v>
      </c>
      <c r="W113" s="90">
        <f t="shared" si="36"/>
        <v>0.39</v>
      </c>
      <c r="X113" s="90">
        <f t="shared" si="36"/>
        <v>0.39</v>
      </c>
      <c r="Y113" s="90">
        <f t="shared" si="36"/>
        <v>0.39</v>
      </c>
      <c r="Z113" s="90">
        <f t="shared" si="36"/>
        <v>0.39</v>
      </c>
      <c r="AA113" s="104">
        <f t="shared" si="36"/>
        <v>0.44999999999999996</v>
      </c>
      <c r="AB113" s="2"/>
      <c r="AC113" s="2"/>
      <c r="AD113" s="2"/>
      <c r="AE113" s="2"/>
      <c r="AF113" s="2"/>
      <c r="AG113" s="2"/>
      <c r="AH113" s="2"/>
      <c r="AI113" s="2"/>
      <c r="AJ113" s="2"/>
      <c r="AK113" s="2"/>
      <c r="AL113" s="2"/>
      <c r="AM113" s="2"/>
      <c r="AN113" s="2"/>
      <c r="AO113" s="2"/>
      <c r="AP113" s="2"/>
      <c r="AQ113" s="2"/>
      <c r="AR113" s="2"/>
      <c r="AS113" s="2"/>
      <c r="AT113" s="2"/>
      <c r="AU113" s="2"/>
    </row>
    <row r="114" spans="1:47" ht="15" customHeight="1" x14ac:dyDescent="0.2">
      <c r="A114" s="2"/>
      <c r="B114" s="207"/>
      <c r="C114" s="443"/>
      <c r="D114" s="449"/>
      <c r="E114" s="440"/>
      <c r="F114" s="435"/>
      <c r="G114" s="436"/>
      <c r="H114" s="338"/>
      <c r="I114" s="187" t="s">
        <v>343</v>
      </c>
      <c r="J114" s="113">
        <v>2013</v>
      </c>
      <c r="K114" s="90"/>
      <c r="L114" s="90">
        <v>0.22</v>
      </c>
      <c r="M114" s="90">
        <v>0.22</v>
      </c>
      <c r="N114" s="90">
        <v>0.22</v>
      </c>
      <c r="O114" s="90">
        <v>0.22</v>
      </c>
      <c r="P114" s="90">
        <v>0.22</v>
      </c>
      <c r="Q114" s="90">
        <v>0.22</v>
      </c>
      <c r="R114" s="90">
        <v>0.22</v>
      </c>
      <c r="S114" s="90">
        <v>0.22</v>
      </c>
      <c r="T114" s="90">
        <v>0.22</v>
      </c>
      <c r="U114" s="90">
        <v>0.22</v>
      </c>
      <c r="V114" s="90">
        <v>0.22</v>
      </c>
      <c r="W114" s="90">
        <v>0.22</v>
      </c>
      <c r="X114" s="90">
        <v>0.22</v>
      </c>
      <c r="Y114" s="90">
        <v>0.22</v>
      </c>
      <c r="Z114" s="90">
        <v>0.22</v>
      </c>
      <c r="AA114" s="104">
        <v>0.22</v>
      </c>
      <c r="AB114" s="2"/>
      <c r="AC114" s="2"/>
      <c r="AD114" s="2"/>
      <c r="AE114" s="2"/>
      <c r="AF114" s="2"/>
      <c r="AG114" s="2"/>
      <c r="AH114" s="2"/>
      <c r="AI114" s="2"/>
      <c r="AJ114" s="2"/>
      <c r="AK114" s="2"/>
      <c r="AL114" s="2"/>
      <c r="AM114" s="2"/>
      <c r="AN114" s="2"/>
      <c r="AO114" s="2"/>
      <c r="AP114" s="2"/>
      <c r="AQ114" s="2"/>
      <c r="AR114" s="2"/>
      <c r="AS114" s="2"/>
      <c r="AT114" s="2"/>
      <c r="AU114" s="2"/>
    </row>
    <row r="115" spans="1:47" ht="15.75" customHeight="1" thickBot="1" x14ac:dyDescent="0.25">
      <c r="A115" s="2"/>
      <c r="B115" s="207"/>
      <c r="C115" s="444"/>
      <c r="D115" s="450"/>
      <c r="E115" s="441"/>
      <c r="F115" s="437"/>
      <c r="G115" s="438"/>
      <c r="H115" s="339"/>
      <c r="I115" s="188" t="s">
        <v>345</v>
      </c>
      <c r="J115" s="114">
        <v>2025</v>
      </c>
      <c r="K115" s="117"/>
      <c r="L115" s="107">
        <v>0.22</v>
      </c>
      <c r="M115" s="107">
        <v>0.22</v>
      </c>
      <c r="N115" s="107">
        <v>0.22</v>
      </c>
      <c r="O115" s="107">
        <v>0.22</v>
      </c>
      <c r="P115" s="107">
        <v>0.22</v>
      </c>
      <c r="Q115" s="107">
        <v>0.22</v>
      </c>
      <c r="R115" s="107">
        <v>0.22</v>
      </c>
      <c r="S115" s="107">
        <v>0.22</v>
      </c>
      <c r="T115" s="107">
        <v>0.22</v>
      </c>
      <c r="U115" s="107">
        <v>0.22</v>
      </c>
      <c r="V115" s="107">
        <v>0.22</v>
      </c>
      <c r="W115" s="107">
        <v>0.22</v>
      </c>
      <c r="X115" s="107">
        <v>0.22</v>
      </c>
      <c r="Y115" s="107">
        <v>0.22</v>
      </c>
      <c r="Z115" s="107">
        <v>0.22</v>
      </c>
      <c r="AA115" s="108">
        <v>0.22</v>
      </c>
      <c r="AB115" s="2"/>
      <c r="AC115" s="2"/>
      <c r="AD115" s="2"/>
      <c r="AE115" s="2"/>
      <c r="AF115" s="2"/>
      <c r="AG115" s="2"/>
      <c r="AH115" s="2"/>
      <c r="AI115" s="2"/>
      <c r="AJ115" s="2"/>
      <c r="AK115" s="2"/>
      <c r="AL115" s="2"/>
      <c r="AM115" s="2"/>
      <c r="AN115" s="2"/>
      <c r="AO115" s="2"/>
      <c r="AP115" s="2"/>
      <c r="AQ115" s="2"/>
      <c r="AR115" s="2"/>
      <c r="AS115" s="2"/>
      <c r="AT115" s="2"/>
      <c r="AU115" s="2"/>
    </row>
    <row r="116" spans="1:47" x14ac:dyDescent="0.2">
      <c r="A116" s="2"/>
      <c r="B116" s="90"/>
      <c r="C116" s="92"/>
      <c r="D116" s="90"/>
      <c r="E116" s="90"/>
      <c r="F116" s="90"/>
      <c r="G116" s="90"/>
      <c r="H116" s="90"/>
      <c r="I116" s="93"/>
      <c r="J116" s="90"/>
      <c r="K116" s="90"/>
      <c r="L116" s="90"/>
      <c r="M116" s="90"/>
      <c r="N116" s="90"/>
      <c r="O116" s="90"/>
      <c r="P116" s="90"/>
      <c r="Q116" s="90"/>
      <c r="R116" s="90"/>
      <c r="S116" s="90"/>
      <c r="T116" s="90"/>
      <c r="U116" s="90"/>
      <c r="V116" s="90"/>
      <c r="W116" s="90"/>
      <c r="X116" s="90"/>
      <c r="Y116" s="90"/>
      <c r="Z116" s="90"/>
      <c r="AA116" s="90"/>
      <c r="AB116" s="2"/>
      <c r="AC116" s="2"/>
      <c r="AD116" s="2"/>
      <c r="AE116" s="2"/>
      <c r="AF116" s="2"/>
      <c r="AG116" s="2"/>
      <c r="AH116" s="2"/>
      <c r="AI116" s="2"/>
      <c r="AJ116" s="2"/>
      <c r="AK116" s="2"/>
      <c r="AL116" s="2"/>
      <c r="AM116" s="2"/>
      <c r="AN116" s="2"/>
      <c r="AO116" s="2"/>
      <c r="AP116" s="2"/>
      <c r="AQ116" s="2"/>
      <c r="AR116" s="2"/>
      <c r="AS116" s="2"/>
      <c r="AT116" s="2"/>
      <c r="AU116" s="2"/>
    </row>
    <row r="117" spans="1:47" x14ac:dyDescent="0.2">
      <c r="A117" s="2"/>
      <c r="B117" s="90"/>
      <c r="C117" s="92"/>
      <c r="D117" s="90"/>
      <c r="E117" s="90"/>
      <c r="F117" s="90"/>
      <c r="G117" s="90"/>
      <c r="H117" s="90"/>
      <c r="I117" s="93"/>
      <c r="J117" s="90"/>
      <c r="K117" s="90"/>
      <c r="L117" s="90"/>
      <c r="M117" s="90"/>
      <c r="N117" s="90"/>
      <c r="O117" s="90"/>
      <c r="P117" s="90"/>
      <c r="Q117" s="90"/>
      <c r="R117" s="90"/>
      <c r="S117" s="90"/>
      <c r="T117" s="90"/>
      <c r="U117" s="90"/>
      <c r="V117" s="90"/>
      <c r="W117" s="90"/>
      <c r="X117" s="90"/>
      <c r="Y117" s="90"/>
      <c r="Z117" s="90"/>
      <c r="AA117" s="90"/>
      <c r="AB117" s="2"/>
      <c r="AC117" s="2"/>
      <c r="AD117" s="2"/>
      <c r="AE117" s="2"/>
      <c r="AF117" s="2"/>
      <c r="AG117" s="2"/>
      <c r="AH117" s="2"/>
      <c r="AI117" s="2"/>
      <c r="AJ117" s="2"/>
      <c r="AK117" s="2"/>
      <c r="AL117" s="2"/>
      <c r="AM117" s="2"/>
      <c r="AN117" s="2"/>
      <c r="AO117" s="2"/>
      <c r="AP117" s="2"/>
      <c r="AQ117" s="2"/>
      <c r="AR117" s="2"/>
      <c r="AS117" s="2"/>
      <c r="AT117" s="2"/>
      <c r="AU117" s="2"/>
    </row>
    <row r="118" spans="1:47" x14ac:dyDescent="0.2">
      <c r="A118" s="2"/>
      <c r="B118" s="90"/>
      <c r="C118" s="92"/>
      <c r="D118" s="90"/>
      <c r="E118" s="90"/>
      <c r="F118" s="90"/>
      <c r="G118" s="90"/>
      <c r="H118" s="90"/>
      <c r="I118" s="93"/>
      <c r="J118" s="90"/>
      <c r="K118" s="90"/>
      <c r="L118" s="90"/>
      <c r="M118" s="90"/>
      <c r="N118" s="90"/>
      <c r="O118" s="90"/>
      <c r="P118" s="90"/>
      <c r="Q118" s="90"/>
      <c r="R118" s="90"/>
      <c r="S118" s="90"/>
      <c r="T118" s="90"/>
      <c r="U118" s="90"/>
      <c r="V118" s="90"/>
      <c r="W118" s="90"/>
      <c r="X118" s="90"/>
      <c r="Y118" s="90"/>
      <c r="Z118" s="90"/>
      <c r="AA118" s="90"/>
      <c r="AB118" s="2"/>
      <c r="AC118" s="2"/>
      <c r="AD118" s="2"/>
      <c r="AE118" s="2"/>
      <c r="AF118" s="2"/>
      <c r="AG118" s="2"/>
      <c r="AH118" s="2"/>
      <c r="AI118" s="2"/>
      <c r="AJ118" s="2"/>
      <c r="AK118" s="2"/>
      <c r="AL118" s="2"/>
      <c r="AM118" s="2"/>
      <c r="AN118" s="2"/>
      <c r="AO118" s="2"/>
      <c r="AP118" s="2"/>
      <c r="AQ118" s="2"/>
      <c r="AR118" s="2"/>
      <c r="AS118" s="2"/>
      <c r="AT118" s="2"/>
      <c r="AU118" s="2"/>
    </row>
    <row r="119" spans="1:47" x14ac:dyDescent="0.2">
      <c r="A119" s="2"/>
      <c r="B119" s="2"/>
      <c r="C119" s="94" t="s">
        <v>416</v>
      </c>
      <c r="D119" s="94">
        <v>2001</v>
      </c>
      <c r="E119" s="95" t="s">
        <v>417</v>
      </c>
      <c r="F119" s="94" t="s">
        <v>418</v>
      </c>
      <c r="G119" s="96" t="s">
        <v>419</v>
      </c>
      <c r="H119" s="96"/>
      <c r="I119" s="97" t="s">
        <v>420</v>
      </c>
      <c r="J119" s="93">
        <v>2001</v>
      </c>
      <c r="K119" s="97" t="s">
        <v>342</v>
      </c>
      <c r="L119" s="97">
        <v>0.47</v>
      </c>
      <c r="M119" s="99">
        <v>0.4</v>
      </c>
      <c r="N119" s="99">
        <v>0.61</v>
      </c>
      <c r="O119" s="96">
        <v>0.61</v>
      </c>
      <c r="P119" s="97">
        <v>0.61</v>
      </c>
      <c r="Q119" s="97">
        <v>0.61</v>
      </c>
      <c r="R119" s="97">
        <v>0.61</v>
      </c>
      <c r="S119" s="97">
        <v>0.61</v>
      </c>
      <c r="T119" s="97">
        <v>0.61</v>
      </c>
      <c r="U119" s="97">
        <v>0.4</v>
      </c>
      <c r="V119" s="97">
        <v>0.4</v>
      </c>
      <c r="W119" s="97">
        <v>0.4</v>
      </c>
      <c r="X119" s="97">
        <v>0.4</v>
      </c>
      <c r="Y119" s="97">
        <v>0.43</v>
      </c>
      <c r="Z119" s="97">
        <v>0.43</v>
      </c>
      <c r="AA119" s="97">
        <v>0.47</v>
      </c>
      <c r="AB119" s="97"/>
      <c r="AC119" s="2"/>
      <c r="AD119" s="2"/>
      <c r="AE119" s="2"/>
      <c r="AF119" s="2"/>
      <c r="AG119" s="2"/>
      <c r="AH119" s="2"/>
      <c r="AI119" s="2"/>
      <c r="AJ119" s="2"/>
      <c r="AK119" s="2"/>
      <c r="AL119" s="2"/>
      <c r="AM119" s="2"/>
      <c r="AN119" s="2"/>
      <c r="AO119" s="2"/>
      <c r="AP119" s="2"/>
      <c r="AQ119" s="2"/>
      <c r="AR119" s="2"/>
      <c r="AS119" s="2"/>
      <c r="AT119" s="2"/>
      <c r="AU119" s="2"/>
    </row>
    <row r="120" spans="1:47" x14ac:dyDescent="0.2">
      <c r="A120" s="2"/>
      <c r="B120" s="2"/>
      <c r="C120" s="94" t="s">
        <v>416</v>
      </c>
      <c r="D120" s="94">
        <v>2001</v>
      </c>
      <c r="E120" s="95" t="s">
        <v>417</v>
      </c>
      <c r="F120" s="94" t="s">
        <v>421</v>
      </c>
      <c r="G120" s="96" t="s">
        <v>419</v>
      </c>
      <c r="H120" s="96"/>
      <c r="I120" s="97" t="s">
        <v>420</v>
      </c>
      <c r="J120" s="93">
        <v>2001</v>
      </c>
      <c r="K120" s="97" t="s">
        <v>342</v>
      </c>
      <c r="L120" s="97">
        <v>0.36</v>
      </c>
      <c r="M120" s="99">
        <v>0.31</v>
      </c>
      <c r="N120" s="99">
        <v>0.31</v>
      </c>
      <c r="O120" s="96">
        <v>0.31</v>
      </c>
      <c r="P120" s="97">
        <v>0.31</v>
      </c>
      <c r="Q120" s="97">
        <v>0.36</v>
      </c>
      <c r="R120" s="97">
        <v>0.36</v>
      </c>
      <c r="S120" s="97">
        <v>0.36</v>
      </c>
      <c r="T120" s="97">
        <v>0.36</v>
      </c>
      <c r="U120" s="97">
        <v>0.31</v>
      </c>
      <c r="V120" s="97">
        <v>0.31</v>
      </c>
      <c r="W120" s="97">
        <v>0.31</v>
      </c>
      <c r="X120" s="97">
        <v>0.31</v>
      </c>
      <c r="Y120" s="97">
        <v>0.26</v>
      </c>
      <c r="Z120" s="97">
        <v>0.26</v>
      </c>
      <c r="AA120" s="97">
        <v>0.36</v>
      </c>
      <c r="AB120" s="97"/>
      <c r="AC120" s="2"/>
      <c r="AD120" s="2"/>
      <c r="AE120" s="2"/>
      <c r="AF120" s="2"/>
      <c r="AG120" s="2"/>
      <c r="AH120" s="2"/>
      <c r="AI120" s="2"/>
      <c r="AJ120" s="2"/>
      <c r="AK120" s="2"/>
      <c r="AL120" s="2"/>
      <c r="AM120" s="2"/>
      <c r="AN120" s="2"/>
      <c r="AO120" s="2"/>
      <c r="AP120" s="2"/>
      <c r="AQ120" s="2"/>
      <c r="AR120" s="2"/>
      <c r="AS120" s="2"/>
      <c r="AT120" s="2"/>
      <c r="AU120" s="2"/>
    </row>
    <row r="121" spans="1:47" x14ac:dyDescent="0.2">
      <c r="A121" s="2"/>
      <c r="B121" s="2"/>
      <c r="C121" s="94" t="s">
        <v>416</v>
      </c>
      <c r="D121" s="94">
        <v>2001</v>
      </c>
      <c r="E121" s="95" t="s">
        <v>417</v>
      </c>
      <c r="F121" s="94" t="s">
        <v>421</v>
      </c>
      <c r="G121" s="96" t="s">
        <v>422</v>
      </c>
      <c r="H121" s="96"/>
      <c r="I121" s="97" t="s">
        <v>420</v>
      </c>
      <c r="J121" s="93">
        <v>2001</v>
      </c>
      <c r="K121" s="97" t="s">
        <v>342</v>
      </c>
      <c r="L121" s="97">
        <v>0.3</v>
      </c>
      <c r="M121" s="99">
        <v>0.26</v>
      </c>
      <c r="N121" s="99">
        <v>0.26</v>
      </c>
      <c r="O121" s="96">
        <v>0.26</v>
      </c>
      <c r="P121" s="97">
        <v>0.26</v>
      </c>
      <c r="Q121" s="97">
        <v>0.31</v>
      </c>
      <c r="R121" s="97">
        <v>0.31</v>
      </c>
      <c r="S121" s="97">
        <v>0.31</v>
      </c>
      <c r="T121" s="97">
        <v>0.31</v>
      </c>
      <c r="U121" s="97">
        <v>0.26</v>
      </c>
      <c r="V121" s="97">
        <v>0.26</v>
      </c>
      <c r="W121" s="97">
        <v>0.26</v>
      </c>
      <c r="X121" s="97">
        <v>0.26</v>
      </c>
      <c r="Y121" s="97">
        <v>0.26</v>
      </c>
      <c r="Z121" s="97">
        <v>0.26</v>
      </c>
      <c r="AA121" s="97">
        <v>0.3</v>
      </c>
      <c r="AB121" s="97"/>
      <c r="AC121" s="2"/>
      <c r="AD121" s="2"/>
      <c r="AE121" s="2"/>
      <c r="AF121" s="2"/>
      <c r="AG121" s="2"/>
      <c r="AH121" s="2"/>
      <c r="AI121" s="2"/>
      <c r="AJ121" s="2"/>
      <c r="AK121" s="2"/>
      <c r="AL121" s="2"/>
      <c r="AM121" s="2"/>
      <c r="AN121" s="2"/>
      <c r="AO121" s="2"/>
      <c r="AP121" s="2"/>
      <c r="AQ121" s="2"/>
      <c r="AR121" s="2"/>
      <c r="AS121" s="2"/>
      <c r="AT121" s="2"/>
      <c r="AU121" s="2"/>
    </row>
    <row r="122" spans="1:47" x14ac:dyDescent="0.2">
      <c r="A122" s="2"/>
      <c r="B122" s="2"/>
      <c r="C122" s="90"/>
      <c r="D122" s="92"/>
      <c r="E122" s="90"/>
      <c r="F122" s="90"/>
      <c r="G122" s="90"/>
      <c r="H122" s="90"/>
      <c r="I122" s="90"/>
      <c r="J122" s="93"/>
      <c r="K122" s="90"/>
      <c r="L122" s="90"/>
      <c r="M122" s="90"/>
      <c r="N122" s="90"/>
      <c r="O122" s="90"/>
      <c r="P122" s="90"/>
      <c r="Q122" s="90"/>
      <c r="R122" s="90"/>
      <c r="S122" s="90"/>
      <c r="T122" s="90"/>
      <c r="U122" s="90"/>
      <c r="V122" s="90"/>
      <c r="W122" s="90"/>
      <c r="X122" s="90"/>
      <c r="Y122" s="90"/>
      <c r="Z122" s="90"/>
      <c r="AA122" s="90"/>
      <c r="AB122" s="90"/>
      <c r="AC122" s="2"/>
      <c r="AD122" s="2"/>
      <c r="AE122" s="2"/>
      <c r="AF122" s="2"/>
      <c r="AG122" s="2"/>
      <c r="AH122" s="2"/>
      <c r="AI122" s="2"/>
      <c r="AJ122" s="2"/>
      <c r="AK122" s="2"/>
      <c r="AL122" s="2"/>
      <c r="AM122" s="2"/>
      <c r="AN122" s="2"/>
      <c r="AO122" s="2"/>
      <c r="AP122" s="2"/>
      <c r="AQ122" s="2"/>
      <c r="AR122" s="2"/>
      <c r="AS122" s="2"/>
      <c r="AT122" s="2"/>
      <c r="AU122" s="2"/>
    </row>
    <row r="123" spans="1:47" x14ac:dyDescent="0.2">
      <c r="A123" s="2"/>
      <c r="B123" s="2"/>
      <c r="C123" s="94" t="s">
        <v>423</v>
      </c>
      <c r="D123" s="94">
        <v>2001</v>
      </c>
      <c r="E123" s="95" t="s">
        <v>417</v>
      </c>
      <c r="F123" s="94" t="s">
        <v>418</v>
      </c>
      <c r="G123" s="98" t="s">
        <v>419</v>
      </c>
      <c r="H123" s="98"/>
      <c r="I123" s="94" t="s">
        <v>420</v>
      </c>
      <c r="J123" s="93">
        <v>2001</v>
      </c>
      <c r="K123" s="97" t="s">
        <v>424</v>
      </c>
      <c r="L123" s="97">
        <v>0.47</v>
      </c>
      <c r="M123" s="100">
        <v>0.47</v>
      </c>
      <c r="N123" s="100">
        <v>0.61</v>
      </c>
      <c r="O123" s="100">
        <v>0.61</v>
      </c>
      <c r="P123" s="101">
        <v>0.61</v>
      </c>
      <c r="Q123" s="101">
        <v>0.61</v>
      </c>
      <c r="R123" s="97">
        <v>0.61</v>
      </c>
      <c r="S123" s="97">
        <v>0.61</v>
      </c>
      <c r="T123" s="97">
        <v>0.61</v>
      </c>
      <c r="U123" s="97">
        <v>0.47</v>
      </c>
      <c r="V123" s="97">
        <v>0.47</v>
      </c>
      <c r="W123" s="97">
        <v>0.47</v>
      </c>
      <c r="X123" s="97">
        <v>0.47</v>
      </c>
      <c r="Y123" s="97">
        <v>0.47</v>
      </c>
      <c r="Z123" s="97">
        <v>0.47</v>
      </c>
      <c r="AA123" s="97">
        <v>0.47</v>
      </c>
      <c r="AB123" s="94"/>
      <c r="AC123" s="2"/>
      <c r="AD123" s="2"/>
      <c r="AE123" s="2"/>
      <c r="AF123" s="2"/>
      <c r="AG123" s="2"/>
      <c r="AH123" s="2"/>
      <c r="AI123" s="2"/>
      <c r="AJ123" s="2"/>
      <c r="AK123" s="2"/>
      <c r="AL123" s="2"/>
      <c r="AM123" s="2"/>
      <c r="AN123" s="2"/>
      <c r="AO123" s="2"/>
      <c r="AP123" s="2"/>
      <c r="AQ123" s="2"/>
      <c r="AR123" s="2"/>
      <c r="AS123" s="2"/>
      <c r="AT123" s="2"/>
      <c r="AU123" s="2"/>
    </row>
    <row r="124" spans="1:47" x14ac:dyDescent="0.2">
      <c r="A124" s="2"/>
      <c r="B124" s="2"/>
      <c r="C124" s="94" t="s">
        <v>423</v>
      </c>
      <c r="D124" s="94">
        <v>2001</v>
      </c>
      <c r="E124" s="95" t="s">
        <v>417</v>
      </c>
      <c r="F124" s="94" t="s">
        <v>421</v>
      </c>
      <c r="G124" s="98" t="s">
        <v>419</v>
      </c>
      <c r="H124" s="98"/>
      <c r="I124" s="94" t="s">
        <v>420</v>
      </c>
      <c r="J124" s="93">
        <v>2001</v>
      </c>
      <c r="K124" s="97" t="s">
        <v>424</v>
      </c>
      <c r="L124" s="97">
        <v>0.43</v>
      </c>
      <c r="M124" s="100">
        <v>0.36</v>
      </c>
      <c r="N124" s="100">
        <v>0.41</v>
      </c>
      <c r="O124" s="100">
        <v>0.41</v>
      </c>
      <c r="P124" s="101">
        <v>0.41</v>
      </c>
      <c r="Q124" s="101">
        <v>0.39</v>
      </c>
      <c r="R124" s="97">
        <v>0.39</v>
      </c>
      <c r="S124" s="97">
        <v>0.39</v>
      </c>
      <c r="T124" s="97">
        <v>0.39</v>
      </c>
      <c r="U124" s="97">
        <v>0.36</v>
      </c>
      <c r="V124" s="97">
        <v>0.36</v>
      </c>
      <c r="W124" s="97">
        <v>0.36</v>
      </c>
      <c r="X124" s="97">
        <v>0.36</v>
      </c>
      <c r="Y124" s="97">
        <v>0.36</v>
      </c>
      <c r="Z124" s="97">
        <v>0.36</v>
      </c>
      <c r="AA124" s="97">
        <v>0.43</v>
      </c>
      <c r="AB124" s="94"/>
      <c r="AC124" s="2"/>
      <c r="AD124" s="2"/>
      <c r="AE124" s="2"/>
      <c r="AF124" s="2"/>
      <c r="AG124" s="2"/>
      <c r="AH124" s="2"/>
      <c r="AI124" s="2"/>
      <c r="AJ124" s="2"/>
      <c r="AK124" s="2"/>
      <c r="AL124" s="2"/>
      <c r="AM124" s="2"/>
      <c r="AN124" s="2"/>
      <c r="AO124" s="2"/>
      <c r="AP124" s="2"/>
      <c r="AQ124" s="2"/>
      <c r="AR124" s="2"/>
      <c r="AS124" s="2"/>
      <c r="AT124" s="2"/>
      <c r="AU124" s="2"/>
    </row>
    <row r="125" spans="1:47" x14ac:dyDescent="0.2">
      <c r="A125" s="2"/>
      <c r="B125" s="2"/>
      <c r="C125" s="94" t="s">
        <v>423</v>
      </c>
      <c r="D125" s="94">
        <v>2001</v>
      </c>
      <c r="E125" s="95" t="s">
        <v>417</v>
      </c>
      <c r="F125" s="94" t="s">
        <v>421</v>
      </c>
      <c r="G125" s="98" t="s">
        <v>422</v>
      </c>
      <c r="H125" s="98"/>
      <c r="I125" s="94" t="s">
        <v>420</v>
      </c>
      <c r="J125" s="93">
        <v>2001</v>
      </c>
      <c r="K125" s="97" t="s">
        <v>424</v>
      </c>
      <c r="L125" s="97">
        <v>0.43</v>
      </c>
      <c r="M125" s="100">
        <v>0.31</v>
      </c>
      <c r="N125" s="100">
        <v>0.41</v>
      </c>
      <c r="O125" s="100">
        <v>0.41</v>
      </c>
      <c r="P125" s="101">
        <v>0.41</v>
      </c>
      <c r="Q125" s="101">
        <v>0.34</v>
      </c>
      <c r="R125" s="97">
        <v>0.34</v>
      </c>
      <c r="S125" s="97">
        <v>0.34</v>
      </c>
      <c r="T125" s="97">
        <v>0.34</v>
      </c>
      <c r="U125" s="97">
        <v>0.31</v>
      </c>
      <c r="V125" s="97">
        <v>0.31</v>
      </c>
      <c r="W125" s="97">
        <v>0.31</v>
      </c>
      <c r="X125" s="97">
        <v>0.31</v>
      </c>
      <c r="Y125" s="97">
        <v>0.31</v>
      </c>
      <c r="Z125" s="97">
        <v>0.31</v>
      </c>
      <c r="AA125" s="97">
        <v>0.43</v>
      </c>
      <c r="AB125" s="94"/>
      <c r="AC125" s="2"/>
      <c r="AD125" s="2"/>
      <c r="AE125" s="2"/>
      <c r="AF125" s="2"/>
      <c r="AG125" s="2"/>
      <c r="AH125" s="2"/>
      <c r="AI125" s="2"/>
      <c r="AJ125" s="2"/>
      <c r="AK125" s="2"/>
      <c r="AL125" s="2"/>
      <c r="AM125" s="2"/>
      <c r="AN125" s="2"/>
      <c r="AO125" s="2"/>
      <c r="AP125" s="2"/>
      <c r="AQ125" s="2"/>
      <c r="AR125" s="2"/>
      <c r="AS125" s="2"/>
      <c r="AT125" s="2"/>
      <c r="AU125" s="2"/>
    </row>
    <row r="126" spans="1:47" x14ac:dyDescent="0.2">
      <c r="A126" s="2"/>
      <c r="B126" s="2"/>
      <c r="C126" s="90"/>
      <c r="D126" s="92"/>
      <c r="E126" s="90"/>
      <c r="F126" s="90"/>
      <c r="G126" s="90"/>
      <c r="H126" s="90"/>
      <c r="I126" s="90"/>
      <c r="J126" s="93"/>
      <c r="K126" s="90"/>
      <c r="L126" s="90"/>
      <c r="M126" s="90"/>
      <c r="N126" s="90"/>
      <c r="O126" s="90"/>
      <c r="P126" s="90"/>
      <c r="Q126" s="90"/>
      <c r="R126" s="90"/>
      <c r="S126" s="90"/>
      <c r="T126" s="90"/>
      <c r="U126" s="90"/>
      <c r="V126" s="90"/>
      <c r="W126" s="90"/>
      <c r="X126" s="90"/>
      <c r="Y126" s="90"/>
      <c r="Z126" s="90"/>
      <c r="AA126" s="90"/>
      <c r="AB126" s="90"/>
      <c r="AC126" s="2"/>
      <c r="AD126" s="2"/>
      <c r="AE126" s="2"/>
      <c r="AF126" s="2"/>
      <c r="AG126" s="2"/>
      <c r="AH126" s="2"/>
      <c r="AI126" s="2"/>
      <c r="AJ126" s="2"/>
      <c r="AK126" s="2"/>
      <c r="AL126" s="2"/>
      <c r="AM126" s="2"/>
      <c r="AN126" s="2"/>
      <c r="AO126" s="2"/>
      <c r="AP126" s="2"/>
      <c r="AQ126" s="2"/>
      <c r="AR126" s="2"/>
      <c r="AS126" s="2"/>
      <c r="AT126" s="2"/>
      <c r="AU126" s="2"/>
    </row>
    <row r="127" spans="1:47" x14ac:dyDescent="0.2">
      <c r="A127" s="2"/>
      <c r="B127" s="2"/>
      <c r="C127" s="90"/>
      <c r="D127" s="92"/>
      <c r="E127" s="90"/>
      <c r="F127" s="90"/>
      <c r="G127" s="90"/>
      <c r="H127" s="90"/>
      <c r="I127" s="90"/>
      <c r="J127" s="93"/>
      <c r="K127" s="90"/>
      <c r="L127" s="90"/>
      <c r="M127" s="90"/>
      <c r="N127" s="90"/>
      <c r="O127" s="90"/>
      <c r="P127" s="90"/>
      <c r="Q127" s="90"/>
      <c r="R127" s="90"/>
      <c r="S127" s="90"/>
      <c r="T127" s="90"/>
      <c r="U127" s="90"/>
      <c r="V127" s="90"/>
      <c r="W127" s="90"/>
      <c r="X127" s="90"/>
      <c r="Y127" s="90"/>
      <c r="Z127" s="90"/>
      <c r="AA127" s="90"/>
      <c r="AB127" s="90"/>
      <c r="AC127" s="2"/>
      <c r="AD127" s="2"/>
      <c r="AE127" s="2"/>
      <c r="AF127" s="2"/>
      <c r="AG127" s="2"/>
      <c r="AH127" s="2"/>
      <c r="AI127" s="2"/>
      <c r="AJ127" s="2"/>
      <c r="AK127" s="2"/>
      <c r="AL127" s="2"/>
      <c r="AM127" s="2"/>
      <c r="AN127" s="2"/>
      <c r="AO127" s="2"/>
      <c r="AP127" s="2"/>
      <c r="AQ127" s="2"/>
      <c r="AR127" s="2"/>
      <c r="AS127" s="2"/>
      <c r="AT127" s="2"/>
      <c r="AU127" s="2"/>
    </row>
    <row r="128" spans="1:47" x14ac:dyDescent="0.2">
      <c r="A128" s="2"/>
      <c r="B128" s="2"/>
      <c r="C128" s="90"/>
      <c r="D128" s="92"/>
      <c r="E128" s="90"/>
      <c r="F128" s="90"/>
      <c r="G128" s="90"/>
      <c r="H128" s="90"/>
      <c r="I128" s="90"/>
      <c r="J128" s="93"/>
      <c r="K128" s="90"/>
      <c r="L128" s="90"/>
      <c r="M128" s="90"/>
      <c r="N128" s="90"/>
      <c r="O128" s="90"/>
      <c r="P128" s="90"/>
      <c r="Q128" s="90"/>
      <c r="R128" s="90"/>
      <c r="S128" s="90"/>
      <c r="T128" s="90"/>
      <c r="U128" s="90"/>
      <c r="V128" s="90"/>
      <c r="W128" s="90"/>
      <c r="X128" s="90"/>
      <c r="Y128" s="90"/>
      <c r="Z128" s="90"/>
      <c r="AA128" s="90"/>
      <c r="AB128" s="90"/>
      <c r="AC128" s="2"/>
      <c r="AD128" s="2"/>
      <c r="AE128" s="2"/>
      <c r="AF128" s="2"/>
      <c r="AG128" s="2"/>
      <c r="AH128" s="2"/>
      <c r="AI128" s="2"/>
      <c r="AJ128" s="2"/>
      <c r="AK128" s="2"/>
      <c r="AL128" s="2"/>
      <c r="AM128" s="2"/>
      <c r="AN128" s="2"/>
      <c r="AO128" s="2"/>
      <c r="AP128" s="2"/>
      <c r="AQ128" s="2"/>
      <c r="AR128" s="2"/>
      <c r="AS128" s="2"/>
      <c r="AT128" s="2"/>
      <c r="AU128" s="2"/>
    </row>
    <row r="129" spans="1:47" x14ac:dyDescent="0.2">
      <c r="A129" s="2"/>
      <c r="B129" s="2"/>
      <c r="C129" s="90" t="s">
        <v>425</v>
      </c>
      <c r="D129" s="92"/>
      <c r="E129" s="90"/>
      <c r="F129" s="90"/>
      <c r="G129" s="90"/>
      <c r="H129" s="90"/>
      <c r="I129" s="90" t="s">
        <v>367</v>
      </c>
      <c r="J129" s="93">
        <v>2001</v>
      </c>
      <c r="K129" s="90" t="s">
        <v>426</v>
      </c>
      <c r="L129" s="90">
        <f>L119*0.45+0.1*L120+0.45*L121</f>
        <v>0.38250000000000001</v>
      </c>
      <c r="M129" s="90">
        <f t="shared" ref="M129:AA129" si="37">M119*0.45+0.1*M120+0.45*M121</f>
        <v>0.32800000000000001</v>
      </c>
      <c r="N129" s="90">
        <f t="shared" si="37"/>
        <v>0.42249999999999999</v>
      </c>
      <c r="O129" s="90">
        <f t="shared" si="37"/>
        <v>0.42249999999999999</v>
      </c>
      <c r="P129" s="90">
        <f t="shared" si="37"/>
        <v>0.42249999999999999</v>
      </c>
      <c r="Q129" s="90">
        <f t="shared" si="37"/>
        <v>0.45</v>
      </c>
      <c r="R129" s="90">
        <f t="shared" si="37"/>
        <v>0.45</v>
      </c>
      <c r="S129" s="90">
        <f t="shared" si="37"/>
        <v>0.45</v>
      </c>
      <c r="T129" s="90">
        <f t="shared" si="37"/>
        <v>0.45</v>
      </c>
      <c r="U129" s="90">
        <f t="shared" si="37"/>
        <v>0.32800000000000001</v>
      </c>
      <c r="V129" s="90">
        <f t="shared" si="37"/>
        <v>0.32800000000000001</v>
      </c>
      <c r="W129" s="90">
        <f t="shared" si="37"/>
        <v>0.32800000000000001</v>
      </c>
      <c r="X129" s="90">
        <f t="shared" si="37"/>
        <v>0.32800000000000001</v>
      </c>
      <c r="Y129" s="90">
        <f t="shared" si="37"/>
        <v>0.33650000000000002</v>
      </c>
      <c r="Z129" s="90">
        <f t="shared" si="37"/>
        <v>0.33650000000000002</v>
      </c>
      <c r="AA129" s="90">
        <f t="shared" si="37"/>
        <v>0.38250000000000001</v>
      </c>
      <c r="AB129" s="90"/>
      <c r="AC129" s="2"/>
      <c r="AD129" s="2"/>
      <c r="AE129" s="2"/>
      <c r="AF129" s="2"/>
      <c r="AG129" s="2"/>
      <c r="AH129" s="2"/>
      <c r="AI129" s="2"/>
      <c r="AJ129" s="2"/>
      <c r="AK129" s="2"/>
      <c r="AL129" s="2"/>
      <c r="AM129" s="2"/>
      <c r="AN129" s="2"/>
      <c r="AO129" s="2"/>
      <c r="AP129" s="2"/>
      <c r="AQ129" s="2"/>
      <c r="AR129" s="2"/>
      <c r="AS129" s="2"/>
      <c r="AT129" s="2"/>
      <c r="AU129" s="2"/>
    </row>
    <row r="130" spans="1:47" x14ac:dyDescent="0.2">
      <c r="A130" s="2"/>
      <c r="B130" s="2"/>
      <c r="C130" s="90" t="s">
        <v>425</v>
      </c>
      <c r="D130" s="92"/>
      <c r="E130" s="90"/>
      <c r="F130" s="90"/>
      <c r="G130" s="90"/>
      <c r="H130" s="90"/>
      <c r="I130" s="90" t="s">
        <v>367</v>
      </c>
      <c r="J130" s="93">
        <v>2001</v>
      </c>
      <c r="K130" s="90" t="s">
        <v>426</v>
      </c>
      <c r="L130" s="90">
        <f>L123*0.45+0.1*L124+0.45*L125</f>
        <v>0.44800000000000001</v>
      </c>
      <c r="M130" s="90">
        <f t="shared" ref="M130:AA130" si="38">M123*0.45+0.1*M124+0.45*M125</f>
        <v>0.38700000000000001</v>
      </c>
      <c r="N130" s="90">
        <f t="shared" si="38"/>
        <v>0.5</v>
      </c>
      <c r="O130" s="90">
        <f t="shared" si="38"/>
        <v>0.5</v>
      </c>
      <c r="P130" s="90">
        <f t="shared" si="38"/>
        <v>0.5</v>
      </c>
      <c r="Q130" s="90">
        <f t="shared" si="38"/>
        <v>0.46650000000000003</v>
      </c>
      <c r="R130" s="90">
        <f t="shared" si="38"/>
        <v>0.46650000000000003</v>
      </c>
      <c r="S130" s="90">
        <f t="shared" si="38"/>
        <v>0.46650000000000003</v>
      </c>
      <c r="T130" s="90">
        <f t="shared" si="38"/>
        <v>0.46650000000000003</v>
      </c>
      <c r="U130" s="90">
        <f t="shared" si="38"/>
        <v>0.38700000000000001</v>
      </c>
      <c r="V130" s="90">
        <f t="shared" si="38"/>
        <v>0.38700000000000001</v>
      </c>
      <c r="W130" s="90">
        <f t="shared" si="38"/>
        <v>0.38700000000000001</v>
      </c>
      <c r="X130" s="90">
        <f t="shared" si="38"/>
        <v>0.38700000000000001</v>
      </c>
      <c r="Y130" s="90">
        <f t="shared" si="38"/>
        <v>0.38700000000000001</v>
      </c>
      <c r="Z130" s="90">
        <f t="shared" si="38"/>
        <v>0.38700000000000001</v>
      </c>
      <c r="AA130" s="90">
        <f t="shared" si="38"/>
        <v>0.44800000000000001</v>
      </c>
      <c r="AB130" s="90"/>
      <c r="AC130" s="2"/>
      <c r="AD130" s="2"/>
      <c r="AE130" s="2"/>
      <c r="AF130" s="2"/>
      <c r="AG130" s="2"/>
      <c r="AH130" s="2"/>
      <c r="AI130" s="2"/>
      <c r="AJ130" s="2"/>
      <c r="AK130" s="2"/>
      <c r="AL130" s="2"/>
      <c r="AM130" s="2"/>
      <c r="AN130" s="2"/>
      <c r="AO130" s="2"/>
      <c r="AP130" s="2"/>
      <c r="AQ130" s="2"/>
      <c r="AR130" s="2"/>
      <c r="AS130" s="2"/>
      <c r="AT130" s="2"/>
      <c r="AU130" s="2"/>
    </row>
    <row r="131" spans="1:47" x14ac:dyDescent="0.2">
      <c r="A131" s="2"/>
      <c r="B131" s="207"/>
      <c r="C131" s="2"/>
      <c r="D131" s="2"/>
      <c r="E131" s="2"/>
      <c r="F131" s="2"/>
      <c r="G131" s="208"/>
      <c r="H131" s="208"/>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row>
  </sheetData>
  <mergeCells count="61">
    <mergeCell ref="E43:E48"/>
    <mergeCell ref="G47:G48"/>
    <mergeCell ref="E41:I41"/>
    <mergeCell ref="H43:H46"/>
    <mergeCell ref="C76:C85"/>
    <mergeCell ref="F76:G80"/>
    <mergeCell ref="F81:G85"/>
    <mergeCell ref="C86:C95"/>
    <mergeCell ref="C96:C105"/>
    <mergeCell ref="C106:C115"/>
    <mergeCell ref="D76:D115"/>
    <mergeCell ref="E60:E69"/>
    <mergeCell ref="F111:G115"/>
    <mergeCell ref="E96:E115"/>
    <mergeCell ref="E76:E95"/>
    <mergeCell ref="F86:G90"/>
    <mergeCell ref="F91:G95"/>
    <mergeCell ref="F96:G100"/>
    <mergeCell ref="F101:G105"/>
    <mergeCell ref="F106:G110"/>
    <mergeCell ref="I28:I29"/>
    <mergeCell ref="I33:I34"/>
    <mergeCell ref="I43:I46"/>
    <mergeCell ref="G43:G46"/>
    <mergeCell ref="I23:I24"/>
    <mergeCell ref="E8:E12"/>
    <mergeCell ref="A18:A27"/>
    <mergeCell ref="C18:C27"/>
    <mergeCell ref="E18:E22"/>
    <mergeCell ref="D20:D22"/>
    <mergeCell ref="D23:D24"/>
    <mergeCell ref="E23:E27"/>
    <mergeCell ref="D25:D27"/>
    <mergeCell ref="B8:B12"/>
    <mergeCell ref="B13:B17"/>
    <mergeCell ref="B18:B27"/>
    <mergeCell ref="A1:Y1"/>
    <mergeCell ref="D13:D17"/>
    <mergeCell ref="D18:D19"/>
    <mergeCell ref="C13:C17"/>
    <mergeCell ref="I18:I19"/>
    <mergeCell ref="E3:E7"/>
    <mergeCell ref="A3:A7"/>
    <mergeCell ref="D3:D7"/>
    <mergeCell ref="C3:C7"/>
    <mergeCell ref="I13:I14"/>
    <mergeCell ref="C8:C12"/>
    <mergeCell ref="D8:D12"/>
    <mergeCell ref="A8:A12"/>
    <mergeCell ref="A13:A17"/>
    <mergeCell ref="E13:E17"/>
    <mergeCell ref="B3:B7"/>
    <mergeCell ref="A28:A37"/>
    <mergeCell ref="D33:D34"/>
    <mergeCell ref="E33:E37"/>
    <mergeCell ref="D35:D37"/>
    <mergeCell ref="D28:D29"/>
    <mergeCell ref="E28:E32"/>
    <mergeCell ref="D30:D32"/>
    <mergeCell ref="C28:C37"/>
    <mergeCell ref="B28:B37"/>
  </mergeCells>
  <phoneticPr fontId="4" type="noConversion"/>
  <hyperlinks>
    <hyperlink ref="G47" r:id="rId1" display="2025 Nonresidential and Multifamily ACM" xr:uid="{51419D53-9ABD-4A24-86F2-94E62EE6722A}"/>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57"/>
  <sheetViews>
    <sheetView zoomScaleNormal="100" workbookViewId="0">
      <selection sqref="A1:F1"/>
    </sheetView>
  </sheetViews>
  <sheetFormatPr defaultColWidth="8.7109375" defaultRowHeight="12.75" x14ac:dyDescent="0.2"/>
  <cols>
    <col min="1" max="1" width="31.85546875" style="4" customWidth="1"/>
    <col min="2" max="2" width="38.28515625" style="4" customWidth="1"/>
    <col min="3" max="3" width="29.140625" style="4" customWidth="1"/>
    <col min="4" max="4" width="35.28515625" style="4" customWidth="1"/>
    <col min="5" max="5" width="30.7109375" style="4" bestFit="1" customWidth="1"/>
    <col min="6" max="6" width="32.85546875" style="4" bestFit="1" customWidth="1"/>
    <col min="7" max="7" width="20.5703125" style="4" customWidth="1"/>
    <col min="8" max="8" width="12.7109375" style="4" customWidth="1"/>
    <col min="9" max="9" width="22.5703125" style="4" customWidth="1"/>
    <col min="10" max="11" width="12.7109375" style="4" customWidth="1"/>
    <col min="12" max="19" width="15.28515625" style="4" customWidth="1"/>
    <col min="20" max="20" width="14.7109375" style="4" customWidth="1"/>
    <col min="21" max="21" width="13.5703125" style="4" customWidth="1"/>
    <col min="22" max="22" width="15.7109375" style="4" customWidth="1"/>
    <col min="23" max="29" width="11" style="4" customWidth="1"/>
    <col min="30" max="38" width="6.5703125" style="4" customWidth="1"/>
    <col min="39" max="39" width="8.7109375" style="4" customWidth="1"/>
    <col min="40" max="16384" width="8.7109375" style="4"/>
  </cols>
  <sheetData>
    <row r="1" spans="1:10" ht="27" customHeight="1" x14ac:dyDescent="0.2">
      <c r="A1" s="427" t="str">
        <f>"HVAC system - "&amp;Prototype!A2</f>
        <v>HVAC system - ApartmentHighRise</v>
      </c>
      <c r="B1" s="427"/>
      <c r="C1" s="427"/>
      <c r="D1" s="427"/>
      <c r="E1" s="427"/>
      <c r="F1" s="427"/>
    </row>
    <row r="2" spans="1:10" ht="19.149999999999999" customHeight="1" thickBot="1" x14ac:dyDescent="0.25">
      <c r="A2" s="471" t="s">
        <v>315</v>
      </c>
      <c r="B2" s="472"/>
      <c r="C2" s="191" t="s">
        <v>427</v>
      </c>
      <c r="D2" s="191" t="s">
        <v>428</v>
      </c>
      <c r="E2" s="191" t="s">
        <v>429</v>
      </c>
      <c r="F2" s="191" t="s">
        <v>380</v>
      </c>
    </row>
    <row r="3" spans="1:10" ht="27.6" customHeight="1" x14ac:dyDescent="0.2">
      <c r="A3" s="463" t="s">
        <v>430</v>
      </c>
      <c r="B3" s="396" t="s">
        <v>730</v>
      </c>
      <c r="C3" s="475" t="s">
        <v>431</v>
      </c>
      <c r="D3" s="473" t="s">
        <v>432</v>
      </c>
      <c r="E3" s="397" t="s">
        <v>433</v>
      </c>
      <c r="F3" s="480" t="s">
        <v>732</v>
      </c>
      <c r="G3" s="360"/>
      <c r="H3" s="360"/>
      <c r="I3" s="360"/>
      <c r="J3" s="360"/>
    </row>
    <row r="4" spans="1:10" ht="27.6" customHeight="1" x14ac:dyDescent="0.2">
      <c r="A4" s="464"/>
      <c r="B4" s="369" t="s">
        <v>728</v>
      </c>
      <c r="C4" s="476"/>
      <c r="D4" s="474"/>
      <c r="E4" s="367" t="s">
        <v>435</v>
      </c>
      <c r="F4" s="481"/>
      <c r="G4" s="360"/>
      <c r="H4" s="360"/>
      <c r="I4" s="360"/>
      <c r="J4" s="360"/>
    </row>
    <row r="5" spans="1:10" ht="27.6" customHeight="1" thickBot="1" x14ac:dyDescent="0.25">
      <c r="A5" s="465"/>
      <c r="B5" s="362" t="s">
        <v>434</v>
      </c>
      <c r="C5" s="395" t="s">
        <v>729</v>
      </c>
      <c r="D5" s="474"/>
      <c r="E5" s="371" t="s">
        <v>435</v>
      </c>
      <c r="F5" s="482"/>
      <c r="G5" s="360"/>
      <c r="H5" s="360"/>
      <c r="I5" s="360"/>
      <c r="J5" s="360"/>
    </row>
    <row r="6" spans="1:10" ht="25.9" customHeight="1" x14ac:dyDescent="0.2">
      <c r="A6" s="463" t="s">
        <v>436</v>
      </c>
      <c r="B6" s="396" t="s">
        <v>730</v>
      </c>
      <c r="C6" s="396" t="s">
        <v>731</v>
      </c>
      <c r="D6" s="396" t="s">
        <v>731</v>
      </c>
      <c r="E6" s="397" t="s">
        <v>437</v>
      </c>
      <c r="F6" s="468" t="s">
        <v>438</v>
      </c>
      <c r="G6" s="483"/>
      <c r="H6" s="483"/>
      <c r="I6" s="483"/>
      <c r="J6" s="483"/>
    </row>
    <row r="7" spans="1:10" ht="25.9" customHeight="1" x14ac:dyDescent="0.2">
      <c r="A7" s="466"/>
      <c r="B7" s="393" t="s">
        <v>728</v>
      </c>
      <c r="C7" s="477" t="s">
        <v>729</v>
      </c>
      <c r="D7" s="407" t="s">
        <v>432</v>
      </c>
      <c r="E7" s="394" t="s">
        <v>435</v>
      </c>
      <c r="F7" s="469"/>
      <c r="G7" s="366"/>
      <c r="H7" s="366"/>
      <c r="I7" s="366"/>
      <c r="J7" s="366"/>
    </row>
    <row r="8" spans="1:10" ht="27" customHeight="1" thickBot="1" x14ac:dyDescent="0.25">
      <c r="A8" s="467"/>
      <c r="B8" s="398" t="s">
        <v>434</v>
      </c>
      <c r="C8" s="478"/>
      <c r="D8" s="479"/>
      <c r="E8" s="399" t="s">
        <v>435</v>
      </c>
      <c r="F8" s="470"/>
      <c r="G8" s="366"/>
      <c r="H8" s="366"/>
      <c r="I8" s="366"/>
      <c r="J8" s="366"/>
    </row>
    <row r="9" spans="1:10" ht="15.6" customHeight="1" x14ac:dyDescent="0.2">
      <c r="A9" s="6" t="s">
        <v>439</v>
      </c>
      <c r="B9" s="6"/>
      <c r="C9" s="6"/>
      <c r="D9" s="6"/>
      <c r="E9" s="6"/>
    </row>
    <row r="10" spans="1:10" ht="15.6" customHeight="1" x14ac:dyDescent="0.2">
      <c r="A10" s="6"/>
      <c r="B10" s="6"/>
      <c r="C10" s="6"/>
      <c r="D10" s="6"/>
      <c r="E10" s="6"/>
    </row>
    <row r="11" spans="1:10" x14ac:dyDescent="0.2">
      <c r="A11" s="6"/>
      <c r="B11" s="6"/>
      <c r="C11" s="6"/>
      <c r="D11" s="6"/>
      <c r="E11" s="6"/>
    </row>
    <row r="12" spans="1:10" ht="25.9" customHeight="1" x14ac:dyDescent="0.2">
      <c r="A12" s="427" t="s">
        <v>440</v>
      </c>
      <c r="B12" s="427"/>
      <c r="C12" s="427"/>
      <c r="D12" s="427"/>
      <c r="E12" s="462"/>
    </row>
    <row r="13" spans="1:10" ht="17.649999999999999" customHeight="1" x14ac:dyDescent="0.2">
      <c r="A13" s="190" t="s">
        <v>315</v>
      </c>
      <c r="B13" s="190" t="s">
        <v>441</v>
      </c>
      <c r="C13" s="50" t="s">
        <v>427</v>
      </c>
      <c r="D13" s="50" t="s">
        <v>428</v>
      </c>
      <c r="E13" s="191" t="s">
        <v>380</v>
      </c>
    </row>
    <row r="14" spans="1:10" ht="17.649999999999999" customHeight="1" x14ac:dyDescent="0.2">
      <c r="A14" s="367" t="s">
        <v>338</v>
      </c>
      <c r="B14" s="461">
        <v>2008</v>
      </c>
      <c r="C14" s="461" t="s">
        <v>442</v>
      </c>
      <c r="D14" s="460" t="s">
        <v>443</v>
      </c>
      <c r="E14" s="460" t="s">
        <v>444</v>
      </c>
    </row>
    <row r="15" spans="1:10" ht="17.649999999999999" customHeight="1" x14ac:dyDescent="0.2">
      <c r="A15" s="367" t="s">
        <v>340</v>
      </c>
      <c r="B15" s="461"/>
      <c r="C15" s="461"/>
      <c r="D15" s="461"/>
      <c r="E15" s="461"/>
    </row>
    <row r="16" spans="1:10" ht="17.649999999999999" customHeight="1" x14ac:dyDescent="0.2">
      <c r="A16" s="367" t="s">
        <v>341</v>
      </c>
      <c r="B16" s="461"/>
      <c r="C16" s="461"/>
      <c r="D16" s="461"/>
      <c r="E16" s="461"/>
    </row>
    <row r="17" spans="1:9" ht="17.45" customHeight="1" x14ac:dyDescent="0.2">
      <c r="A17" s="367" t="s">
        <v>343</v>
      </c>
      <c r="B17" s="368">
        <v>2013</v>
      </c>
      <c r="C17" s="367" t="s">
        <v>442</v>
      </c>
      <c r="D17" s="367" t="s">
        <v>445</v>
      </c>
      <c r="E17" s="14" t="s">
        <v>446</v>
      </c>
    </row>
    <row r="18" spans="1:9" ht="53.45" customHeight="1" x14ac:dyDescent="0.2">
      <c r="A18" s="461" t="s">
        <v>436</v>
      </c>
      <c r="B18" s="484">
        <v>2025</v>
      </c>
      <c r="C18" s="369" t="s">
        <v>447</v>
      </c>
      <c r="D18" s="367" t="s">
        <v>448</v>
      </c>
      <c r="E18" s="369" t="s">
        <v>449</v>
      </c>
    </row>
    <row r="19" spans="1:9" ht="31.5" customHeight="1" x14ac:dyDescent="0.2">
      <c r="A19" s="461"/>
      <c r="B19" s="484"/>
      <c r="C19" s="369" t="s">
        <v>450</v>
      </c>
      <c r="D19" s="369" t="s">
        <v>451</v>
      </c>
      <c r="E19" s="367" t="s">
        <v>452</v>
      </c>
      <c r="F19" s="8"/>
    </row>
    <row r="20" spans="1:9" ht="18" customHeight="1" x14ac:dyDescent="0.2">
      <c r="A20" s="6"/>
      <c r="B20" s="132"/>
      <c r="C20" s="6"/>
      <c r="D20" s="6"/>
      <c r="E20" s="6"/>
      <c r="F20" s="8"/>
    </row>
    <row r="21" spans="1:9" ht="13.9" customHeight="1" x14ac:dyDescent="0.2">
      <c r="A21" s="9"/>
      <c r="D21" s="35"/>
    </row>
    <row r="22" spans="1:9" ht="13.9" customHeight="1" x14ac:dyDescent="0.2">
      <c r="A22" s="488" t="s">
        <v>453</v>
      </c>
      <c r="B22" s="488"/>
      <c r="C22" s="488"/>
      <c r="D22" s="488"/>
      <c r="E22" s="488"/>
      <c r="F22" s="488"/>
      <c r="G22" s="488"/>
      <c r="H22" s="488"/>
      <c r="I22" s="488"/>
    </row>
    <row r="23" spans="1:9" ht="43.5" customHeight="1" x14ac:dyDescent="0.2">
      <c r="A23" s="118" t="s">
        <v>315</v>
      </c>
      <c r="B23" s="118" t="s">
        <v>454</v>
      </c>
      <c r="C23" s="118" t="s">
        <v>455</v>
      </c>
      <c r="D23" s="119" t="s">
        <v>456</v>
      </c>
      <c r="E23" s="119" t="s">
        <v>457</v>
      </c>
      <c r="F23" s="119" t="s">
        <v>458</v>
      </c>
      <c r="G23" s="119" t="s">
        <v>459</v>
      </c>
      <c r="H23" s="120" t="s">
        <v>460</v>
      </c>
      <c r="I23" s="121" t="s">
        <v>317</v>
      </c>
    </row>
    <row r="24" spans="1:9" ht="32.25" customHeight="1" x14ac:dyDescent="0.2">
      <c r="A24" s="422" t="s">
        <v>461</v>
      </c>
      <c r="B24" s="422" t="s">
        <v>462</v>
      </c>
      <c r="C24" s="364" t="s">
        <v>463</v>
      </c>
      <c r="D24" s="364">
        <v>5.58</v>
      </c>
      <c r="E24" s="364">
        <v>0.65</v>
      </c>
      <c r="F24" s="421" t="s">
        <v>464</v>
      </c>
      <c r="G24" s="489"/>
      <c r="H24" s="485" t="s">
        <v>465</v>
      </c>
      <c r="I24" s="491"/>
    </row>
    <row r="25" spans="1:9" ht="21.6" customHeight="1" x14ac:dyDescent="0.2">
      <c r="A25" s="424"/>
      <c r="B25" s="424"/>
      <c r="C25" s="370" t="s">
        <v>466</v>
      </c>
      <c r="D25" s="370">
        <v>1.33</v>
      </c>
      <c r="E25" s="370">
        <v>0.65</v>
      </c>
      <c r="F25" s="485"/>
      <c r="G25" s="490"/>
      <c r="H25" s="487"/>
      <c r="I25" s="492"/>
    </row>
    <row r="26" spans="1:9" ht="16.149999999999999" customHeight="1" x14ac:dyDescent="0.2">
      <c r="A26" s="122" t="s">
        <v>467</v>
      </c>
      <c r="B26" s="123"/>
      <c r="C26" s="124"/>
      <c r="D26" s="124"/>
      <c r="E26" s="125"/>
      <c r="F26" s="126"/>
      <c r="G26" s="126"/>
      <c r="H26" s="126"/>
      <c r="I26" s="127"/>
    </row>
    <row r="27" spans="1:9" ht="13.9" customHeight="1" x14ac:dyDescent="0.2">
      <c r="A27" s="128" t="s">
        <v>468</v>
      </c>
      <c r="B27" s="129"/>
      <c r="C27" s="129"/>
      <c r="D27" s="130"/>
      <c r="E27" s="129"/>
      <c r="F27" s="129"/>
      <c r="G27" s="129"/>
      <c r="H27" s="129"/>
      <c r="I27" s="131"/>
    </row>
    <row r="28" spans="1:9" ht="19.899999999999999" customHeight="1" x14ac:dyDescent="0.2">
      <c r="A28" s="422" t="s">
        <v>436</v>
      </c>
      <c r="B28" s="422" t="s">
        <v>469</v>
      </c>
      <c r="C28" s="370" t="s">
        <v>463</v>
      </c>
      <c r="D28" s="241">
        <f>G28*F28*E28/746*6356</f>
        <v>5.0490581501340479</v>
      </c>
      <c r="E28" s="458">
        <v>0.65</v>
      </c>
      <c r="F28" s="459">
        <v>0.9</v>
      </c>
      <c r="G28" s="247">
        <v>1.0129999999999999</v>
      </c>
      <c r="H28" s="421" t="s">
        <v>470</v>
      </c>
      <c r="I28" s="485" t="s">
        <v>471</v>
      </c>
    </row>
    <row r="29" spans="1:9" ht="19.899999999999999" customHeight="1" x14ac:dyDescent="0.2">
      <c r="A29" s="422"/>
      <c r="B29" s="493"/>
      <c r="C29" s="246" t="s">
        <v>472</v>
      </c>
      <c r="D29" s="241">
        <f>G29*F28*E28/746*6356</f>
        <v>3.8877249329758712</v>
      </c>
      <c r="E29" s="458"/>
      <c r="F29" s="459"/>
      <c r="G29" s="247">
        <v>0.78</v>
      </c>
      <c r="H29" s="421"/>
      <c r="I29" s="486"/>
    </row>
    <row r="30" spans="1:9" ht="19.899999999999999" customHeight="1" x14ac:dyDescent="0.2">
      <c r="A30" s="422"/>
      <c r="B30" s="493"/>
      <c r="C30" s="246" t="s">
        <v>473</v>
      </c>
      <c r="D30" s="241">
        <f>G30*F28*E28/746*6356</f>
        <v>3.5886691689008043</v>
      </c>
      <c r="E30" s="458"/>
      <c r="F30" s="459"/>
      <c r="G30" s="247">
        <v>0.72</v>
      </c>
      <c r="H30" s="421"/>
      <c r="I30" s="487"/>
    </row>
    <row r="31" spans="1:9" ht="18" customHeight="1" x14ac:dyDescent="0.2">
      <c r="A31" s="9"/>
      <c r="D31" s="35"/>
      <c r="F31" s="6"/>
    </row>
    <row r="32" spans="1:9" x14ac:dyDescent="0.2">
      <c r="D32" s="35"/>
    </row>
    <row r="33" spans="1:38" s="25" customFormat="1" hidden="1" x14ac:dyDescent="0.2">
      <c r="A33" s="25" t="s">
        <v>175</v>
      </c>
    </row>
    <row r="34" spans="1:38" x14ac:dyDescent="0.2">
      <c r="U34" s="32"/>
      <c r="V34" s="32"/>
      <c r="W34" s="58"/>
      <c r="X34" s="58"/>
      <c r="Y34" s="58"/>
      <c r="Z34" s="58"/>
      <c r="AA34" s="58"/>
      <c r="AB34" s="58"/>
      <c r="AC34" s="58"/>
      <c r="AD34" s="58"/>
      <c r="AE34" s="58"/>
      <c r="AF34" s="58"/>
      <c r="AG34" s="58"/>
      <c r="AH34" s="58"/>
      <c r="AI34" s="58"/>
      <c r="AJ34" s="58"/>
      <c r="AK34" s="58"/>
      <c r="AL34" s="58"/>
    </row>
    <row r="35" spans="1:38" x14ac:dyDescent="0.2">
      <c r="V35" s="37"/>
    </row>
    <row r="36" spans="1:38" x14ac:dyDescent="0.2">
      <c r="U36" s="34"/>
      <c r="V36" s="37"/>
    </row>
    <row r="37" spans="1:38" x14ac:dyDescent="0.2">
      <c r="U37" s="34"/>
      <c r="V37" s="37"/>
    </row>
    <row r="38" spans="1:38" x14ac:dyDescent="0.2">
      <c r="U38" s="34"/>
      <c r="V38" s="37"/>
    </row>
    <row r="39" spans="1:38" x14ac:dyDescent="0.2">
      <c r="U39" s="34"/>
      <c r="V39" s="37"/>
    </row>
    <row r="40" spans="1:38" x14ac:dyDescent="0.2">
      <c r="U40" s="34"/>
      <c r="V40" s="37"/>
    </row>
    <row r="41" spans="1:38" x14ac:dyDescent="0.2">
      <c r="U41" s="34"/>
      <c r="V41" s="37"/>
    </row>
    <row r="42" spans="1:38" x14ac:dyDescent="0.2">
      <c r="U42" s="34"/>
      <c r="V42" s="37"/>
    </row>
    <row r="43" spans="1:38" x14ac:dyDescent="0.2">
      <c r="U43" s="34"/>
      <c r="V43" s="37"/>
    </row>
    <row r="44" spans="1:38" x14ac:dyDescent="0.2">
      <c r="U44" s="34"/>
      <c r="V44" s="37"/>
    </row>
    <row r="45" spans="1:38" x14ac:dyDescent="0.2">
      <c r="U45" s="34"/>
      <c r="V45" s="37"/>
    </row>
    <row r="46" spans="1:38" x14ac:dyDescent="0.2">
      <c r="U46" s="34"/>
      <c r="V46" s="37"/>
    </row>
    <row r="47" spans="1:38" x14ac:dyDescent="0.2">
      <c r="U47" s="34"/>
      <c r="V47" s="37"/>
    </row>
    <row r="48" spans="1:38" x14ac:dyDescent="0.2">
      <c r="U48" s="34"/>
      <c r="V48" s="37"/>
    </row>
    <row r="49" spans="21:38" x14ac:dyDescent="0.2">
      <c r="U49" s="34"/>
      <c r="V49" s="37"/>
    </row>
    <row r="50" spans="21:38" x14ac:dyDescent="0.2">
      <c r="U50" s="34"/>
      <c r="V50" s="37"/>
    </row>
    <row r="51" spans="21:38" x14ac:dyDescent="0.2">
      <c r="U51" s="34"/>
      <c r="V51" s="37"/>
    </row>
    <row r="52" spans="21:38" x14ac:dyDescent="0.2">
      <c r="U52" s="34"/>
      <c r="V52" s="37"/>
    </row>
    <row r="53" spans="21:38" x14ac:dyDescent="0.2">
      <c r="U53" s="34"/>
      <c r="V53" s="37"/>
    </row>
    <row r="54" spans="21:38" x14ac:dyDescent="0.2">
      <c r="U54" s="34"/>
      <c r="V54" s="37"/>
    </row>
    <row r="55" spans="21:38" x14ac:dyDescent="0.2">
      <c r="U55" s="34"/>
      <c r="V55" s="37"/>
    </row>
    <row r="56" spans="21:38" x14ac:dyDescent="0.2">
      <c r="U56" s="34"/>
      <c r="W56" s="33"/>
      <c r="X56" s="33"/>
      <c r="Y56" s="33"/>
      <c r="Z56" s="33"/>
      <c r="AA56" s="33"/>
      <c r="AB56" s="33"/>
      <c r="AC56" s="33"/>
      <c r="AD56" s="33"/>
      <c r="AE56" s="33"/>
      <c r="AF56" s="33"/>
      <c r="AG56" s="33"/>
      <c r="AH56" s="33"/>
      <c r="AI56" s="33"/>
      <c r="AJ56" s="33"/>
      <c r="AK56" s="33"/>
      <c r="AL56" s="33"/>
    </row>
    <row r="57" spans="21:38" x14ac:dyDescent="0.2">
      <c r="U57" s="36"/>
      <c r="W57" s="34"/>
      <c r="X57" s="34"/>
      <c r="Y57" s="34"/>
      <c r="Z57" s="34"/>
      <c r="AA57" s="34"/>
      <c r="AB57" s="34"/>
      <c r="AC57" s="34"/>
      <c r="AD57" s="34"/>
      <c r="AE57" s="34"/>
      <c r="AF57" s="34"/>
      <c r="AG57" s="34"/>
      <c r="AH57" s="34"/>
      <c r="AI57" s="34"/>
      <c r="AJ57" s="34"/>
      <c r="AK57" s="34"/>
      <c r="AL57" s="34"/>
    </row>
  </sheetData>
  <mergeCells count="31">
    <mergeCell ref="G6:J6"/>
    <mergeCell ref="A18:A19"/>
    <mergeCell ref="B18:B19"/>
    <mergeCell ref="E14:E16"/>
    <mergeCell ref="H28:H30"/>
    <mergeCell ref="I28:I30"/>
    <mergeCell ref="B14:B16"/>
    <mergeCell ref="A22:I22"/>
    <mergeCell ref="A24:A25"/>
    <mergeCell ref="B24:B25"/>
    <mergeCell ref="F24:F25"/>
    <mergeCell ref="G24:G25"/>
    <mergeCell ref="H24:H25"/>
    <mergeCell ref="I24:I25"/>
    <mergeCell ref="A28:A30"/>
    <mergeCell ref="B28:B30"/>
    <mergeCell ref="E28:E30"/>
    <mergeCell ref="F28:F30"/>
    <mergeCell ref="A1:F1"/>
    <mergeCell ref="D14:D16"/>
    <mergeCell ref="C14:C16"/>
    <mergeCell ref="A12:E12"/>
    <mergeCell ref="A3:A5"/>
    <mergeCell ref="A6:A8"/>
    <mergeCell ref="F6:F8"/>
    <mergeCell ref="A2:B2"/>
    <mergeCell ref="D3:D5"/>
    <mergeCell ref="C3:C4"/>
    <mergeCell ref="C7:C8"/>
    <mergeCell ref="D7:D8"/>
    <mergeCell ref="F3:F5"/>
  </mergeCells>
  <phoneticPr fontId="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4BFCF-120D-4953-810D-B21C781866E7}">
  <sheetPr codeName="Sheet9"/>
  <dimension ref="A1:R13"/>
  <sheetViews>
    <sheetView workbookViewId="0">
      <selection sqref="A1:R1"/>
    </sheetView>
  </sheetViews>
  <sheetFormatPr defaultRowHeight="15" x14ac:dyDescent="0.25"/>
  <cols>
    <col min="1" max="1" width="24.28515625" bestFit="1" customWidth="1"/>
    <col min="18" max="18" width="23.5703125" customWidth="1"/>
  </cols>
  <sheetData>
    <row r="1" spans="1:18" ht="24" customHeight="1" x14ac:dyDescent="0.25">
      <c r="A1" s="495" t="str">
        <f>"Thermostat Setpoints - "&amp;Prototype!A2  &amp; ":ResidentialLiving &amp; ResidentialCommon"</f>
        <v>Thermostat Setpoints - ApartmentHighRise:ResidentialLiving &amp; ResidentialCommon</v>
      </c>
      <c r="B1" s="495"/>
      <c r="C1" s="495"/>
      <c r="D1" s="495"/>
      <c r="E1" s="495"/>
      <c r="F1" s="495"/>
      <c r="G1" s="495"/>
      <c r="H1" s="495"/>
      <c r="I1" s="495"/>
      <c r="J1" s="495"/>
      <c r="K1" s="495"/>
      <c r="L1" s="495"/>
      <c r="M1" s="495"/>
      <c r="N1" s="495"/>
      <c r="O1" s="495"/>
      <c r="P1" s="495"/>
      <c r="Q1" s="495"/>
      <c r="R1" s="495"/>
    </row>
    <row r="2" spans="1:18" ht="21.6" customHeight="1" x14ac:dyDescent="0.25">
      <c r="A2" s="375" t="s">
        <v>474</v>
      </c>
      <c r="B2" s="373" t="s">
        <v>318</v>
      </c>
      <c r="C2" s="373" t="s">
        <v>319</v>
      </c>
      <c r="D2" s="373" t="s">
        <v>320</v>
      </c>
      <c r="E2" s="373" t="s">
        <v>321</v>
      </c>
      <c r="F2" s="373" t="s">
        <v>322</v>
      </c>
      <c r="G2" s="373" t="s">
        <v>323</v>
      </c>
      <c r="H2" s="373" t="s">
        <v>324</v>
      </c>
      <c r="I2" s="373" t="s">
        <v>325</v>
      </c>
      <c r="J2" s="373" t="s">
        <v>326</v>
      </c>
      <c r="K2" s="373" t="s">
        <v>327</v>
      </c>
      <c r="L2" s="373" t="s">
        <v>328</v>
      </c>
      <c r="M2" s="373" t="s">
        <v>329</v>
      </c>
      <c r="N2" s="373" t="s">
        <v>330</v>
      </c>
      <c r="O2" s="373" t="s">
        <v>331</v>
      </c>
      <c r="P2" s="373" t="s">
        <v>332</v>
      </c>
      <c r="Q2" s="373" t="s">
        <v>333</v>
      </c>
      <c r="R2" s="345" t="s">
        <v>380</v>
      </c>
    </row>
    <row r="3" spans="1:18" ht="26.45" customHeight="1" x14ac:dyDescent="0.25">
      <c r="A3" s="221" t="s">
        <v>475</v>
      </c>
      <c r="B3" s="367">
        <v>68</v>
      </c>
      <c r="C3" s="367">
        <v>68</v>
      </c>
      <c r="D3" s="367">
        <v>68</v>
      </c>
      <c r="E3" s="367">
        <v>68</v>
      </c>
      <c r="F3" s="367">
        <v>68</v>
      </c>
      <c r="G3" s="367">
        <v>68</v>
      </c>
      <c r="H3" s="367">
        <v>68</v>
      </c>
      <c r="I3" s="367">
        <v>68</v>
      </c>
      <c r="J3" s="367">
        <v>68</v>
      </c>
      <c r="K3" s="367">
        <v>68</v>
      </c>
      <c r="L3" s="367">
        <v>68</v>
      </c>
      <c r="M3" s="367">
        <v>68</v>
      </c>
      <c r="N3" s="367">
        <v>68</v>
      </c>
      <c r="O3" s="367">
        <v>68</v>
      </c>
      <c r="P3" s="367">
        <v>68</v>
      </c>
      <c r="Q3" s="367">
        <v>68</v>
      </c>
      <c r="R3" s="494" t="s">
        <v>476</v>
      </c>
    </row>
    <row r="4" spans="1:18" ht="26.45" customHeight="1" x14ac:dyDescent="0.25">
      <c r="A4" s="221" t="s">
        <v>477</v>
      </c>
      <c r="B4" s="367">
        <v>60</v>
      </c>
      <c r="C4" s="367">
        <v>60</v>
      </c>
      <c r="D4" s="367">
        <v>60</v>
      </c>
      <c r="E4" s="367">
        <v>60</v>
      </c>
      <c r="F4" s="367">
        <v>60</v>
      </c>
      <c r="G4" s="367">
        <v>60</v>
      </c>
      <c r="H4" s="367">
        <v>60</v>
      </c>
      <c r="I4" s="367">
        <v>60</v>
      </c>
      <c r="J4" s="367">
        <v>60</v>
      </c>
      <c r="K4" s="367">
        <v>60</v>
      </c>
      <c r="L4" s="367">
        <v>60</v>
      </c>
      <c r="M4" s="367">
        <v>60</v>
      </c>
      <c r="N4" s="367">
        <v>60</v>
      </c>
      <c r="O4" s="367">
        <v>60</v>
      </c>
      <c r="P4" s="367">
        <v>60</v>
      </c>
      <c r="Q4" s="367">
        <v>60</v>
      </c>
      <c r="R4" s="494"/>
    </row>
    <row r="5" spans="1:18" ht="22.9" customHeight="1" x14ac:dyDescent="0.25">
      <c r="A5" s="221" t="s">
        <v>478</v>
      </c>
      <c r="B5" s="367">
        <v>78</v>
      </c>
      <c r="C5" s="367">
        <v>78</v>
      </c>
      <c r="D5" s="367">
        <v>78</v>
      </c>
      <c r="E5" s="367">
        <v>78</v>
      </c>
      <c r="F5" s="367">
        <v>78</v>
      </c>
      <c r="G5" s="367">
        <v>78</v>
      </c>
      <c r="H5" s="367">
        <v>78</v>
      </c>
      <c r="I5" s="367">
        <v>78</v>
      </c>
      <c r="J5" s="367">
        <v>78</v>
      </c>
      <c r="K5" s="367">
        <v>78</v>
      </c>
      <c r="L5" s="367">
        <v>78</v>
      </c>
      <c r="M5" s="367">
        <v>78</v>
      </c>
      <c r="N5" s="367">
        <v>78</v>
      </c>
      <c r="O5" s="367">
        <v>78</v>
      </c>
      <c r="P5" s="367">
        <v>78</v>
      </c>
      <c r="Q5" s="367">
        <v>78</v>
      </c>
      <c r="R5" s="494" t="s">
        <v>476</v>
      </c>
    </row>
    <row r="6" spans="1:18" ht="22.9" customHeight="1" x14ac:dyDescent="0.25">
      <c r="A6" s="221" t="s">
        <v>479</v>
      </c>
      <c r="B6" s="367">
        <v>78</v>
      </c>
      <c r="C6" s="367">
        <v>78</v>
      </c>
      <c r="D6" s="367">
        <v>78</v>
      </c>
      <c r="E6" s="367">
        <v>78</v>
      </c>
      <c r="F6" s="367">
        <v>78</v>
      </c>
      <c r="G6" s="367">
        <v>78</v>
      </c>
      <c r="H6" s="367">
        <v>78</v>
      </c>
      <c r="I6" s="367">
        <v>78</v>
      </c>
      <c r="J6" s="367">
        <v>78</v>
      </c>
      <c r="K6" s="367">
        <v>78</v>
      </c>
      <c r="L6" s="367">
        <v>78</v>
      </c>
      <c r="M6" s="367">
        <v>78</v>
      </c>
      <c r="N6" s="367">
        <v>78</v>
      </c>
      <c r="O6" s="367">
        <v>78</v>
      </c>
      <c r="P6" s="367">
        <v>78</v>
      </c>
      <c r="Q6" s="367">
        <v>78</v>
      </c>
      <c r="R6" s="494"/>
    </row>
    <row r="8" spans="1:18" ht="24" customHeight="1" x14ac:dyDescent="0.25">
      <c r="A8" s="495" t="str">
        <f>"Thermostat Setpoints - "&amp;Prototype!A2  &amp; ":Retail"</f>
        <v>Thermostat Setpoints - ApartmentHighRise:Retail</v>
      </c>
      <c r="B8" s="495"/>
      <c r="C8" s="495"/>
      <c r="D8" s="495"/>
      <c r="E8" s="495"/>
      <c r="F8" s="495"/>
      <c r="G8" s="495"/>
      <c r="H8" s="495"/>
      <c r="I8" s="495"/>
      <c r="J8" s="495"/>
      <c r="K8" s="495"/>
      <c r="L8" s="495"/>
      <c r="M8" s="495"/>
      <c r="N8" s="495"/>
      <c r="O8" s="495"/>
      <c r="P8" s="495"/>
      <c r="Q8" s="495"/>
      <c r="R8" s="495"/>
    </row>
    <row r="9" spans="1:18" ht="21.6" customHeight="1" x14ac:dyDescent="0.25">
      <c r="A9" s="375" t="s">
        <v>474</v>
      </c>
      <c r="B9" s="373" t="s">
        <v>318</v>
      </c>
      <c r="C9" s="373" t="s">
        <v>319</v>
      </c>
      <c r="D9" s="373" t="s">
        <v>320</v>
      </c>
      <c r="E9" s="373" t="s">
        <v>321</v>
      </c>
      <c r="F9" s="373" t="s">
        <v>322</v>
      </c>
      <c r="G9" s="373" t="s">
        <v>323</v>
      </c>
      <c r="H9" s="373" t="s">
        <v>324</v>
      </c>
      <c r="I9" s="373" t="s">
        <v>325</v>
      </c>
      <c r="J9" s="373" t="s">
        <v>326</v>
      </c>
      <c r="K9" s="373" t="s">
        <v>327</v>
      </c>
      <c r="L9" s="373" t="s">
        <v>328</v>
      </c>
      <c r="M9" s="373" t="s">
        <v>329</v>
      </c>
      <c r="N9" s="373" t="s">
        <v>330</v>
      </c>
      <c r="O9" s="373" t="s">
        <v>331</v>
      </c>
      <c r="P9" s="373" t="s">
        <v>332</v>
      </c>
      <c r="Q9" s="373" t="s">
        <v>333</v>
      </c>
      <c r="R9" s="345" t="s">
        <v>380</v>
      </c>
    </row>
    <row r="10" spans="1:18" ht="26.45" customHeight="1" x14ac:dyDescent="0.25">
      <c r="A10" s="221" t="s">
        <v>480</v>
      </c>
      <c r="B10" s="367">
        <v>70</v>
      </c>
      <c r="C10" s="367">
        <v>70</v>
      </c>
      <c r="D10" s="367">
        <v>70</v>
      </c>
      <c r="E10" s="367">
        <v>70</v>
      </c>
      <c r="F10" s="367">
        <v>70</v>
      </c>
      <c r="G10" s="367">
        <v>70</v>
      </c>
      <c r="H10" s="367">
        <v>70</v>
      </c>
      <c r="I10" s="367">
        <v>70</v>
      </c>
      <c r="J10" s="367">
        <v>70</v>
      </c>
      <c r="K10" s="367">
        <v>70</v>
      </c>
      <c r="L10" s="367">
        <v>70</v>
      </c>
      <c r="M10" s="367">
        <v>70</v>
      </c>
      <c r="N10" s="367">
        <v>70</v>
      </c>
      <c r="O10" s="367">
        <v>70</v>
      </c>
      <c r="P10" s="367">
        <v>70</v>
      </c>
      <c r="Q10" s="367">
        <v>70</v>
      </c>
      <c r="R10" s="494" t="s">
        <v>481</v>
      </c>
    </row>
    <row r="11" spans="1:18" ht="26.45" customHeight="1" x14ac:dyDescent="0.25">
      <c r="A11" s="221" t="s">
        <v>482</v>
      </c>
      <c r="B11" s="367">
        <v>60</v>
      </c>
      <c r="C11" s="367">
        <v>60</v>
      </c>
      <c r="D11" s="367">
        <v>60</v>
      </c>
      <c r="E11" s="367">
        <v>60</v>
      </c>
      <c r="F11" s="367">
        <v>60</v>
      </c>
      <c r="G11" s="367">
        <v>60</v>
      </c>
      <c r="H11" s="367">
        <v>60</v>
      </c>
      <c r="I11" s="367">
        <v>60</v>
      </c>
      <c r="J11" s="367">
        <v>60</v>
      </c>
      <c r="K11" s="367">
        <v>60</v>
      </c>
      <c r="L11" s="367">
        <v>60</v>
      </c>
      <c r="M11" s="367">
        <v>60</v>
      </c>
      <c r="N11" s="367">
        <v>60</v>
      </c>
      <c r="O11" s="367">
        <v>60</v>
      </c>
      <c r="P11" s="367">
        <v>60</v>
      </c>
      <c r="Q11" s="367">
        <v>60</v>
      </c>
      <c r="R11" s="494"/>
    </row>
    <row r="12" spans="1:18" ht="22.9" customHeight="1" x14ac:dyDescent="0.25">
      <c r="A12" s="221" t="s">
        <v>483</v>
      </c>
      <c r="B12" s="367">
        <v>75</v>
      </c>
      <c r="C12" s="367">
        <v>75</v>
      </c>
      <c r="D12" s="367">
        <v>75</v>
      </c>
      <c r="E12" s="367">
        <v>75</v>
      </c>
      <c r="F12" s="367">
        <v>75</v>
      </c>
      <c r="G12" s="367">
        <v>75</v>
      </c>
      <c r="H12" s="367">
        <v>75</v>
      </c>
      <c r="I12" s="367">
        <v>75</v>
      </c>
      <c r="J12" s="367">
        <v>75</v>
      </c>
      <c r="K12" s="367">
        <v>75</v>
      </c>
      <c r="L12" s="367">
        <v>75</v>
      </c>
      <c r="M12" s="367">
        <v>75</v>
      </c>
      <c r="N12" s="367">
        <v>75</v>
      </c>
      <c r="O12" s="367">
        <v>75</v>
      </c>
      <c r="P12" s="367">
        <v>75</v>
      </c>
      <c r="Q12" s="367">
        <v>75</v>
      </c>
      <c r="R12" s="494"/>
    </row>
    <row r="13" spans="1:18" ht="22.9" customHeight="1" x14ac:dyDescent="0.25">
      <c r="A13" s="221" t="s">
        <v>484</v>
      </c>
      <c r="B13" s="367">
        <v>85</v>
      </c>
      <c r="C13" s="367">
        <v>85</v>
      </c>
      <c r="D13" s="367">
        <v>85</v>
      </c>
      <c r="E13" s="367">
        <v>85</v>
      </c>
      <c r="F13" s="367">
        <v>85</v>
      </c>
      <c r="G13" s="367">
        <v>85</v>
      </c>
      <c r="H13" s="367">
        <v>85</v>
      </c>
      <c r="I13" s="367">
        <v>85</v>
      </c>
      <c r="J13" s="367">
        <v>85</v>
      </c>
      <c r="K13" s="367">
        <v>85</v>
      </c>
      <c r="L13" s="367">
        <v>85</v>
      </c>
      <c r="M13" s="367">
        <v>85</v>
      </c>
      <c r="N13" s="367">
        <v>85</v>
      </c>
      <c r="O13" s="367">
        <v>85</v>
      </c>
      <c r="P13" s="367">
        <v>85</v>
      </c>
      <c r="Q13" s="367">
        <v>85</v>
      </c>
      <c r="R13" s="494"/>
    </row>
  </sheetData>
  <mergeCells count="6">
    <mergeCell ref="R12:R13"/>
    <mergeCell ref="A1:R1"/>
    <mergeCell ref="R3:R4"/>
    <mergeCell ref="R5:R6"/>
    <mergeCell ref="A8:R8"/>
    <mergeCell ref="R10:R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L40"/>
  <sheetViews>
    <sheetView zoomScale="80" zoomScaleNormal="80" workbookViewId="0">
      <selection sqref="A1:L1"/>
    </sheetView>
  </sheetViews>
  <sheetFormatPr defaultColWidth="9.28515625" defaultRowHeight="14.25" x14ac:dyDescent="0.2"/>
  <cols>
    <col min="1" max="1" width="26.85546875" style="265" customWidth="1"/>
    <col min="2" max="2" width="20.28515625" style="62" customWidth="1"/>
    <col min="3" max="3" width="23.42578125" style="62" customWidth="1"/>
    <col min="4" max="5" width="25.7109375" style="2" customWidth="1"/>
    <col min="6" max="6" width="27.85546875" style="2" customWidth="1"/>
    <col min="7" max="7" width="26.42578125" style="2" bestFit="1" customWidth="1"/>
    <col min="8" max="8" width="17.85546875" style="2" customWidth="1"/>
    <col min="9" max="9" width="17.42578125" style="2" customWidth="1"/>
    <col min="10" max="10" width="15.28515625" style="2" customWidth="1"/>
    <col min="11" max="11" width="12.140625" style="2" customWidth="1"/>
    <col min="12" max="12" width="58.140625" style="2" customWidth="1"/>
    <col min="13" max="13" width="13.7109375" style="62" customWidth="1"/>
    <col min="14" max="14" width="11.7109375" style="62" customWidth="1"/>
    <col min="15" max="15" width="13.7109375" style="62" customWidth="1"/>
    <col min="16" max="16" width="12.28515625" style="62" customWidth="1"/>
    <col min="17" max="17" width="13.7109375" style="62" customWidth="1"/>
    <col min="18" max="18" width="12.28515625" style="62" customWidth="1"/>
    <col min="19" max="19" width="13.7109375" style="62" customWidth="1"/>
    <col min="20" max="20" width="11.7109375" style="62" customWidth="1"/>
    <col min="21" max="22" width="10.7109375" style="62" customWidth="1"/>
    <col min="23" max="23" width="9.28515625" style="62"/>
    <col min="24" max="28" width="11.28515625" style="62" customWidth="1"/>
    <col min="29" max="16384" width="9.28515625" style="62"/>
  </cols>
  <sheetData>
    <row r="1" spans="1:12" ht="39.75" customHeight="1" x14ac:dyDescent="0.2">
      <c r="A1" s="496" t="str">
        <f>"Outdoor Airflow Rate - "&amp;Prototype!A2</f>
        <v>Outdoor Airflow Rate - ApartmentHighRise</v>
      </c>
      <c r="B1" s="462"/>
      <c r="C1" s="462"/>
      <c r="D1" s="462"/>
      <c r="E1" s="462"/>
      <c r="F1" s="462"/>
      <c r="G1" s="462"/>
      <c r="H1" s="462"/>
      <c r="I1" s="462"/>
      <c r="J1" s="462"/>
      <c r="K1" s="462"/>
      <c r="L1" s="462"/>
    </row>
    <row r="2" spans="1:12" ht="54.6" customHeight="1" x14ac:dyDescent="0.2">
      <c r="A2" s="261" t="s">
        <v>485</v>
      </c>
      <c r="B2" s="373" t="s">
        <v>486</v>
      </c>
      <c r="C2" s="372" t="s">
        <v>487</v>
      </c>
      <c r="D2" s="133" t="s">
        <v>488</v>
      </c>
      <c r="E2" s="133" t="s">
        <v>489</v>
      </c>
      <c r="F2" s="133" t="s">
        <v>490</v>
      </c>
      <c r="G2" s="133" t="s">
        <v>491</v>
      </c>
      <c r="H2" s="133" t="s">
        <v>492</v>
      </c>
      <c r="I2" s="133" t="s">
        <v>493</v>
      </c>
      <c r="J2" s="133" t="s">
        <v>494</v>
      </c>
      <c r="K2" s="134" t="s">
        <v>495</v>
      </c>
      <c r="L2" s="134" t="s">
        <v>317</v>
      </c>
    </row>
    <row r="3" spans="1:12" ht="20.85" customHeight="1" x14ac:dyDescent="0.2">
      <c r="A3" s="262" t="str">
        <f>Zones!B3</f>
        <v>F1 BUSINESS CENTER</v>
      </c>
      <c r="B3" s="20">
        <f>Zones!M3</f>
        <v>32.019335000000005</v>
      </c>
      <c r="C3" s="260">
        <f>Zones!J3</f>
        <v>480.05</v>
      </c>
      <c r="D3" s="365">
        <v>15</v>
      </c>
      <c r="E3" s="259"/>
      <c r="F3" s="365">
        <v>0.15</v>
      </c>
      <c r="G3" s="256"/>
      <c r="H3" s="135">
        <f t="shared" ref="H3:H34" si="0">B3*D3</f>
        <v>480.29002500000007</v>
      </c>
      <c r="I3" s="135">
        <f t="shared" ref="I3:I34" si="1">C3*F3</f>
        <v>72.007499999999993</v>
      </c>
      <c r="J3" s="136"/>
      <c r="K3" s="391">
        <f>MAX(H3:J3)</f>
        <v>480.29002500000007</v>
      </c>
      <c r="L3" s="137"/>
    </row>
    <row r="4" spans="1:12" ht="20.85" customHeight="1" x14ac:dyDescent="0.2">
      <c r="A4" s="262" t="str">
        <f>Zones!B4</f>
        <v>F1 FITNESS CENTER</v>
      </c>
      <c r="B4" s="20">
        <f>Zones!M4</f>
        <v>16.801600000000001</v>
      </c>
      <c r="C4" s="260">
        <f>Zones!J4</f>
        <v>840.08</v>
      </c>
      <c r="D4" s="365">
        <v>15</v>
      </c>
      <c r="E4" s="259"/>
      <c r="F4" s="365">
        <v>0.15</v>
      </c>
      <c r="G4" s="256"/>
      <c r="H4" s="135">
        <f t="shared" si="0"/>
        <v>252.024</v>
      </c>
      <c r="I4" s="135">
        <f t="shared" si="1"/>
        <v>126.012</v>
      </c>
      <c r="J4" s="136"/>
      <c r="K4" s="391">
        <f t="shared" ref="K4:K34" si="2">MAX(H4:J4)</f>
        <v>252.024</v>
      </c>
      <c r="L4" s="137"/>
    </row>
    <row r="5" spans="1:12" ht="20.85" customHeight="1" x14ac:dyDescent="0.2">
      <c r="A5" s="262" t="str">
        <f>Zones!B5</f>
        <v>F1 LEASING OFFICE</v>
      </c>
      <c r="B5" s="20">
        <f>Zones!M5</f>
        <v>1.8002</v>
      </c>
      <c r="C5" s="260">
        <f>Zones!J5</f>
        <v>180.02</v>
      </c>
      <c r="D5" s="365">
        <v>15</v>
      </c>
      <c r="E5" s="259"/>
      <c r="F5" s="365">
        <v>0.15</v>
      </c>
      <c r="G5" s="256"/>
      <c r="H5" s="135">
        <f t="shared" si="0"/>
        <v>27.003</v>
      </c>
      <c r="I5" s="135">
        <f t="shared" si="1"/>
        <v>27.003</v>
      </c>
      <c r="J5" s="136"/>
      <c r="K5" s="391">
        <f t="shared" si="2"/>
        <v>27.003</v>
      </c>
      <c r="L5" s="137"/>
    </row>
    <row r="6" spans="1:12" ht="20.85" customHeight="1" x14ac:dyDescent="0.2">
      <c r="A6" s="262" t="str">
        <f>Zones!B6</f>
        <v>F1 LOUNGE</v>
      </c>
      <c r="B6" s="20">
        <f>Zones!M6</f>
        <v>102.46120500000002</v>
      </c>
      <c r="C6" s="260">
        <f>Zones!J6</f>
        <v>1536.15</v>
      </c>
      <c r="D6" s="365">
        <v>15</v>
      </c>
      <c r="E6" s="259"/>
      <c r="F6" s="365">
        <v>0.15</v>
      </c>
      <c r="G6" s="256"/>
      <c r="H6" s="135">
        <f t="shared" si="0"/>
        <v>1536.9180750000003</v>
      </c>
      <c r="I6" s="135">
        <f t="shared" si="1"/>
        <v>230.42250000000001</v>
      </c>
      <c r="J6" s="136"/>
      <c r="K6" s="391">
        <f t="shared" si="2"/>
        <v>1536.9180750000003</v>
      </c>
      <c r="L6" s="137"/>
    </row>
    <row r="7" spans="1:12" ht="20.85" customHeight="1" x14ac:dyDescent="0.2">
      <c r="A7" s="262" t="str">
        <f>Zones!B7</f>
        <v>F1 RETAIL E CORE</v>
      </c>
      <c r="B7" s="20">
        <f>Zones!M7</f>
        <v>52.910776999999996</v>
      </c>
      <c r="C7" s="260">
        <f>Zones!J7</f>
        <v>3168.31</v>
      </c>
      <c r="D7" s="365">
        <v>15</v>
      </c>
      <c r="E7" s="259"/>
      <c r="F7" s="365">
        <v>0.15</v>
      </c>
      <c r="G7" s="256"/>
      <c r="H7" s="135">
        <f t="shared" si="0"/>
        <v>793.66165499999988</v>
      </c>
      <c r="I7" s="135">
        <f t="shared" si="1"/>
        <v>475.24649999999997</v>
      </c>
      <c r="J7" s="136"/>
      <c r="K7" s="391">
        <f t="shared" si="2"/>
        <v>793.66165499999988</v>
      </c>
      <c r="L7" s="137"/>
    </row>
    <row r="8" spans="1:12" ht="20.85" customHeight="1" x14ac:dyDescent="0.2">
      <c r="A8" s="262" t="str">
        <f>Zones!B8</f>
        <v>F1 RETAIL E OUTER</v>
      </c>
      <c r="B8" s="20">
        <f>Zones!M8</f>
        <v>26.455304999999999</v>
      </c>
      <c r="C8" s="260">
        <f>Zones!J8</f>
        <v>1584.15</v>
      </c>
      <c r="D8" s="365">
        <v>15</v>
      </c>
      <c r="E8" s="259"/>
      <c r="F8" s="365">
        <v>0.15</v>
      </c>
      <c r="G8" s="256"/>
      <c r="H8" s="135">
        <f t="shared" si="0"/>
        <v>396.82957499999998</v>
      </c>
      <c r="I8" s="135">
        <f t="shared" si="1"/>
        <v>237.6225</v>
      </c>
      <c r="J8" s="136"/>
      <c r="K8" s="391">
        <f t="shared" si="2"/>
        <v>396.82957499999998</v>
      </c>
      <c r="L8" s="137"/>
    </row>
    <row r="9" spans="1:12" ht="20.85" customHeight="1" x14ac:dyDescent="0.2">
      <c r="A9" s="262" t="str">
        <f>Zones!B9</f>
        <v>F1 RETAIL W CORE</v>
      </c>
      <c r="B9" s="20">
        <f>Zones!M9</f>
        <v>52.910776999999996</v>
      </c>
      <c r="C9" s="260">
        <f>Zones!J9</f>
        <v>3168.31</v>
      </c>
      <c r="D9" s="365">
        <v>15</v>
      </c>
      <c r="E9" s="259"/>
      <c r="F9" s="365">
        <v>0.15</v>
      </c>
      <c r="G9" s="256"/>
      <c r="H9" s="135">
        <f t="shared" si="0"/>
        <v>793.66165499999988</v>
      </c>
      <c r="I9" s="135">
        <f t="shared" si="1"/>
        <v>475.24649999999997</v>
      </c>
      <c r="J9" s="136"/>
      <c r="K9" s="391">
        <f t="shared" si="2"/>
        <v>793.66165499999988</v>
      </c>
      <c r="L9" s="137"/>
    </row>
    <row r="10" spans="1:12" ht="20.85" customHeight="1" x14ac:dyDescent="0.2">
      <c r="A10" s="262" t="str">
        <f>Zones!B10</f>
        <v>F1 RETAIL W OUTER</v>
      </c>
      <c r="B10" s="20">
        <f>Zones!M10</f>
        <v>26.455304999999999</v>
      </c>
      <c r="C10" s="260">
        <f>Zones!J10</f>
        <v>1584.15</v>
      </c>
      <c r="D10" s="365">
        <v>15</v>
      </c>
      <c r="E10" s="259"/>
      <c r="F10" s="365">
        <v>0.15</v>
      </c>
      <c r="G10" s="256"/>
      <c r="H10" s="135">
        <f t="shared" si="0"/>
        <v>396.82957499999998</v>
      </c>
      <c r="I10" s="135">
        <f t="shared" si="1"/>
        <v>237.6225</v>
      </c>
      <c r="J10" s="136"/>
      <c r="K10" s="391">
        <f t="shared" si="2"/>
        <v>396.82957499999998</v>
      </c>
      <c r="L10" s="137"/>
    </row>
    <row r="11" spans="1:12" ht="20.85" customHeight="1" x14ac:dyDescent="0.2">
      <c r="A11" s="262" t="str">
        <f>Zones!B11</f>
        <v>F10 1-BED N</v>
      </c>
      <c r="B11" s="20">
        <f>Zones!M11</f>
        <v>7.8007499999999999</v>
      </c>
      <c r="C11" s="260">
        <f>Zones!J11</f>
        <v>1560.15</v>
      </c>
      <c r="D11" s="365" t="s">
        <v>85</v>
      </c>
      <c r="E11" s="259">
        <f>0.03*C11+7.5*(1+Zones!E11)</f>
        <v>61.804500000000004</v>
      </c>
      <c r="F11" s="365"/>
      <c r="G11" s="256"/>
      <c r="H11" s="135"/>
      <c r="I11" s="135">
        <f>E11</f>
        <v>61.804500000000004</v>
      </c>
      <c r="J11" s="136"/>
      <c r="K11" s="391">
        <f t="shared" si="2"/>
        <v>61.804500000000004</v>
      </c>
      <c r="L11" s="138" t="s">
        <v>496</v>
      </c>
    </row>
    <row r="12" spans="1:12" ht="20.85" customHeight="1" x14ac:dyDescent="0.2">
      <c r="A12" s="262" t="str">
        <f>Zones!B12</f>
        <v>F10 1-BED SE</v>
      </c>
      <c r="B12" s="20">
        <f>Zones!M12</f>
        <v>7.8007499999999999</v>
      </c>
      <c r="C12" s="260">
        <f>Zones!J12</f>
        <v>1560.15</v>
      </c>
      <c r="D12" s="365" t="s">
        <v>85</v>
      </c>
      <c r="E12" s="259">
        <f>0.03*C12+7.5*(1+Zones!E12)</f>
        <v>61.804500000000004</v>
      </c>
      <c r="F12" s="365"/>
      <c r="G12" s="256"/>
      <c r="H12" s="135"/>
      <c r="I12" s="135">
        <f t="shared" ref="I12:I18" si="3">E12</f>
        <v>61.804500000000004</v>
      </c>
      <c r="J12" s="136"/>
      <c r="K12" s="391">
        <f t="shared" si="2"/>
        <v>61.804500000000004</v>
      </c>
      <c r="L12" s="138" t="s">
        <v>496</v>
      </c>
    </row>
    <row r="13" spans="1:12" ht="20.85" customHeight="1" x14ac:dyDescent="0.2">
      <c r="A13" s="262" t="str">
        <f>Zones!B13</f>
        <v>F10 1-BED SW</v>
      </c>
      <c r="B13" s="20">
        <f>Zones!M13</f>
        <v>7.8007499999999999</v>
      </c>
      <c r="C13" s="260">
        <f>Zones!J13</f>
        <v>1560.15</v>
      </c>
      <c r="D13" s="365" t="s">
        <v>85</v>
      </c>
      <c r="E13" s="259">
        <f>0.03*C13+7.5*(1+Zones!E13)</f>
        <v>61.804500000000004</v>
      </c>
      <c r="F13" s="365"/>
      <c r="G13" s="256"/>
      <c r="H13" s="135"/>
      <c r="I13" s="135">
        <f t="shared" si="3"/>
        <v>61.804500000000004</v>
      </c>
      <c r="J13" s="136"/>
      <c r="K13" s="391">
        <f t="shared" si="2"/>
        <v>61.804500000000004</v>
      </c>
      <c r="L13" s="138" t="s">
        <v>496</v>
      </c>
    </row>
    <row r="14" spans="1:12" ht="20.85" customHeight="1" x14ac:dyDescent="0.2">
      <c r="A14" s="262" t="str">
        <f>Zones!B14</f>
        <v>F10 2-BED N CORE</v>
      </c>
      <c r="B14" s="20">
        <f>Zones!M14</f>
        <v>5.4005499999999991</v>
      </c>
      <c r="C14" s="260">
        <f>Zones!J14</f>
        <v>1080.1099999999999</v>
      </c>
      <c r="D14" s="365" t="s">
        <v>85</v>
      </c>
      <c r="E14" s="259">
        <f>0.03*C14+7.5*(1+Zones!E14)</f>
        <v>47.403299999999994</v>
      </c>
      <c r="F14" s="365"/>
      <c r="G14" s="257"/>
      <c r="H14" s="135"/>
      <c r="I14" s="135">
        <f t="shared" si="3"/>
        <v>47.403299999999994</v>
      </c>
      <c r="J14" s="136"/>
      <c r="K14" s="391">
        <f t="shared" si="2"/>
        <v>47.403299999999994</v>
      </c>
      <c r="L14" s="138" t="s">
        <v>496</v>
      </c>
    </row>
    <row r="15" spans="1:12" ht="20.85" customHeight="1" x14ac:dyDescent="0.2">
      <c r="A15" s="262" t="str">
        <f>Zones!B15</f>
        <v>F10 2-BED NE</v>
      </c>
      <c r="B15" s="20">
        <f>Zones!M15</f>
        <v>5.4005499999999991</v>
      </c>
      <c r="C15" s="260">
        <f>Zones!J15</f>
        <v>1080.1099999999999</v>
      </c>
      <c r="D15" s="365" t="s">
        <v>85</v>
      </c>
      <c r="E15" s="259">
        <f>0.03*C15+7.5*(1+Zones!E15)</f>
        <v>47.403299999999994</v>
      </c>
      <c r="F15" s="365"/>
      <c r="G15" s="257"/>
      <c r="H15" s="135"/>
      <c r="I15" s="135">
        <f t="shared" si="3"/>
        <v>47.403299999999994</v>
      </c>
      <c r="J15" s="136"/>
      <c r="K15" s="391">
        <f t="shared" si="2"/>
        <v>47.403299999999994</v>
      </c>
      <c r="L15" s="138" t="s">
        <v>496</v>
      </c>
    </row>
    <row r="16" spans="1:12" ht="20.85" customHeight="1" x14ac:dyDescent="0.2">
      <c r="A16" s="262" t="str">
        <f>Zones!B16</f>
        <v>F10 2-BED NW</v>
      </c>
      <c r="B16" s="20">
        <f>Zones!M16</f>
        <v>5.4005499999999991</v>
      </c>
      <c r="C16" s="260">
        <f>Zones!J16</f>
        <v>1080.1099999999999</v>
      </c>
      <c r="D16" s="365" t="s">
        <v>85</v>
      </c>
      <c r="E16" s="259">
        <f>0.03*C16+7.5*(1+Zones!E16)</f>
        <v>47.403299999999994</v>
      </c>
      <c r="F16" s="365"/>
      <c r="G16" s="258"/>
      <c r="H16" s="135"/>
      <c r="I16" s="135">
        <f t="shared" si="3"/>
        <v>47.403299999999994</v>
      </c>
      <c r="J16" s="136"/>
      <c r="K16" s="391">
        <f t="shared" si="2"/>
        <v>47.403299999999994</v>
      </c>
      <c r="L16" s="138" t="s">
        <v>496</v>
      </c>
    </row>
    <row r="17" spans="1:12" ht="20.85" customHeight="1" x14ac:dyDescent="0.2">
      <c r="A17" s="262" t="str">
        <f>Zones!B17</f>
        <v>F10 2-BED SE</v>
      </c>
      <c r="B17" s="20">
        <f>Zones!M17</f>
        <v>5.4005499999999991</v>
      </c>
      <c r="C17" s="260">
        <f>Zones!J17</f>
        <v>1080.1099999999999</v>
      </c>
      <c r="D17" s="365" t="s">
        <v>85</v>
      </c>
      <c r="E17" s="259">
        <f>0.03*C17+7.5*(1+Zones!E17)</f>
        <v>47.403299999999994</v>
      </c>
      <c r="F17" s="365"/>
      <c r="G17" s="258"/>
      <c r="H17" s="135"/>
      <c r="I17" s="135">
        <f t="shared" si="3"/>
        <v>47.403299999999994</v>
      </c>
      <c r="J17" s="136"/>
      <c r="K17" s="391">
        <f t="shared" si="2"/>
        <v>47.403299999999994</v>
      </c>
      <c r="L17" s="138" t="s">
        <v>496</v>
      </c>
    </row>
    <row r="18" spans="1:12" ht="20.85" customHeight="1" x14ac:dyDescent="0.2">
      <c r="A18" s="262" t="str">
        <f>Zones!B18</f>
        <v>F10 2-BED SW</v>
      </c>
      <c r="B18" s="20">
        <f>Zones!M18</f>
        <v>5.4005499999999991</v>
      </c>
      <c r="C18" s="260">
        <f>Zones!J18</f>
        <v>1080.1099999999999</v>
      </c>
      <c r="D18" s="365" t="s">
        <v>85</v>
      </c>
      <c r="E18" s="259">
        <f>0.03*C18+7.5*(1+Zones!E18)</f>
        <v>47.403299999999994</v>
      </c>
      <c r="F18" s="365"/>
      <c r="G18" s="258"/>
      <c r="H18" s="135"/>
      <c r="I18" s="135">
        <f t="shared" si="3"/>
        <v>47.403299999999994</v>
      </c>
      <c r="J18" s="136"/>
      <c r="K18" s="391">
        <f t="shared" si="2"/>
        <v>47.403299999999994</v>
      </c>
      <c r="L18" s="138" t="s">
        <v>496</v>
      </c>
    </row>
    <row r="19" spans="1:12" ht="20.85" customHeight="1" x14ac:dyDescent="0.2">
      <c r="A19" s="262" t="str">
        <f>Zones!B19</f>
        <v>F10 CORRIDOR</v>
      </c>
      <c r="B19" s="20">
        <f>Zones!M19</f>
        <v>12.001199999999999</v>
      </c>
      <c r="C19" s="260">
        <f>Zones!J19</f>
        <v>1200.1199999999999</v>
      </c>
      <c r="D19" s="365">
        <v>15</v>
      </c>
      <c r="E19" s="259"/>
      <c r="F19" s="365">
        <v>0.15</v>
      </c>
      <c r="G19" s="258"/>
      <c r="H19" s="135">
        <f t="shared" si="0"/>
        <v>180.01799999999997</v>
      </c>
      <c r="I19" s="135">
        <f t="shared" si="1"/>
        <v>180.01799999999997</v>
      </c>
      <c r="J19" s="136"/>
      <c r="K19" s="391">
        <f t="shared" si="2"/>
        <v>180.01799999999997</v>
      </c>
      <c r="L19" s="138"/>
    </row>
    <row r="20" spans="1:12" ht="20.85" customHeight="1" x14ac:dyDescent="0.2">
      <c r="A20" s="262" t="str">
        <f>Zones!B20</f>
        <v>F10 LAUNDRY</v>
      </c>
      <c r="B20" s="20">
        <f>Zones!M20</f>
        <v>1.8002</v>
      </c>
      <c r="C20" s="260">
        <f>Zones!J20</f>
        <v>180.02</v>
      </c>
      <c r="D20" s="365">
        <v>15</v>
      </c>
      <c r="E20" s="259"/>
      <c r="F20" s="365">
        <v>0.15</v>
      </c>
      <c r="G20" s="258"/>
      <c r="H20" s="135">
        <f t="shared" si="0"/>
        <v>27.003</v>
      </c>
      <c r="I20" s="135">
        <f t="shared" si="1"/>
        <v>27.003</v>
      </c>
      <c r="J20" s="136"/>
      <c r="K20" s="391">
        <f t="shared" si="2"/>
        <v>27.003</v>
      </c>
      <c r="L20" s="138"/>
    </row>
    <row r="21" spans="1:12" ht="20.85" customHeight="1" x14ac:dyDescent="0.2">
      <c r="A21" s="262" t="str">
        <f>Zones!B21</f>
        <v>F10 STUDIO N</v>
      </c>
      <c r="B21" s="20">
        <f>Zones!M21</f>
        <v>5.4005499999999991</v>
      </c>
      <c r="C21" s="260">
        <f>Zones!J21</f>
        <v>1080.1099999999999</v>
      </c>
      <c r="D21" s="365" t="s">
        <v>85</v>
      </c>
      <c r="E21" s="259">
        <f>0.03*C21+7.5*(1+Zones!E21)</f>
        <v>47.403299999999994</v>
      </c>
      <c r="F21" s="365"/>
      <c r="G21" s="258"/>
      <c r="H21" s="135"/>
      <c r="I21" s="135">
        <f t="shared" ref="I21:I29" si="4">E21</f>
        <v>47.403299999999994</v>
      </c>
      <c r="J21" s="136"/>
      <c r="K21" s="391">
        <f t="shared" si="2"/>
        <v>47.403299999999994</v>
      </c>
      <c r="L21" s="138" t="s">
        <v>496</v>
      </c>
    </row>
    <row r="22" spans="1:12" ht="20.85" customHeight="1" x14ac:dyDescent="0.2">
      <c r="A22" s="262" t="str">
        <f>Zones!B22</f>
        <v>F2-9 1-BED N</v>
      </c>
      <c r="B22" s="20">
        <f>Zones!M22</f>
        <v>7.8007499999999999</v>
      </c>
      <c r="C22" s="260">
        <f>Zones!J22</f>
        <v>1560.15</v>
      </c>
      <c r="D22" s="365" t="s">
        <v>85</v>
      </c>
      <c r="E22" s="259">
        <f>0.03*C22+7.5*(1+Zones!E22)</f>
        <v>114.3045</v>
      </c>
      <c r="F22" s="365"/>
      <c r="G22" s="258"/>
      <c r="H22" s="135"/>
      <c r="I22" s="135">
        <f t="shared" si="4"/>
        <v>114.3045</v>
      </c>
      <c r="J22" s="136"/>
      <c r="K22" s="391">
        <f t="shared" si="2"/>
        <v>114.3045</v>
      </c>
      <c r="L22" s="138" t="s">
        <v>496</v>
      </c>
    </row>
    <row r="23" spans="1:12" ht="20.85" customHeight="1" x14ac:dyDescent="0.2">
      <c r="A23" s="262" t="str">
        <f>Zones!B23</f>
        <v>F2-9 1-BED SE</v>
      </c>
      <c r="B23" s="20">
        <f>Zones!M23</f>
        <v>7.8007499999999999</v>
      </c>
      <c r="C23" s="260">
        <f>Zones!J23</f>
        <v>1560.15</v>
      </c>
      <c r="D23" s="365" t="s">
        <v>85</v>
      </c>
      <c r="E23" s="259">
        <f>0.03*C23+7.5*(1+Zones!E23)</f>
        <v>114.3045</v>
      </c>
      <c r="F23" s="365"/>
      <c r="G23" s="258"/>
      <c r="H23" s="135"/>
      <c r="I23" s="135">
        <f t="shared" si="4"/>
        <v>114.3045</v>
      </c>
      <c r="J23" s="136"/>
      <c r="K23" s="391">
        <f t="shared" si="2"/>
        <v>114.3045</v>
      </c>
      <c r="L23" s="138" t="s">
        <v>496</v>
      </c>
    </row>
    <row r="24" spans="1:12" ht="20.85" customHeight="1" x14ac:dyDescent="0.2">
      <c r="A24" s="262" t="str">
        <f>Zones!B24</f>
        <v>F2-9 1-BED SW</v>
      </c>
      <c r="B24" s="20">
        <f>Zones!M24</f>
        <v>7.8007499999999999</v>
      </c>
      <c r="C24" s="260">
        <f>Zones!J24</f>
        <v>1560.15</v>
      </c>
      <c r="D24" s="365" t="s">
        <v>85</v>
      </c>
      <c r="E24" s="259">
        <f>0.03*C24+7.5*(1+Zones!E24)</f>
        <v>114.3045</v>
      </c>
      <c r="F24" s="365"/>
      <c r="G24" s="258"/>
      <c r="H24" s="135"/>
      <c r="I24" s="135">
        <f t="shared" si="4"/>
        <v>114.3045</v>
      </c>
      <c r="J24" s="136"/>
      <c r="K24" s="391">
        <f t="shared" si="2"/>
        <v>114.3045</v>
      </c>
      <c r="L24" s="138" t="s">
        <v>496</v>
      </c>
    </row>
    <row r="25" spans="1:12" ht="20.85" customHeight="1" x14ac:dyDescent="0.2">
      <c r="A25" s="262" t="str">
        <f>Zones!B25</f>
        <v>F2-9 2-BED N CORE</v>
      </c>
      <c r="B25" s="20">
        <f>Zones!M25</f>
        <v>5.4005499999999991</v>
      </c>
      <c r="C25" s="260">
        <f>Zones!J25</f>
        <v>1080.1099999999999</v>
      </c>
      <c r="D25" s="365" t="s">
        <v>85</v>
      </c>
      <c r="E25" s="259">
        <f>0.03*C25+7.5*(1+Zones!E25)</f>
        <v>99.903300000000002</v>
      </c>
      <c r="F25" s="365"/>
      <c r="G25" s="258"/>
      <c r="H25" s="135"/>
      <c r="I25" s="135">
        <f t="shared" si="4"/>
        <v>99.903300000000002</v>
      </c>
      <c r="J25" s="136"/>
      <c r="K25" s="391">
        <f t="shared" si="2"/>
        <v>99.903300000000002</v>
      </c>
      <c r="L25" s="138" t="s">
        <v>496</v>
      </c>
    </row>
    <row r="26" spans="1:12" ht="20.85" customHeight="1" x14ac:dyDescent="0.2">
      <c r="A26" s="262" t="str">
        <f>Zones!B26</f>
        <v>F2-9 2-BED NE</v>
      </c>
      <c r="B26" s="20">
        <f>Zones!M26</f>
        <v>5.4005499999999991</v>
      </c>
      <c r="C26" s="260">
        <f>Zones!J26</f>
        <v>1080.1099999999999</v>
      </c>
      <c r="D26" s="365" t="s">
        <v>85</v>
      </c>
      <c r="E26" s="259">
        <f>0.03*C26+7.5*(1+Zones!E26)</f>
        <v>99.903300000000002</v>
      </c>
      <c r="F26" s="365"/>
      <c r="G26" s="258"/>
      <c r="H26" s="135"/>
      <c r="I26" s="135">
        <f t="shared" si="4"/>
        <v>99.903300000000002</v>
      </c>
      <c r="J26" s="136"/>
      <c r="K26" s="391">
        <f t="shared" si="2"/>
        <v>99.903300000000002</v>
      </c>
      <c r="L26" s="138" t="s">
        <v>496</v>
      </c>
    </row>
    <row r="27" spans="1:12" ht="20.85" customHeight="1" x14ac:dyDescent="0.2">
      <c r="A27" s="262" t="str">
        <f>Zones!B27</f>
        <v>F2-9 2-BED NW</v>
      </c>
      <c r="B27" s="20">
        <f>Zones!M27</f>
        <v>5.4005499999999991</v>
      </c>
      <c r="C27" s="260">
        <f>Zones!J27</f>
        <v>1080.1099999999999</v>
      </c>
      <c r="D27" s="365" t="s">
        <v>85</v>
      </c>
      <c r="E27" s="259">
        <f>0.03*C27+7.5*(1+Zones!E27)</f>
        <v>99.903300000000002</v>
      </c>
      <c r="F27" s="365"/>
      <c r="G27" s="258"/>
      <c r="H27" s="135"/>
      <c r="I27" s="135">
        <f t="shared" si="4"/>
        <v>99.903300000000002</v>
      </c>
      <c r="J27" s="136"/>
      <c r="K27" s="391">
        <f t="shared" si="2"/>
        <v>99.903300000000002</v>
      </c>
      <c r="L27" s="138" t="s">
        <v>496</v>
      </c>
    </row>
    <row r="28" spans="1:12" ht="20.85" customHeight="1" x14ac:dyDescent="0.2">
      <c r="A28" s="262" t="str">
        <f>Zones!B28</f>
        <v>F2-9 2-BED SE</v>
      </c>
      <c r="B28" s="20">
        <f>Zones!M28</f>
        <v>5.4005499999999991</v>
      </c>
      <c r="C28" s="260">
        <f>Zones!J28</f>
        <v>1080.1099999999999</v>
      </c>
      <c r="D28" s="365" t="s">
        <v>85</v>
      </c>
      <c r="E28" s="259">
        <f>0.03*C28+7.5*(1+Zones!E28)</f>
        <v>99.903300000000002</v>
      </c>
      <c r="F28" s="365"/>
      <c r="G28" s="258"/>
      <c r="H28" s="135"/>
      <c r="I28" s="135">
        <f t="shared" si="4"/>
        <v>99.903300000000002</v>
      </c>
      <c r="J28" s="136"/>
      <c r="K28" s="391">
        <f t="shared" si="2"/>
        <v>99.903300000000002</v>
      </c>
      <c r="L28" s="138" t="s">
        <v>496</v>
      </c>
    </row>
    <row r="29" spans="1:12" ht="20.85" customHeight="1" x14ac:dyDescent="0.2">
      <c r="A29" s="262" t="str">
        <f>Zones!B29</f>
        <v>F2-9 2-BED SW</v>
      </c>
      <c r="B29" s="20">
        <f>Zones!M29</f>
        <v>5.4005499999999991</v>
      </c>
      <c r="C29" s="260">
        <f>Zones!J29</f>
        <v>1080.1099999999999</v>
      </c>
      <c r="D29" s="365" t="s">
        <v>85</v>
      </c>
      <c r="E29" s="259">
        <f>0.03*C29+7.5*(1+Zones!E29)</f>
        <v>99.903300000000002</v>
      </c>
      <c r="F29" s="365"/>
      <c r="G29" s="258"/>
      <c r="H29" s="135"/>
      <c r="I29" s="135">
        <f t="shared" si="4"/>
        <v>99.903300000000002</v>
      </c>
      <c r="J29" s="136"/>
      <c r="K29" s="391">
        <f t="shared" si="2"/>
        <v>99.903300000000002</v>
      </c>
      <c r="L29" s="138" t="s">
        <v>496</v>
      </c>
    </row>
    <row r="30" spans="1:12" ht="20.85" customHeight="1" x14ac:dyDescent="0.2">
      <c r="A30" s="262" t="str">
        <f>Zones!B30</f>
        <v>F2-9 CORRIDOR</v>
      </c>
      <c r="B30" s="20">
        <f>Zones!M30</f>
        <v>12.001199999999999</v>
      </c>
      <c r="C30" s="260">
        <f>Zones!J30</f>
        <v>1200.1199999999999</v>
      </c>
      <c r="D30" s="365" t="s">
        <v>85</v>
      </c>
      <c r="E30" s="259"/>
      <c r="F30" s="365">
        <v>0.15</v>
      </c>
      <c r="G30" s="258"/>
      <c r="H30" s="135"/>
      <c r="I30" s="135">
        <f t="shared" si="1"/>
        <v>180.01799999999997</v>
      </c>
      <c r="J30" s="136"/>
      <c r="K30" s="391">
        <f t="shared" si="2"/>
        <v>180.01799999999997</v>
      </c>
      <c r="L30" s="138"/>
    </row>
    <row r="31" spans="1:12" ht="20.85" customHeight="1" x14ac:dyDescent="0.2">
      <c r="A31" s="262" t="str">
        <f>Zones!B31</f>
        <v>F2-9 LAUNDRY</v>
      </c>
      <c r="B31" s="20">
        <f>Zones!M31</f>
        <v>1.8002</v>
      </c>
      <c r="C31" s="260">
        <f>Zones!J31</f>
        <v>180.02</v>
      </c>
      <c r="D31" s="365">
        <v>15</v>
      </c>
      <c r="E31" s="259"/>
      <c r="F31" s="365">
        <v>0.15</v>
      </c>
      <c r="G31" s="258"/>
      <c r="H31" s="135">
        <f t="shared" si="0"/>
        <v>27.003</v>
      </c>
      <c r="I31" s="135">
        <f t="shared" si="1"/>
        <v>27.003</v>
      </c>
      <c r="J31" s="136"/>
      <c r="K31" s="391">
        <f t="shared" si="2"/>
        <v>27.003</v>
      </c>
      <c r="L31" s="138"/>
    </row>
    <row r="32" spans="1:12" ht="20.85" customHeight="1" x14ac:dyDescent="0.2">
      <c r="A32" s="262" t="str">
        <f>Zones!B32</f>
        <v>F2-9 STUDIO N</v>
      </c>
      <c r="B32" s="20">
        <f>Zones!M32</f>
        <v>5.4005499999999991</v>
      </c>
      <c r="C32" s="260">
        <f>Zones!J32</f>
        <v>1080.1099999999999</v>
      </c>
      <c r="D32" s="365" t="s">
        <v>85</v>
      </c>
      <c r="E32" s="259">
        <f>0.03*C32+7.5*(1+Zones!E32)</f>
        <v>99.903300000000002</v>
      </c>
      <c r="F32" s="365">
        <v>0.15</v>
      </c>
      <c r="G32" s="258"/>
      <c r="H32" s="135"/>
      <c r="I32" s="135">
        <f t="shared" ref="I32" si="5">E32</f>
        <v>99.903300000000002</v>
      </c>
      <c r="J32" s="136"/>
      <c r="K32" s="391">
        <f t="shared" si="2"/>
        <v>99.903300000000002</v>
      </c>
      <c r="L32" s="138" t="s">
        <v>496</v>
      </c>
    </row>
    <row r="33" spans="1:12" ht="20.85" customHeight="1" x14ac:dyDescent="0.2">
      <c r="A33" s="262" t="str">
        <f>Zones!B33</f>
        <v>L1 PARKING GARAGE</v>
      </c>
      <c r="B33" s="20">
        <f>Zones!M33</f>
        <v>62.706099999999999</v>
      </c>
      <c r="C33" s="260">
        <f>Zones!J33</f>
        <v>12541.22</v>
      </c>
      <c r="D33" s="365">
        <v>15</v>
      </c>
      <c r="E33" s="259">
        <f>0.03*C33+7.5*(1+Zones!E33)</f>
        <v>391.23659999999995</v>
      </c>
      <c r="F33" s="365">
        <v>0.15</v>
      </c>
      <c r="G33" s="258"/>
      <c r="H33" s="135">
        <f t="shared" si="0"/>
        <v>940.5915</v>
      </c>
      <c r="I33" s="135">
        <f t="shared" si="1"/>
        <v>1881.1829999999998</v>
      </c>
      <c r="J33" s="136"/>
      <c r="K33" s="391">
        <f t="shared" si="2"/>
        <v>1881.1829999999998</v>
      </c>
      <c r="L33" s="138"/>
    </row>
    <row r="34" spans="1:12" ht="20.85" customHeight="1" x14ac:dyDescent="0.2">
      <c r="A34" s="262" t="str">
        <f>Zones!B34</f>
        <v>L2 PARKING GARAGE</v>
      </c>
      <c r="B34" s="20">
        <f>Zones!M34</f>
        <v>62.706099999999999</v>
      </c>
      <c r="C34" s="260">
        <f>Zones!J34</f>
        <v>12541.22</v>
      </c>
      <c r="D34" s="365">
        <v>15</v>
      </c>
      <c r="E34" s="259">
        <f>0.03*C34+7.5*(1+Zones!E34)</f>
        <v>391.23659999999995</v>
      </c>
      <c r="F34" s="365">
        <v>0.15</v>
      </c>
      <c r="G34" s="258"/>
      <c r="H34" s="135">
        <f t="shared" si="0"/>
        <v>940.5915</v>
      </c>
      <c r="I34" s="135">
        <f t="shared" si="1"/>
        <v>1881.1829999999998</v>
      </c>
      <c r="J34" s="136"/>
      <c r="K34" s="391">
        <f t="shared" si="2"/>
        <v>1881.1829999999998</v>
      </c>
      <c r="L34" s="138"/>
    </row>
    <row r="35" spans="1:12" ht="15" x14ac:dyDescent="0.25">
      <c r="A35" s="263"/>
      <c r="B35"/>
      <c r="C35" s="209"/>
    </row>
    <row r="36" spans="1:12" x14ac:dyDescent="0.2">
      <c r="A36" s="263"/>
      <c r="B36" s="210"/>
      <c r="C36" s="209"/>
    </row>
    <row r="37" spans="1:12" x14ac:dyDescent="0.2">
      <c r="A37" s="263"/>
      <c r="B37" s="210"/>
      <c r="C37" s="209"/>
    </row>
    <row r="40" spans="1:12" customFormat="1" ht="15" x14ac:dyDescent="0.25">
      <c r="A40" s="264"/>
    </row>
  </sheetData>
  <mergeCells count="1">
    <mergeCell ref="A1:L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L62"/>
  <sheetViews>
    <sheetView zoomScaleNormal="100" workbookViewId="0">
      <selection sqref="A1:G1"/>
    </sheetView>
  </sheetViews>
  <sheetFormatPr defaultColWidth="8.7109375" defaultRowHeight="12.75" x14ac:dyDescent="0.2"/>
  <cols>
    <col min="1" max="1" width="25.28515625" style="4" customWidth="1"/>
    <col min="2" max="4" width="22.5703125" style="4" customWidth="1"/>
    <col min="5" max="5" width="21.42578125" style="4" customWidth="1"/>
    <col min="6" max="6" width="22.7109375" style="4" bestFit="1" customWidth="1"/>
    <col min="7" max="7" width="45" style="4" customWidth="1"/>
    <col min="8" max="8" width="72.42578125" style="4" customWidth="1"/>
    <col min="9" max="9" width="60.140625" style="4" customWidth="1"/>
    <col min="10" max="12" width="15.28515625" style="4" customWidth="1"/>
    <col min="13" max="13" width="12.28515625" style="4" customWidth="1"/>
    <col min="14" max="14" width="13.28515625" style="4" customWidth="1"/>
    <col min="15" max="15" width="15.28515625" style="4" customWidth="1"/>
    <col min="16" max="16" width="11" style="4" customWidth="1"/>
    <col min="17" max="20" width="15.28515625" style="4" customWidth="1"/>
    <col min="21" max="21" width="7.7109375" style="4" hidden="1" customWidth="1"/>
    <col min="22" max="22" width="12.42578125" style="4" hidden="1" customWidth="1"/>
    <col min="23" max="38" width="6.5703125" style="4" hidden="1" customWidth="1"/>
    <col min="39" max="39" width="15.28515625" style="4" customWidth="1"/>
    <col min="40" max="40" width="11.28515625" style="4" customWidth="1"/>
    <col min="41" max="41" width="6.28515625" style="4" customWidth="1"/>
    <col min="42" max="45" width="4.7109375" style="4" customWidth="1"/>
    <col min="46" max="46" width="6.28515625" style="4" customWidth="1"/>
    <col min="47" max="61" width="4.7109375" style="4" customWidth="1"/>
    <col min="62" max="16384" width="8.7109375" style="4"/>
  </cols>
  <sheetData>
    <row r="1" spans="1:16" s="6" customFormat="1" ht="24" customHeight="1" x14ac:dyDescent="0.25">
      <c r="A1" s="497" t="str">
        <f>"Water Heater - "&amp;Prototype!A2</f>
        <v>Water Heater - ApartmentHighRise</v>
      </c>
      <c r="B1" s="498"/>
      <c r="C1" s="498"/>
      <c r="D1" s="498"/>
      <c r="E1" s="498"/>
      <c r="F1" s="498"/>
      <c r="G1" s="498"/>
      <c r="H1"/>
    </row>
    <row r="2" spans="1:16" s="6" customFormat="1" ht="36" customHeight="1" x14ac:dyDescent="0.25">
      <c r="A2" s="390" t="s">
        <v>315</v>
      </c>
      <c r="B2" s="379" t="s">
        <v>497</v>
      </c>
      <c r="C2" s="379" t="s">
        <v>498</v>
      </c>
      <c r="D2" s="379" t="s">
        <v>499</v>
      </c>
      <c r="E2" s="380" t="s">
        <v>500</v>
      </c>
      <c r="F2" s="379" t="s">
        <v>380</v>
      </c>
      <c r="G2" s="381" t="s">
        <v>317</v>
      </c>
    </row>
    <row r="3" spans="1:16" s="6" customFormat="1" ht="46.5" customHeight="1" x14ac:dyDescent="0.25">
      <c r="A3" s="388" t="s">
        <v>430</v>
      </c>
      <c r="B3" s="217" t="s">
        <v>501</v>
      </c>
      <c r="C3" s="369">
        <v>0.8</v>
      </c>
      <c r="D3" s="139">
        <f>F46</f>
        <v>39.750170327999996</v>
      </c>
      <c r="E3" s="386">
        <f>G46</f>
        <v>751.43403077293726</v>
      </c>
      <c r="F3" s="501" t="s">
        <v>502</v>
      </c>
      <c r="G3" s="382"/>
    </row>
    <row r="4" spans="1:16" s="6" customFormat="1" ht="74.25" customHeight="1" x14ac:dyDescent="0.25">
      <c r="A4" s="389" t="s">
        <v>436</v>
      </c>
      <c r="B4" s="383" t="s">
        <v>501</v>
      </c>
      <c r="C4" s="383">
        <v>0.8</v>
      </c>
      <c r="D4" s="384">
        <f>D3</f>
        <v>39.750170327999996</v>
      </c>
      <c r="E4" s="387">
        <f>G48</f>
        <v>751.43403077293726</v>
      </c>
      <c r="F4" s="502"/>
      <c r="G4" s="385"/>
    </row>
    <row r="5" spans="1:16" s="6" customFormat="1" x14ac:dyDescent="0.25">
      <c r="A5" s="222" t="s">
        <v>503</v>
      </c>
      <c r="B5" s="8"/>
      <c r="C5" s="8"/>
      <c r="D5" s="8"/>
      <c r="E5" s="8"/>
    </row>
    <row r="6" spans="1:16" ht="14.65" customHeight="1" x14ac:dyDescent="0.2"/>
    <row r="8" spans="1:16" ht="22.9" customHeight="1" x14ac:dyDescent="0.2">
      <c r="A8" s="462" t="s">
        <v>504</v>
      </c>
      <c r="B8" s="462"/>
      <c r="C8" s="462"/>
      <c r="D8" s="462"/>
      <c r="E8" s="462"/>
      <c r="F8" s="462"/>
      <c r="G8" s="462"/>
    </row>
    <row r="9" spans="1:16" ht="89.25" x14ac:dyDescent="0.25">
      <c r="A9" s="140" t="s">
        <v>505</v>
      </c>
      <c r="B9" s="140" t="s">
        <v>506</v>
      </c>
      <c r="C9" s="140" t="s">
        <v>507</v>
      </c>
      <c r="D9" s="140" t="s">
        <v>486</v>
      </c>
      <c r="E9" s="140" t="s">
        <v>508</v>
      </c>
      <c r="F9" s="140" t="s">
        <v>509</v>
      </c>
      <c r="G9" s="140" t="s">
        <v>510</v>
      </c>
      <c r="H9"/>
      <c r="I9"/>
      <c r="J9"/>
      <c r="K9"/>
      <c r="L9"/>
      <c r="M9"/>
      <c r="N9"/>
      <c r="O9"/>
      <c r="P9"/>
    </row>
    <row r="10" spans="1:16" x14ac:dyDescent="0.2">
      <c r="A10" s="141" t="str">
        <f>Zones!B3</f>
        <v>F1 BUSINESS CENTER</v>
      </c>
      <c r="B10" s="233" t="s">
        <v>501</v>
      </c>
      <c r="C10" s="236">
        <f>Zones!J3*Zones!L3</f>
        <v>480.05</v>
      </c>
      <c r="D10" s="237">
        <f>Zones!M3*Zones!L3</f>
        <v>32.019335000000005</v>
      </c>
      <c r="E10" s="235">
        <v>0.18</v>
      </c>
      <c r="F10" s="238">
        <f>D10*E10</f>
        <v>5.7634803000000003</v>
      </c>
      <c r="G10" s="234">
        <f>F10/60</f>
        <v>9.6058005000000002E-2</v>
      </c>
      <c r="H10" s="7"/>
    </row>
    <row r="11" spans="1:16" x14ac:dyDescent="0.2">
      <c r="A11" s="141" t="str">
        <f>Zones!B4</f>
        <v>F1 FITNESS CENTER</v>
      </c>
      <c r="B11" s="233" t="s">
        <v>501</v>
      </c>
      <c r="C11" s="236">
        <f>Zones!J4*Zones!L4</f>
        <v>840.08</v>
      </c>
      <c r="D11" s="237">
        <f>Zones!M4*Zones!L4</f>
        <v>16.801600000000001</v>
      </c>
      <c r="E11" s="235">
        <v>0.18</v>
      </c>
      <c r="F11" s="238">
        <f t="shared" ref="F11:F41" si="0">D11*E11</f>
        <v>3.0242879999999999</v>
      </c>
      <c r="G11" s="234">
        <f t="shared" ref="G11:G41" si="1">F11/60</f>
        <v>5.04048E-2</v>
      </c>
    </row>
    <row r="12" spans="1:16" x14ac:dyDescent="0.2">
      <c r="A12" s="141" t="str">
        <f>Zones!B5</f>
        <v>F1 LEASING OFFICE</v>
      </c>
      <c r="B12" s="233" t="s">
        <v>501</v>
      </c>
      <c r="C12" s="236">
        <f>Zones!J5*Zones!L5</f>
        <v>180.02</v>
      </c>
      <c r="D12" s="237">
        <f>Zones!M5*Zones!L5</f>
        <v>1.8002</v>
      </c>
      <c r="E12" s="235">
        <v>0.18</v>
      </c>
      <c r="F12" s="238">
        <f t="shared" si="0"/>
        <v>0.32403599999999999</v>
      </c>
      <c r="G12" s="234">
        <f t="shared" si="1"/>
        <v>5.4006000000000002E-3</v>
      </c>
    </row>
    <row r="13" spans="1:16" x14ac:dyDescent="0.2">
      <c r="A13" s="141" t="str">
        <f>Zones!B6</f>
        <v>F1 LOUNGE</v>
      </c>
      <c r="B13" s="233" t="s">
        <v>501</v>
      </c>
      <c r="C13" s="236">
        <f>Zones!J6*Zones!L6</f>
        <v>1536.15</v>
      </c>
      <c r="D13" s="237">
        <f>Zones!M6*Zones!L6</f>
        <v>102.46120500000002</v>
      </c>
      <c r="E13" s="235">
        <v>0.18</v>
      </c>
      <c r="F13" s="238">
        <f t="shared" si="0"/>
        <v>18.443016900000003</v>
      </c>
      <c r="G13" s="234">
        <f t="shared" si="1"/>
        <v>0.30738361500000005</v>
      </c>
    </row>
    <row r="14" spans="1:16" x14ac:dyDescent="0.2">
      <c r="A14" s="141" t="str">
        <f>Zones!B7</f>
        <v>F1 RETAIL E CORE</v>
      </c>
      <c r="B14" s="233" t="s">
        <v>501</v>
      </c>
      <c r="C14" s="236">
        <f>Zones!J7*Zones!L7</f>
        <v>3168.31</v>
      </c>
      <c r="D14" s="237">
        <f>Zones!M7*Zones!L7</f>
        <v>52.910776999999996</v>
      </c>
      <c r="E14" s="235">
        <v>0.18</v>
      </c>
      <c r="F14" s="238">
        <f t="shared" si="0"/>
        <v>9.5239398599999987</v>
      </c>
      <c r="G14" s="234">
        <f t="shared" si="1"/>
        <v>0.15873233099999998</v>
      </c>
    </row>
    <row r="15" spans="1:16" x14ac:dyDescent="0.2">
      <c r="A15" s="141" t="str">
        <f>Zones!B8</f>
        <v>F1 RETAIL E OUTER</v>
      </c>
      <c r="B15" s="233" t="s">
        <v>501</v>
      </c>
      <c r="C15" s="236">
        <f>Zones!J8*Zones!L8</f>
        <v>1584.15</v>
      </c>
      <c r="D15" s="237">
        <f>Zones!M8*Zones!L8</f>
        <v>26.455304999999999</v>
      </c>
      <c r="E15" s="235">
        <v>0.18</v>
      </c>
      <c r="F15" s="238">
        <f t="shared" si="0"/>
        <v>4.7619549000000001</v>
      </c>
      <c r="G15" s="234">
        <f t="shared" si="1"/>
        <v>7.9365914999999995E-2</v>
      </c>
    </row>
    <row r="16" spans="1:16" x14ac:dyDescent="0.2">
      <c r="A16" s="141" t="str">
        <f>Zones!B9</f>
        <v>F1 RETAIL W CORE</v>
      </c>
      <c r="B16" s="233" t="s">
        <v>501</v>
      </c>
      <c r="C16" s="236">
        <f>Zones!J9*Zones!L9</f>
        <v>3168.31</v>
      </c>
      <c r="D16" s="237">
        <f>Zones!M9*Zones!L9</f>
        <v>52.910776999999996</v>
      </c>
      <c r="E16" s="235">
        <v>0.18</v>
      </c>
      <c r="F16" s="238">
        <f t="shared" si="0"/>
        <v>9.5239398599999987</v>
      </c>
      <c r="G16" s="234">
        <f t="shared" si="1"/>
        <v>0.15873233099999998</v>
      </c>
    </row>
    <row r="17" spans="1:7" x14ac:dyDescent="0.2">
      <c r="A17" s="141" t="str">
        <f>Zones!B10</f>
        <v>F1 RETAIL W OUTER</v>
      </c>
      <c r="B17" s="233"/>
      <c r="C17" s="236">
        <f>Zones!J10*Zones!L10</f>
        <v>1584.15</v>
      </c>
      <c r="D17" s="237">
        <f>Zones!M10*Zones!L10</f>
        <v>26.455304999999999</v>
      </c>
      <c r="E17" s="235"/>
      <c r="F17" s="238">
        <f t="shared" si="0"/>
        <v>0</v>
      </c>
      <c r="G17" s="234">
        <f t="shared" si="1"/>
        <v>0</v>
      </c>
    </row>
    <row r="18" spans="1:7" x14ac:dyDescent="0.2">
      <c r="A18" s="141" t="str">
        <f>Zones!B11</f>
        <v>F10 1-BED N</v>
      </c>
      <c r="B18" s="233" t="s">
        <v>501</v>
      </c>
      <c r="C18" s="236">
        <f>Zones!J11*Zones!L11</f>
        <v>1560.15</v>
      </c>
      <c r="D18" s="237">
        <f>Zones!M11*Zones!L11</f>
        <v>7.8007499999999999</v>
      </c>
      <c r="E18" s="235">
        <v>0.18</v>
      </c>
      <c r="F18" s="238">
        <f t="shared" si="0"/>
        <v>1.4041349999999999</v>
      </c>
      <c r="G18" s="234">
        <f t="shared" si="1"/>
        <v>2.3402249999999999E-2</v>
      </c>
    </row>
    <row r="19" spans="1:7" x14ac:dyDescent="0.2">
      <c r="A19" s="141" t="str">
        <f>Zones!B12</f>
        <v>F10 1-BED SE</v>
      </c>
      <c r="B19" s="233" t="s">
        <v>501</v>
      </c>
      <c r="C19" s="236">
        <f>Zones!J12*Zones!L12</f>
        <v>1560.15</v>
      </c>
      <c r="D19" s="237">
        <f>Zones!M12*Zones!L12</f>
        <v>7.8007499999999999</v>
      </c>
      <c r="E19" s="235">
        <v>0.18</v>
      </c>
      <c r="F19" s="238">
        <f t="shared" si="0"/>
        <v>1.4041349999999999</v>
      </c>
      <c r="G19" s="234">
        <f t="shared" si="1"/>
        <v>2.3402249999999999E-2</v>
      </c>
    </row>
    <row r="20" spans="1:7" x14ac:dyDescent="0.2">
      <c r="A20" s="141" t="str">
        <f>Zones!B13</f>
        <v>F10 1-BED SW</v>
      </c>
      <c r="B20" s="233" t="s">
        <v>501</v>
      </c>
      <c r="C20" s="236">
        <f>Zones!J13*Zones!L13</f>
        <v>1560.15</v>
      </c>
      <c r="D20" s="237">
        <f>Zones!M13*Zones!L13</f>
        <v>7.8007499999999999</v>
      </c>
      <c r="E20" s="235">
        <v>0.18</v>
      </c>
      <c r="F20" s="238">
        <f t="shared" si="0"/>
        <v>1.4041349999999999</v>
      </c>
      <c r="G20" s="234">
        <f t="shared" si="1"/>
        <v>2.3402249999999999E-2</v>
      </c>
    </row>
    <row r="21" spans="1:7" x14ac:dyDescent="0.2">
      <c r="A21" s="141" t="str">
        <f>Zones!B14</f>
        <v>F10 2-BED N CORE</v>
      </c>
      <c r="B21" s="233"/>
      <c r="C21" s="236">
        <f>Zones!J14*Zones!L14</f>
        <v>1080.1099999999999</v>
      </c>
      <c r="D21" s="237">
        <f>Zones!M14*Zones!L14</f>
        <v>5.4005499999999991</v>
      </c>
      <c r="E21" s="235"/>
      <c r="F21" s="238">
        <f t="shared" si="0"/>
        <v>0</v>
      </c>
      <c r="G21" s="234">
        <f t="shared" si="1"/>
        <v>0</v>
      </c>
    </row>
    <row r="22" spans="1:7" x14ac:dyDescent="0.2">
      <c r="A22" s="141" t="str">
        <f>Zones!B15</f>
        <v>F10 2-BED NE</v>
      </c>
      <c r="B22" s="233"/>
      <c r="C22" s="236">
        <f>Zones!J15*Zones!L15</f>
        <v>1080.1099999999999</v>
      </c>
      <c r="D22" s="237">
        <f>Zones!M15*Zones!L15</f>
        <v>5.4005499999999991</v>
      </c>
      <c r="E22" s="235"/>
      <c r="F22" s="238">
        <f t="shared" si="0"/>
        <v>0</v>
      </c>
      <c r="G22" s="234">
        <f t="shared" si="1"/>
        <v>0</v>
      </c>
    </row>
    <row r="23" spans="1:7" x14ac:dyDescent="0.2">
      <c r="A23" s="141" t="str">
        <f>Zones!B16</f>
        <v>F10 2-BED NW</v>
      </c>
      <c r="B23" s="233" t="s">
        <v>501</v>
      </c>
      <c r="C23" s="236">
        <f>Zones!J16*Zones!L16</f>
        <v>1080.1099999999999</v>
      </c>
      <c r="D23" s="237">
        <f>Zones!M16*Zones!L16</f>
        <v>5.4005499999999991</v>
      </c>
      <c r="E23" s="235">
        <v>0.18</v>
      </c>
      <c r="F23" s="238">
        <f t="shared" si="0"/>
        <v>0.97209899999999982</v>
      </c>
      <c r="G23" s="234">
        <f t="shared" si="1"/>
        <v>1.6201649999999998E-2</v>
      </c>
    </row>
    <row r="24" spans="1:7" x14ac:dyDescent="0.2">
      <c r="A24" s="141" t="str">
        <f>Zones!B17</f>
        <v>F10 2-BED SE</v>
      </c>
      <c r="B24" s="233"/>
      <c r="C24" s="236">
        <f>Zones!J17*Zones!L17</f>
        <v>1080.1099999999999</v>
      </c>
      <c r="D24" s="237">
        <f>Zones!M17*Zones!L17</f>
        <v>5.4005499999999991</v>
      </c>
      <c r="E24" s="235"/>
      <c r="F24" s="238">
        <f t="shared" si="0"/>
        <v>0</v>
      </c>
      <c r="G24" s="234">
        <f t="shared" si="1"/>
        <v>0</v>
      </c>
    </row>
    <row r="25" spans="1:7" x14ac:dyDescent="0.2">
      <c r="A25" s="141" t="str">
        <f>Zones!B18</f>
        <v>F10 2-BED SW</v>
      </c>
      <c r="B25" s="233"/>
      <c r="C25" s="236">
        <f>Zones!J18*Zones!L18</f>
        <v>1080.1099999999999</v>
      </c>
      <c r="D25" s="237">
        <f>Zones!M18*Zones!L18</f>
        <v>5.4005499999999991</v>
      </c>
      <c r="E25" s="235"/>
      <c r="F25" s="238">
        <f t="shared" si="0"/>
        <v>0</v>
      </c>
      <c r="G25" s="234">
        <f t="shared" si="1"/>
        <v>0</v>
      </c>
    </row>
    <row r="26" spans="1:7" x14ac:dyDescent="0.2">
      <c r="A26" s="141" t="str">
        <f>Zones!B19</f>
        <v>F10 CORRIDOR</v>
      </c>
      <c r="B26" s="233" t="s">
        <v>501</v>
      </c>
      <c r="C26" s="236">
        <f>Zones!J19*Zones!L19</f>
        <v>1200.1199999999999</v>
      </c>
      <c r="D26" s="237">
        <f>Zones!M19*Zones!L19</f>
        <v>12.001199999999999</v>
      </c>
      <c r="E26" s="235">
        <v>0.18</v>
      </c>
      <c r="F26" s="238">
        <f t="shared" si="0"/>
        <v>2.1602159999999997</v>
      </c>
      <c r="G26" s="234">
        <f t="shared" si="1"/>
        <v>3.6003599999999997E-2</v>
      </c>
    </row>
    <row r="27" spans="1:7" x14ac:dyDescent="0.2">
      <c r="A27" s="141" t="str">
        <f>Zones!B20</f>
        <v>F10 LAUNDRY</v>
      </c>
      <c r="B27" s="233"/>
      <c r="C27" s="236">
        <f>Zones!J20*Zones!L20</f>
        <v>180.02</v>
      </c>
      <c r="D27" s="237">
        <f>Zones!M20*Zones!L20</f>
        <v>1.8002</v>
      </c>
      <c r="E27" s="235"/>
      <c r="F27" s="238">
        <f t="shared" si="0"/>
        <v>0</v>
      </c>
      <c r="G27" s="234">
        <f t="shared" si="1"/>
        <v>0</v>
      </c>
    </row>
    <row r="28" spans="1:7" x14ac:dyDescent="0.2">
      <c r="A28" s="141" t="str">
        <f>Zones!B21</f>
        <v>F10 STUDIO N</v>
      </c>
      <c r="B28" s="233"/>
      <c r="C28" s="236">
        <f>Zones!J21*Zones!L21</f>
        <v>1080.1099999999999</v>
      </c>
      <c r="D28" s="237">
        <f>Zones!M21*Zones!L21</f>
        <v>5.4005499999999991</v>
      </c>
      <c r="E28" s="235">
        <v>0</v>
      </c>
      <c r="F28" s="238">
        <f t="shared" si="0"/>
        <v>0</v>
      </c>
      <c r="G28" s="234">
        <f t="shared" si="1"/>
        <v>0</v>
      </c>
    </row>
    <row r="29" spans="1:7" x14ac:dyDescent="0.2">
      <c r="A29" s="141" t="str">
        <f>Zones!B22</f>
        <v>F2-9 1-BED N</v>
      </c>
      <c r="B29" s="233" t="s">
        <v>501</v>
      </c>
      <c r="C29" s="236">
        <f>Zones!J22*Zones!L22</f>
        <v>12481.2</v>
      </c>
      <c r="D29" s="237">
        <f>Zones!M22*Zones!L22</f>
        <v>62.405999999999999</v>
      </c>
      <c r="E29" s="235">
        <v>0.18</v>
      </c>
      <c r="F29" s="238">
        <f t="shared" si="0"/>
        <v>11.233079999999999</v>
      </c>
      <c r="G29" s="234">
        <f t="shared" si="1"/>
        <v>0.187218</v>
      </c>
    </row>
    <row r="30" spans="1:7" x14ac:dyDescent="0.2">
      <c r="A30" s="141" t="str">
        <f>Zones!B23</f>
        <v>F2-9 1-BED SE</v>
      </c>
      <c r="B30" s="233"/>
      <c r="C30" s="236">
        <f>Zones!J23*Zones!L23</f>
        <v>12481.2</v>
      </c>
      <c r="D30" s="237">
        <f>Zones!M23*Zones!L23</f>
        <v>62.405999999999999</v>
      </c>
      <c r="E30" s="235">
        <v>0</v>
      </c>
      <c r="F30" s="238">
        <f t="shared" si="0"/>
        <v>0</v>
      </c>
      <c r="G30" s="234">
        <f t="shared" si="1"/>
        <v>0</v>
      </c>
    </row>
    <row r="31" spans="1:7" x14ac:dyDescent="0.2">
      <c r="A31" s="141" t="str">
        <f>Zones!B24</f>
        <v>F2-9 1-BED SW</v>
      </c>
      <c r="B31" s="233"/>
      <c r="C31" s="236">
        <f>Zones!J24*Zones!L24</f>
        <v>12481.2</v>
      </c>
      <c r="D31" s="237">
        <f>Zones!M24*Zones!L24</f>
        <v>62.405999999999999</v>
      </c>
      <c r="E31" s="235"/>
      <c r="F31" s="238">
        <f t="shared" si="0"/>
        <v>0</v>
      </c>
      <c r="G31" s="234">
        <f t="shared" si="1"/>
        <v>0</v>
      </c>
    </row>
    <row r="32" spans="1:7" x14ac:dyDescent="0.2">
      <c r="A32" s="141" t="str">
        <f>Zones!B25</f>
        <v>F2-9 2-BED N CORE</v>
      </c>
      <c r="B32" s="233" t="s">
        <v>501</v>
      </c>
      <c r="C32" s="236">
        <f>Zones!J25*Zones!L25</f>
        <v>8640.8799999999992</v>
      </c>
      <c r="D32" s="237">
        <f>Zones!M25*Zones!L25</f>
        <v>43.204399999999993</v>
      </c>
      <c r="E32" s="235">
        <v>0.18</v>
      </c>
      <c r="F32" s="238">
        <f t="shared" si="0"/>
        <v>7.7767919999999986</v>
      </c>
      <c r="G32" s="234">
        <f t="shared" si="1"/>
        <v>0.12961319999999998</v>
      </c>
    </row>
    <row r="33" spans="1:10" x14ac:dyDescent="0.2">
      <c r="A33" s="141" t="str">
        <f>Zones!B26</f>
        <v>F2-9 2-BED NE</v>
      </c>
      <c r="B33" s="233"/>
      <c r="C33" s="236">
        <f>Zones!J26*Zones!L26</f>
        <v>8640.8799999999992</v>
      </c>
      <c r="D33" s="237">
        <f>Zones!M26*Zones!L26</f>
        <v>43.204399999999993</v>
      </c>
      <c r="E33" s="235">
        <v>0</v>
      </c>
      <c r="F33" s="238">
        <f t="shared" si="0"/>
        <v>0</v>
      </c>
      <c r="G33" s="234">
        <f t="shared" si="1"/>
        <v>0</v>
      </c>
    </row>
    <row r="34" spans="1:10" x14ac:dyDescent="0.2">
      <c r="A34" s="141" t="str">
        <f>Zones!B27</f>
        <v>F2-9 2-BED NW</v>
      </c>
      <c r="B34" s="233"/>
      <c r="C34" s="236">
        <f>Zones!J27*Zones!L27</f>
        <v>8640.8799999999992</v>
      </c>
      <c r="D34" s="237">
        <f>Zones!M27*Zones!L27</f>
        <v>43.204399999999993</v>
      </c>
      <c r="E34" s="235">
        <v>0</v>
      </c>
      <c r="F34" s="238">
        <f t="shared" si="0"/>
        <v>0</v>
      </c>
      <c r="G34" s="234">
        <f t="shared" si="1"/>
        <v>0</v>
      </c>
    </row>
    <row r="35" spans="1:10" x14ac:dyDescent="0.2">
      <c r="A35" s="141" t="str">
        <f>Zones!B28</f>
        <v>F2-9 2-BED SE</v>
      </c>
      <c r="B35" s="233" t="s">
        <v>501</v>
      </c>
      <c r="C35" s="236">
        <f>Zones!J28*Zones!L28</f>
        <v>8640.8799999999992</v>
      </c>
      <c r="D35" s="237">
        <f>Zones!M28*Zones!L28</f>
        <v>43.204399999999993</v>
      </c>
      <c r="E35" s="235">
        <v>0.18</v>
      </c>
      <c r="F35" s="238">
        <f t="shared" si="0"/>
        <v>7.7767919999999986</v>
      </c>
      <c r="G35" s="234">
        <f t="shared" si="1"/>
        <v>0.12961319999999998</v>
      </c>
    </row>
    <row r="36" spans="1:10" x14ac:dyDescent="0.2">
      <c r="A36" s="141" t="str">
        <f>Zones!B29</f>
        <v>F2-9 2-BED SW</v>
      </c>
      <c r="B36" s="233"/>
      <c r="C36" s="236">
        <f>Zones!J29*Zones!L29</f>
        <v>8640.8799999999992</v>
      </c>
      <c r="D36" s="237">
        <f>Zones!M29*Zones!L29</f>
        <v>43.204399999999993</v>
      </c>
      <c r="E36" s="235">
        <v>0</v>
      </c>
      <c r="F36" s="238">
        <f t="shared" si="0"/>
        <v>0</v>
      </c>
      <c r="G36" s="234">
        <f t="shared" si="1"/>
        <v>0</v>
      </c>
    </row>
    <row r="37" spans="1:10" x14ac:dyDescent="0.2">
      <c r="A37" s="141" t="str">
        <f>Zones!B30</f>
        <v>F2-9 CORRIDOR</v>
      </c>
      <c r="B37" s="233"/>
      <c r="C37" s="236">
        <f>Zones!J30*Zones!L30</f>
        <v>9600.9599999999991</v>
      </c>
      <c r="D37" s="237">
        <f>Zones!M30*Zones!L30</f>
        <v>96.009599999999992</v>
      </c>
      <c r="E37" s="235">
        <v>0</v>
      </c>
      <c r="F37" s="238">
        <f t="shared" si="0"/>
        <v>0</v>
      </c>
      <c r="G37" s="234">
        <f t="shared" si="1"/>
        <v>0</v>
      </c>
    </row>
    <row r="38" spans="1:10" x14ac:dyDescent="0.2">
      <c r="A38" s="141" t="str">
        <f>Zones!B31</f>
        <v>F2-9 LAUNDRY</v>
      </c>
      <c r="B38" s="233" t="s">
        <v>501</v>
      </c>
      <c r="C38" s="236">
        <f>Zones!J31*Zones!L31</f>
        <v>1440.16</v>
      </c>
      <c r="D38" s="237">
        <f>Zones!M31*Zones!L31</f>
        <v>14.4016</v>
      </c>
      <c r="E38" s="235">
        <v>0.18</v>
      </c>
      <c r="F38" s="238">
        <f t="shared" si="0"/>
        <v>2.5922879999999999</v>
      </c>
      <c r="G38" s="234">
        <f t="shared" si="1"/>
        <v>4.3204800000000002E-2</v>
      </c>
    </row>
    <row r="39" spans="1:10" x14ac:dyDescent="0.2">
      <c r="A39" s="141" t="str">
        <f>Zones!B32</f>
        <v>F2-9 STUDIO N</v>
      </c>
      <c r="B39" s="233"/>
      <c r="C39" s="236">
        <f>Zones!J32*Zones!L32</f>
        <v>8640.8799999999992</v>
      </c>
      <c r="D39" s="237">
        <f>Zones!M32*Zones!L32</f>
        <v>43.204399999999993</v>
      </c>
      <c r="E39" s="235"/>
      <c r="F39" s="238">
        <f t="shared" si="0"/>
        <v>0</v>
      </c>
      <c r="G39" s="234">
        <f t="shared" si="1"/>
        <v>0</v>
      </c>
    </row>
    <row r="40" spans="1:10" x14ac:dyDescent="0.2">
      <c r="A40" s="141" t="str">
        <f>Zones!B33</f>
        <v>L1 PARKING GARAGE</v>
      </c>
      <c r="B40" s="233"/>
      <c r="C40" s="236">
        <f>Zones!J33*Zones!L33</f>
        <v>12541.22</v>
      </c>
      <c r="D40" s="237">
        <f>Zones!M33*Zones!L33</f>
        <v>62.706099999999999</v>
      </c>
      <c r="E40" s="235">
        <v>0</v>
      </c>
      <c r="F40" s="238">
        <f t="shared" si="0"/>
        <v>0</v>
      </c>
      <c r="G40" s="234">
        <f t="shared" si="1"/>
        <v>0</v>
      </c>
    </row>
    <row r="41" spans="1:10" x14ac:dyDescent="0.2">
      <c r="A41" s="141" t="str">
        <f>Zones!B34</f>
        <v>L2 PARKING GARAGE</v>
      </c>
      <c r="B41" s="233" t="s">
        <v>501</v>
      </c>
      <c r="C41" s="236">
        <f>Zones!J34*Zones!L34</f>
        <v>12541.22</v>
      </c>
      <c r="D41" s="237">
        <f>Zones!M34*Zones!L34</f>
        <v>62.706099999999999</v>
      </c>
      <c r="E41" s="235">
        <v>0.18</v>
      </c>
      <c r="F41" s="238">
        <f t="shared" si="0"/>
        <v>11.287098</v>
      </c>
      <c r="G41" s="234">
        <f t="shared" si="1"/>
        <v>0.18811830000000002</v>
      </c>
    </row>
    <row r="43" spans="1:10" ht="18" customHeight="1" x14ac:dyDescent="0.2">
      <c r="A43" s="462" t="s">
        <v>511</v>
      </c>
      <c r="B43" s="462"/>
      <c r="C43" s="462"/>
      <c r="D43" s="462"/>
      <c r="E43" s="462"/>
      <c r="F43" s="462"/>
      <c r="G43" s="462"/>
      <c r="H43" s="462"/>
      <c r="I43" s="242"/>
    </row>
    <row r="44" spans="1:10" ht="57.6" customHeight="1" x14ac:dyDescent="0.2">
      <c r="A44" s="142" t="s">
        <v>497</v>
      </c>
      <c r="B44" s="140" t="s">
        <v>509</v>
      </c>
      <c r="C44" s="140" t="s">
        <v>512</v>
      </c>
      <c r="D44" s="140" t="s">
        <v>513</v>
      </c>
      <c r="E44" s="140" t="s">
        <v>514</v>
      </c>
      <c r="F44" s="140" t="s">
        <v>515</v>
      </c>
      <c r="G44" s="500" t="s">
        <v>516</v>
      </c>
      <c r="H44" s="500"/>
      <c r="I44" s="243" t="s">
        <v>517</v>
      </c>
      <c r="J44" s="143"/>
    </row>
    <row r="45" spans="1:10" ht="30.75" customHeight="1" x14ac:dyDescent="0.2">
      <c r="A45" s="144" t="s">
        <v>518</v>
      </c>
      <c r="B45" s="230">
        <f>SUMIFS(F10:F41,B10:B41,"Gas")</f>
        <v>99.37542581999999</v>
      </c>
      <c r="C45" s="230">
        <f>B45*($B$58-B59)*8.2877*1</f>
        <v>61769.528742631039</v>
      </c>
      <c r="D45" s="230">
        <f>C45*B50</f>
        <v>37061.71724557862</v>
      </c>
      <c r="E45" s="231">
        <f>D45/C3</f>
        <v>46327.146556973275</v>
      </c>
      <c r="F45" s="232">
        <f>ROUNDUP((B45*F46)/B46,0)</f>
        <v>40</v>
      </c>
      <c r="G45" s="228">
        <f>(E45/800)+110*SQRT(F45)</f>
        <v>753.61001843326005</v>
      </c>
      <c r="H45" s="227" t="s">
        <v>519</v>
      </c>
      <c r="I45" s="244">
        <f>G45/B55</f>
        <v>12.155000297310647</v>
      </c>
    </row>
    <row r="46" spans="1:10" ht="27" customHeight="1" x14ac:dyDescent="0.2">
      <c r="A46" s="145" t="s">
        <v>222</v>
      </c>
      <c r="B46" s="230">
        <f>B45</f>
        <v>99.37542581999999</v>
      </c>
      <c r="C46" s="230">
        <f>C45</f>
        <v>61769.528742631039</v>
      </c>
      <c r="D46" s="230">
        <f>D45</f>
        <v>37061.71724557862</v>
      </c>
      <c r="E46" s="231">
        <f>D46/0.8</f>
        <v>46327.146556973275</v>
      </c>
      <c r="F46" s="232">
        <f>B46*1*B61</f>
        <v>39.750170327999996</v>
      </c>
      <c r="G46" s="228">
        <f>(E46/800)+110*SQRT(F46)</f>
        <v>751.43403077293726</v>
      </c>
      <c r="H46" s="227"/>
      <c r="I46" s="231"/>
    </row>
    <row r="47" spans="1:10" x14ac:dyDescent="0.2">
      <c r="G47" s="229"/>
      <c r="H47" s="6"/>
    </row>
    <row r="48" spans="1:10" s="6" customFormat="1" x14ac:dyDescent="0.25">
      <c r="A48" s="6" t="s">
        <v>520</v>
      </c>
      <c r="B48" s="6">
        <v>135</v>
      </c>
      <c r="C48" s="360" t="s">
        <v>521</v>
      </c>
      <c r="F48" s="217" t="s">
        <v>522</v>
      </c>
      <c r="G48" s="44">
        <f>(E46/800)+110*SQRT(F46)</f>
        <v>751.43403077293726</v>
      </c>
      <c r="H48" s="223" t="s">
        <v>523</v>
      </c>
      <c r="I48" s="44">
        <f>G48/B55</f>
        <v>12.11990372214415</v>
      </c>
    </row>
    <row r="49" spans="1:9" s="6" customFormat="1" x14ac:dyDescent="0.25">
      <c r="A49" s="6" t="s">
        <v>524</v>
      </c>
      <c r="B49" s="6">
        <v>55</v>
      </c>
      <c r="C49" s="360" t="s">
        <v>525</v>
      </c>
    </row>
    <row r="50" spans="1:9" s="6" customFormat="1" ht="15" x14ac:dyDescent="0.25">
      <c r="A50" s="1" t="s">
        <v>526</v>
      </c>
      <c r="B50" s="6">
        <v>0.6</v>
      </c>
      <c r="C50" s="360" t="s">
        <v>525</v>
      </c>
    </row>
    <row r="51" spans="1:9" s="6" customFormat="1" x14ac:dyDescent="0.25">
      <c r="A51" s="6" t="s">
        <v>527</v>
      </c>
      <c r="B51" s="6">
        <v>0.4</v>
      </c>
    </row>
    <row r="52" spans="1:9" s="6" customFormat="1" ht="24.6" customHeight="1" x14ac:dyDescent="0.25">
      <c r="A52" s="402" t="s">
        <v>528</v>
      </c>
      <c r="B52" s="402"/>
      <c r="C52" s="402"/>
      <c r="D52" s="402"/>
      <c r="E52" s="402"/>
      <c r="F52" s="402"/>
      <c r="G52" s="402"/>
    </row>
    <row r="53" spans="1:9" s="6" customFormat="1" ht="24.6" customHeight="1" x14ac:dyDescent="0.2">
      <c r="A53" s="4" t="s">
        <v>529</v>
      </c>
      <c r="B53" s="4"/>
      <c r="C53" s="8"/>
      <c r="D53" s="8"/>
      <c r="E53" s="8"/>
      <c r="F53" s="8"/>
      <c r="G53" s="8"/>
    </row>
    <row r="54" spans="1:9" s="6" customFormat="1" ht="24.6" customHeight="1" x14ac:dyDescent="0.2">
      <c r="A54" s="4" t="s">
        <v>530</v>
      </c>
      <c r="B54" s="4">
        <v>68</v>
      </c>
      <c r="C54" s="8"/>
      <c r="D54" s="8"/>
      <c r="E54" s="8"/>
      <c r="F54" s="8"/>
      <c r="G54" s="8"/>
    </row>
    <row r="55" spans="1:9" s="6" customFormat="1" ht="24.6" customHeight="1" x14ac:dyDescent="0.2">
      <c r="A55" s="4" t="s">
        <v>531</v>
      </c>
      <c r="B55" s="4">
        <f>B58-B54</f>
        <v>62</v>
      </c>
      <c r="C55" s="8"/>
      <c r="D55" s="8"/>
      <c r="E55" s="8"/>
      <c r="F55" s="8"/>
      <c r="G55" s="8"/>
    </row>
    <row r="56" spans="1:9" s="6" customFormat="1" ht="24.6" customHeight="1" x14ac:dyDescent="0.2">
      <c r="A56" s="4" t="s">
        <v>532</v>
      </c>
      <c r="B56" s="4"/>
      <c r="C56" s="8"/>
      <c r="D56" s="8"/>
      <c r="E56" s="8"/>
      <c r="F56" s="8"/>
      <c r="G56" s="8"/>
    </row>
    <row r="57" spans="1:9" x14ac:dyDescent="0.2">
      <c r="F57" s="9" t="s">
        <v>533</v>
      </c>
    </row>
    <row r="58" spans="1:9" x14ac:dyDescent="0.2">
      <c r="A58" s="4" t="s">
        <v>520</v>
      </c>
      <c r="B58" s="361">
        <v>130</v>
      </c>
      <c r="C58" s="4" t="s">
        <v>521</v>
      </c>
    </row>
    <row r="59" spans="1:9" x14ac:dyDescent="0.2">
      <c r="A59" s="4" t="s">
        <v>524</v>
      </c>
      <c r="B59" s="361">
        <v>55</v>
      </c>
      <c r="C59" s="4" t="s">
        <v>525</v>
      </c>
      <c r="E59" s="224"/>
      <c r="F59" s="225"/>
      <c r="I59" s="361"/>
    </row>
    <row r="60" spans="1:9" ht="14.25" x14ac:dyDescent="0.2">
      <c r="A60" s="2" t="s">
        <v>526</v>
      </c>
      <c r="B60" s="361">
        <v>0.6</v>
      </c>
      <c r="C60" s="4" t="s">
        <v>525</v>
      </c>
      <c r="F60" s="225"/>
      <c r="I60" s="361"/>
    </row>
    <row r="61" spans="1:9" x14ac:dyDescent="0.2">
      <c r="A61" s="4" t="s">
        <v>527</v>
      </c>
      <c r="B61" s="226">
        <v>0.4</v>
      </c>
      <c r="C61" s="4" t="s">
        <v>525</v>
      </c>
      <c r="F61" s="225"/>
      <c r="I61" s="361"/>
    </row>
    <row r="62" spans="1:9" ht="25.9" customHeight="1" x14ac:dyDescent="0.2">
      <c r="A62" s="499" t="s">
        <v>528</v>
      </c>
      <c r="B62" s="499"/>
      <c r="C62" s="499"/>
      <c r="D62" s="499"/>
      <c r="E62" s="499"/>
      <c r="F62" s="499"/>
      <c r="G62" s="499"/>
      <c r="H62" s="499"/>
      <c r="I62" s="499"/>
    </row>
  </sheetData>
  <mergeCells count="7">
    <mergeCell ref="A1:G1"/>
    <mergeCell ref="A52:G52"/>
    <mergeCell ref="A62:I62"/>
    <mergeCell ref="A8:G8"/>
    <mergeCell ref="G44:H44"/>
    <mergeCell ref="F3:F4"/>
    <mergeCell ref="A43:H43"/>
  </mergeCells>
  <hyperlinks>
    <hyperlink ref="F57" r:id="rId1" xr:uid="{9DAA0F6A-4EBC-4BFF-B745-45736F569EC2}"/>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G211"/>
  <sheetViews>
    <sheetView zoomScale="80" zoomScaleNormal="80" workbookViewId="0">
      <pane ySplit="3" topLeftCell="A4" activePane="bottomLeft" state="frozen"/>
      <selection pane="bottomLeft" sqref="A1:G1"/>
    </sheetView>
  </sheetViews>
  <sheetFormatPr defaultColWidth="8.7109375" defaultRowHeight="12.75" x14ac:dyDescent="0.2"/>
  <cols>
    <col min="1" max="1" width="43.28515625" style="4" customWidth="1"/>
    <col min="2" max="2" width="20.5703125" style="4" customWidth="1"/>
    <col min="3" max="3" width="22.7109375" style="4" customWidth="1"/>
    <col min="4" max="4" width="32.28515625" style="4" customWidth="1"/>
    <col min="5" max="5" width="20.28515625" style="4" customWidth="1"/>
    <col min="6" max="6" width="22.140625" style="4" customWidth="1"/>
    <col min="7" max="7" width="25.85546875" style="4" customWidth="1"/>
    <col min="8" max="8" width="9.7109375" style="4" customWidth="1"/>
    <col min="9" max="9" width="13.28515625" style="4" customWidth="1"/>
    <col min="10" max="10" width="24" style="4" customWidth="1"/>
    <col min="11" max="11" width="10.5703125" style="4" customWidth="1"/>
    <col min="12" max="12" width="11.42578125" style="4" customWidth="1"/>
    <col min="13" max="13" width="10.5703125" style="4" customWidth="1"/>
    <col min="14" max="14" width="13.28515625" style="4" customWidth="1"/>
    <col min="15" max="15" width="9.7109375" style="4" customWidth="1"/>
    <col min="16" max="16" width="9.42578125" style="4" customWidth="1"/>
    <col min="17" max="17" width="12.7109375" style="4" customWidth="1"/>
    <col min="18" max="18" width="14.7109375" style="4" customWidth="1"/>
    <col min="19" max="19" width="20.7109375" style="4" customWidth="1"/>
    <col min="20" max="20" width="19.7109375" style="4" customWidth="1"/>
    <col min="21" max="26" width="8.7109375" style="4"/>
    <col min="27" max="27" width="13.7109375" style="4" bestFit="1" customWidth="1"/>
    <col min="28" max="16384" width="8.7109375" style="4"/>
  </cols>
  <sheetData>
    <row r="1" spans="1:7" ht="25.9" customHeight="1" x14ac:dyDescent="0.2">
      <c r="A1" s="495" t="str">
        <f>"Interior Lighting - "&amp;Prototype!A2</f>
        <v>Interior Lighting - ApartmentHighRise</v>
      </c>
      <c r="B1" s="495"/>
      <c r="C1" s="495"/>
      <c r="D1" s="495"/>
      <c r="E1" s="495"/>
      <c r="F1" s="495"/>
      <c r="G1" s="495"/>
    </row>
    <row r="2" spans="1:7" ht="25.15" customHeight="1" x14ac:dyDescent="0.2">
      <c r="A2" s="504" t="s">
        <v>67</v>
      </c>
      <c r="B2" s="503" t="s">
        <v>534</v>
      </c>
      <c r="C2" s="503"/>
      <c r="D2" s="503"/>
      <c r="E2" s="503" t="s">
        <v>461</v>
      </c>
      <c r="F2" s="503"/>
      <c r="G2" s="503"/>
    </row>
    <row r="3" spans="1:7" ht="42" customHeight="1" x14ac:dyDescent="0.2">
      <c r="A3" s="504"/>
      <c r="B3" s="372" t="s">
        <v>535</v>
      </c>
      <c r="C3" s="372" t="s">
        <v>536</v>
      </c>
      <c r="D3" s="372" t="s">
        <v>380</v>
      </c>
      <c r="E3" s="372" t="s">
        <v>537</v>
      </c>
      <c r="F3" s="372" t="s">
        <v>536</v>
      </c>
      <c r="G3" s="372" t="s">
        <v>380</v>
      </c>
    </row>
    <row r="4" spans="1:7" ht="24.95" customHeight="1" x14ac:dyDescent="0.2">
      <c r="A4" s="369" t="str">
        <f>Zones!A3</f>
        <v>Convention, Conference, Multipurpose and Meeting Area</v>
      </c>
      <c r="B4" s="152">
        <v>0.75</v>
      </c>
      <c r="C4" s="505" t="s">
        <v>85</v>
      </c>
      <c r="D4" s="505" t="s">
        <v>538</v>
      </c>
      <c r="E4" s="152">
        <v>0.85</v>
      </c>
      <c r="F4" s="508" t="s">
        <v>85</v>
      </c>
      <c r="G4" s="505" t="s">
        <v>539</v>
      </c>
    </row>
    <row r="5" spans="1:7" ht="24.95" customHeight="1" x14ac:dyDescent="0.2">
      <c r="A5" s="369" t="str">
        <f>Zones!A4</f>
        <v>Exercise/Fitness Center and Gymnasium Areas</v>
      </c>
      <c r="B5" s="152">
        <v>0.5</v>
      </c>
      <c r="C5" s="506"/>
      <c r="D5" s="506"/>
      <c r="E5" s="152">
        <v>1</v>
      </c>
      <c r="F5" s="509"/>
      <c r="G5" s="506"/>
    </row>
    <row r="6" spans="1:7" ht="24.95" customHeight="1" x14ac:dyDescent="0.2">
      <c r="A6" s="369" t="str">
        <f>Zones!A5</f>
        <v>Office Area (&gt;250 square feet)</v>
      </c>
      <c r="B6" s="152">
        <v>0.65</v>
      </c>
      <c r="C6" s="506"/>
      <c r="D6" s="506"/>
      <c r="E6" s="152">
        <v>0.65</v>
      </c>
      <c r="F6" s="509"/>
      <c r="G6" s="506"/>
    </row>
    <row r="7" spans="1:7" ht="24.95" customHeight="1" x14ac:dyDescent="0.2">
      <c r="A7" s="369" t="str">
        <f>Zones!A6</f>
        <v>Lobby, Main Entry</v>
      </c>
      <c r="B7" s="152">
        <v>0.7</v>
      </c>
      <c r="C7" s="506"/>
      <c r="D7" s="506"/>
      <c r="E7" s="152">
        <v>0.95</v>
      </c>
      <c r="F7" s="509"/>
      <c r="G7" s="506"/>
    </row>
    <row r="8" spans="1:7" ht="24.95" customHeight="1" x14ac:dyDescent="0.2">
      <c r="A8" s="369" t="str">
        <f>Zones!A19</f>
        <v>Corridor Area</v>
      </c>
      <c r="B8" s="152">
        <v>0.4</v>
      </c>
      <c r="C8" s="506"/>
      <c r="D8" s="506"/>
      <c r="E8" s="153">
        <v>0.6</v>
      </c>
      <c r="F8" s="509"/>
      <c r="G8" s="506"/>
    </row>
    <row r="9" spans="1:7" ht="24.95" customHeight="1" x14ac:dyDescent="0.2">
      <c r="A9" s="369" t="str">
        <f>Zones!A20</f>
        <v xml:space="preserve">Laundry Area </v>
      </c>
      <c r="B9" s="152">
        <v>0.45</v>
      </c>
      <c r="C9" s="506"/>
      <c r="D9" s="506"/>
      <c r="E9" s="153">
        <v>0.45</v>
      </c>
      <c r="F9" s="509"/>
      <c r="G9" s="506"/>
    </row>
    <row r="10" spans="1:7" ht="24.95" customHeight="1" x14ac:dyDescent="0.2">
      <c r="A10" s="369" t="str">
        <f>Zones!A7</f>
        <v>Retail Space</v>
      </c>
      <c r="B10" s="152">
        <v>0.95</v>
      </c>
      <c r="C10" s="506"/>
      <c r="D10" s="506"/>
      <c r="E10" s="153">
        <v>1</v>
      </c>
      <c r="F10" s="509"/>
      <c r="G10" s="506"/>
    </row>
    <row r="11" spans="1:7" ht="24.95" customHeight="1" x14ac:dyDescent="0.2">
      <c r="A11" s="369" t="str">
        <f>Zones!A33</f>
        <v>Parking Garage Area (Parking Zone and Ramps)</v>
      </c>
      <c r="B11" s="152">
        <v>0.1</v>
      </c>
      <c r="C11" s="506"/>
      <c r="D11" s="506"/>
      <c r="E11" s="153">
        <v>0.14000000000000001</v>
      </c>
      <c r="F11" s="509"/>
      <c r="G11" s="506"/>
    </row>
    <row r="12" spans="1:7" ht="36.75" customHeight="1" x14ac:dyDescent="0.2">
      <c r="A12" s="369" t="str">
        <f>Zones!A11</f>
        <v>High-Rise Residential Living Spaces</v>
      </c>
      <c r="B12" s="335">
        <v>0.79</v>
      </c>
      <c r="C12" s="507"/>
      <c r="D12" s="217" t="s">
        <v>540</v>
      </c>
      <c r="E12" s="335">
        <v>0.79</v>
      </c>
      <c r="F12" s="510"/>
      <c r="G12" s="217" t="s">
        <v>541</v>
      </c>
    </row>
    <row r="13" spans="1:7" ht="16.899999999999999" customHeight="1" x14ac:dyDescent="0.2">
      <c r="A13" s="8"/>
      <c r="B13" s="148"/>
      <c r="C13" s="82"/>
      <c r="D13" s="82"/>
      <c r="E13" s="148"/>
      <c r="G13" s="82"/>
    </row>
    <row r="14" spans="1:7" ht="16.899999999999999" customHeight="1" x14ac:dyDescent="0.2">
      <c r="A14" s="149" t="s">
        <v>542</v>
      </c>
      <c r="B14" s="150"/>
      <c r="C14" s="150"/>
      <c r="D14" s="150"/>
      <c r="E14" s="150"/>
      <c r="F14" s="151"/>
      <c r="G14" s="151"/>
    </row>
    <row r="15" spans="1:7" ht="13.15" customHeight="1" x14ac:dyDescent="0.2">
      <c r="B15" s="24"/>
      <c r="C15" s="24"/>
      <c r="D15" s="24"/>
      <c r="E15" s="24"/>
    </row>
    <row r="16" spans="1:7" s="25" customFormat="1" ht="13.15" hidden="1" customHeight="1" x14ac:dyDescent="0.2">
      <c r="A16" s="25" t="s">
        <v>175</v>
      </c>
      <c r="F16" s="26"/>
      <c r="G16" s="27"/>
    </row>
    <row r="17" ht="13.15" customHeight="1" x14ac:dyDescent="0.2"/>
    <row r="36" customFormat="1" ht="15" x14ac:dyDescent="0.25"/>
    <row r="37" customFormat="1" ht="15" x14ac:dyDescent="0.25"/>
    <row r="38" customFormat="1" ht="15" x14ac:dyDescent="0.25"/>
    <row r="39" customFormat="1" ht="15" x14ac:dyDescent="0.25"/>
    <row r="40" customFormat="1" ht="15" x14ac:dyDescent="0.25"/>
    <row r="41" customFormat="1" ht="15" x14ac:dyDescent="0.25"/>
    <row r="42" customFormat="1" ht="15" x14ac:dyDescent="0.25"/>
    <row r="43" customFormat="1" ht="15" x14ac:dyDescent="0.25"/>
    <row r="44" customFormat="1" ht="15" x14ac:dyDescent="0.25"/>
    <row r="45" customFormat="1" ht="15" x14ac:dyDescent="0.25"/>
    <row r="46" customFormat="1" ht="15" x14ac:dyDescent="0.25"/>
    <row r="47" customFormat="1" ht="15" x14ac:dyDescent="0.25"/>
    <row r="48" customFormat="1" ht="15" x14ac:dyDescent="0.25"/>
    <row r="49" customFormat="1" ht="15" x14ac:dyDescent="0.25"/>
    <row r="50" customFormat="1" ht="15" x14ac:dyDescent="0.25"/>
    <row r="51" customFormat="1" ht="15" x14ac:dyDescent="0.25"/>
    <row r="52" customFormat="1" ht="15" x14ac:dyDescent="0.25"/>
    <row r="53" customFormat="1" ht="15" x14ac:dyDescent="0.25"/>
    <row r="54" customFormat="1" ht="15" x14ac:dyDescent="0.25"/>
    <row r="55" customFormat="1" ht="15" x14ac:dyDescent="0.25"/>
    <row r="56" customFormat="1" ht="15" x14ac:dyDescent="0.25"/>
    <row r="57" customFormat="1" ht="15" x14ac:dyDescent="0.25"/>
    <row r="58" customFormat="1" ht="15" x14ac:dyDescent="0.25"/>
    <row r="59" customFormat="1" ht="15" x14ac:dyDescent="0.25"/>
    <row r="60" customFormat="1" ht="15" x14ac:dyDescent="0.25"/>
    <row r="61" customFormat="1" ht="15" x14ac:dyDescent="0.25"/>
    <row r="62" customFormat="1" ht="15" x14ac:dyDescent="0.25"/>
    <row r="63" customFormat="1" ht="15" x14ac:dyDescent="0.25"/>
    <row r="64" customFormat="1" ht="15" x14ac:dyDescent="0.25"/>
    <row r="65" customFormat="1" ht="15" x14ac:dyDescent="0.25"/>
    <row r="66" customFormat="1" ht="15" x14ac:dyDescent="0.25"/>
    <row r="67" customFormat="1" ht="15" x14ac:dyDescent="0.25"/>
    <row r="68" customFormat="1" ht="15" x14ac:dyDescent="0.25"/>
    <row r="69" customFormat="1" ht="15" x14ac:dyDescent="0.25"/>
    <row r="70" customFormat="1" ht="15" x14ac:dyDescent="0.25"/>
    <row r="71" customFormat="1" ht="15" x14ac:dyDescent="0.25"/>
    <row r="72" customFormat="1" ht="15" x14ac:dyDescent="0.25"/>
    <row r="73" customFormat="1" ht="15" x14ac:dyDescent="0.25"/>
    <row r="74" customFormat="1" ht="15" x14ac:dyDescent="0.25"/>
    <row r="75" customFormat="1" ht="15" x14ac:dyDescent="0.25"/>
    <row r="76" customFormat="1" ht="15" x14ac:dyDescent="0.25"/>
    <row r="77" customFormat="1" ht="15" x14ac:dyDescent="0.25"/>
    <row r="78" customFormat="1" ht="15" x14ac:dyDescent="0.25"/>
    <row r="79" customFormat="1" ht="15" x14ac:dyDescent="0.25"/>
    <row r="80" customFormat="1" ht="15" x14ac:dyDescent="0.25"/>
    <row r="81" customFormat="1" ht="15" x14ac:dyDescent="0.25"/>
    <row r="82" customFormat="1" ht="15" x14ac:dyDescent="0.25"/>
    <row r="83" customFormat="1" ht="15" x14ac:dyDescent="0.25"/>
    <row r="84" customFormat="1" ht="15" x14ac:dyDescent="0.25"/>
    <row r="85" customFormat="1" ht="15" x14ac:dyDescent="0.25"/>
    <row r="86" customFormat="1" ht="15" x14ac:dyDescent="0.25"/>
    <row r="87" customFormat="1" ht="15" x14ac:dyDescent="0.25"/>
    <row r="88" customFormat="1" ht="15" x14ac:dyDescent="0.25"/>
    <row r="89" customFormat="1" ht="15" x14ac:dyDescent="0.25"/>
    <row r="90" customFormat="1" ht="15" x14ac:dyDescent="0.25"/>
    <row r="91" customFormat="1" ht="15" x14ac:dyDescent="0.25"/>
    <row r="92" customFormat="1" ht="15" x14ac:dyDescent="0.25"/>
    <row r="93" customFormat="1" ht="15" x14ac:dyDescent="0.25"/>
    <row r="94" customFormat="1" ht="15" x14ac:dyDescent="0.25"/>
    <row r="95" customFormat="1" ht="15" x14ac:dyDescent="0.25"/>
    <row r="96" customFormat="1" ht="15" x14ac:dyDescent="0.25"/>
    <row r="97" customFormat="1" ht="15" x14ac:dyDescent="0.25"/>
    <row r="98" customFormat="1" ht="15" x14ac:dyDescent="0.25"/>
    <row r="99" customFormat="1" ht="15" x14ac:dyDescent="0.25"/>
    <row r="100" customFormat="1" ht="15" x14ac:dyDescent="0.25"/>
    <row r="101" customFormat="1" ht="15" x14ac:dyDescent="0.25"/>
    <row r="102" customFormat="1" ht="15" x14ac:dyDescent="0.25"/>
    <row r="103" customFormat="1" ht="15" x14ac:dyDescent="0.25"/>
    <row r="104" customFormat="1" ht="15" x14ac:dyDescent="0.25"/>
    <row r="105" customFormat="1" ht="15" x14ac:dyDescent="0.25"/>
    <row r="106" customFormat="1" ht="15" x14ac:dyDescent="0.25"/>
    <row r="107" customFormat="1" ht="15" x14ac:dyDescent="0.25"/>
    <row r="108" customFormat="1" ht="15" x14ac:dyDescent="0.25"/>
    <row r="109" customFormat="1" ht="15" x14ac:dyDescent="0.25"/>
    <row r="110" customFormat="1" ht="15" x14ac:dyDescent="0.25"/>
    <row r="111" customFormat="1" ht="15" x14ac:dyDescent="0.25"/>
    <row r="112" customFormat="1" ht="15" x14ac:dyDescent="0.25"/>
    <row r="113" customFormat="1" ht="15" x14ac:dyDescent="0.25"/>
    <row r="114" customFormat="1" ht="15" x14ac:dyDescent="0.25"/>
    <row r="115" customFormat="1" ht="15" x14ac:dyDescent="0.25"/>
    <row r="116" customFormat="1" ht="15" x14ac:dyDescent="0.25"/>
    <row r="117" customFormat="1" ht="15" x14ac:dyDescent="0.25"/>
    <row r="118" customFormat="1" ht="15" x14ac:dyDescent="0.25"/>
    <row r="119" customFormat="1" ht="15" x14ac:dyDescent="0.25"/>
    <row r="120" customFormat="1" ht="15" x14ac:dyDescent="0.25"/>
    <row r="121" customFormat="1" ht="15" x14ac:dyDescent="0.25"/>
    <row r="122" customFormat="1" ht="15" x14ac:dyDescent="0.25"/>
    <row r="123" customFormat="1" ht="15" x14ac:dyDescent="0.25"/>
    <row r="124" customFormat="1" ht="15" x14ac:dyDescent="0.25"/>
    <row r="125" customFormat="1" ht="15" x14ac:dyDescent="0.25"/>
    <row r="126" customFormat="1" ht="15" x14ac:dyDescent="0.25"/>
    <row r="127" customFormat="1" ht="15" x14ac:dyDescent="0.25"/>
    <row r="128" customFormat="1" ht="15" x14ac:dyDescent="0.25"/>
    <row r="129" customFormat="1" ht="15" x14ac:dyDescent="0.25"/>
    <row r="130" customFormat="1" ht="15" x14ac:dyDescent="0.25"/>
    <row r="131" customFormat="1" ht="15" x14ac:dyDescent="0.25"/>
    <row r="132" customFormat="1" ht="15" x14ac:dyDescent="0.25"/>
    <row r="133" customFormat="1" ht="15" x14ac:dyDescent="0.25"/>
    <row r="134" customFormat="1" ht="15" x14ac:dyDescent="0.25"/>
    <row r="135" customFormat="1" ht="15" x14ac:dyDescent="0.25"/>
    <row r="136" customFormat="1" ht="15" x14ac:dyDescent="0.25"/>
    <row r="137" customFormat="1" ht="15" x14ac:dyDescent="0.25"/>
    <row r="138" customFormat="1" ht="15" x14ac:dyDescent="0.25"/>
    <row r="139" customFormat="1" ht="15" x14ac:dyDescent="0.25"/>
    <row r="140" customFormat="1" ht="15" x14ac:dyDescent="0.25"/>
    <row r="141" customFormat="1" ht="15" x14ac:dyDescent="0.25"/>
    <row r="142" customFormat="1" ht="15" x14ac:dyDescent="0.25"/>
    <row r="143" customFormat="1" ht="15" x14ac:dyDescent="0.25"/>
    <row r="144" customFormat="1" ht="15" x14ac:dyDescent="0.25"/>
    <row r="145" customFormat="1" ht="15" x14ac:dyDescent="0.25"/>
    <row r="146" customFormat="1" ht="15" x14ac:dyDescent="0.25"/>
    <row r="147" customFormat="1" ht="15" x14ac:dyDescent="0.25"/>
    <row r="148" customFormat="1" ht="15" x14ac:dyDescent="0.25"/>
    <row r="149" customFormat="1" ht="15" x14ac:dyDescent="0.25"/>
    <row r="150" customFormat="1" ht="15" x14ac:dyDescent="0.25"/>
    <row r="151" customFormat="1" ht="15" x14ac:dyDescent="0.25"/>
    <row r="152" customFormat="1" ht="15" x14ac:dyDescent="0.25"/>
    <row r="153" customFormat="1" ht="15" x14ac:dyDescent="0.25"/>
    <row r="154" customFormat="1" ht="15" x14ac:dyDescent="0.25"/>
    <row r="155" customFormat="1" ht="15" x14ac:dyDescent="0.25"/>
    <row r="156" customFormat="1" ht="15" x14ac:dyDescent="0.25"/>
    <row r="157" customFormat="1" ht="15" x14ac:dyDescent="0.25"/>
    <row r="158" customFormat="1" ht="15" x14ac:dyDescent="0.25"/>
    <row r="159" customFormat="1" ht="15" x14ac:dyDescent="0.25"/>
    <row r="160" customFormat="1" ht="15" x14ac:dyDescent="0.25"/>
    <row r="161" customFormat="1" ht="15" x14ac:dyDescent="0.25"/>
    <row r="162" customFormat="1" ht="15" x14ac:dyDescent="0.25"/>
    <row r="163" customFormat="1" ht="15" x14ac:dyDescent="0.25"/>
    <row r="164" customFormat="1" ht="15" x14ac:dyDescent="0.25"/>
    <row r="165" customFormat="1" ht="15" x14ac:dyDescent="0.25"/>
    <row r="166" customFormat="1" ht="15" x14ac:dyDescent="0.25"/>
    <row r="167" customFormat="1" ht="15" x14ac:dyDescent="0.25"/>
    <row r="168" customFormat="1" ht="15" x14ac:dyDescent="0.25"/>
    <row r="169" customFormat="1" ht="15" x14ac:dyDescent="0.25"/>
    <row r="170" customFormat="1" ht="15" x14ac:dyDescent="0.25"/>
    <row r="171" customFormat="1" ht="15" x14ac:dyDescent="0.25"/>
    <row r="172" customFormat="1" ht="15" x14ac:dyDescent="0.25"/>
    <row r="173" customFormat="1" ht="15" x14ac:dyDescent="0.25"/>
    <row r="174" customFormat="1" ht="15" x14ac:dyDescent="0.25"/>
    <row r="175" customFormat="1" ht="15" x14ac:dyDescent="0.25"/>
    <row r="176" customFormat="1" ht="15" x14ac:dyDescent="0.25"/>
    <row r="177" customFormat="1" ht="15" x14ac:dyDescent="0.25"/>
    <row r="178" customFormat="1" ht="15" x14ac:dyDescent="0.25"/>
    <row r="179" customFormat="1" ht="15" x14ac:dyDescent="0.25"/>
    <row r="180" customFormat="1" ht="15" x14ac:dyDescent="0.25"/>
    <row r="181" customFormat="1" ht="15" x14ac:dyDescent="0.25"/>
    <row r="182" customFormat="1" ht="15" x14ac:dyDescent="0.25"/>
    <row r="183" customFormat="1" ht="15" x14ac:dyDescent="0.25"/>
    <row r="184" customFormat="1" ht="15" x14ac:dyDescent="0.25"/>
    <row r="185" customFormat="1" ht="15" x14ac:dyDescent="0.25"/>
    <row r="186" customFormat="1" ht="15" x14ac:dyDescent="0.25"/>
    <row r="187" customFormat="1" ht="15" x14ac:dyDescent="0.25"/>
    <row r="188" customFormat="1" ht="15" x14ac:dyDescent="0.25"/>
    <row r="189" customFormat="1" ht="15" x14ac:dyDescent="0.25"/>
    <row r="190" customFormat="1" ht="15" x14ac:dyDescent="0.25"/>
    <row r="191" customFormat="1" ht="15" x14ac:dyDescent="0.25"/>
    <row r="192" customFormat="1" ht="15" x14ac:dyDescent="0.25"/>
    <row r="193" customFormat="1" ht="15" x14ac:dyDescent="0.25"/>
    <row r="194" customFormat="1" ht="15" x14ac:dyDescent="0.25"/>
    <row r="195" customFormat="1" ht="15" x14ac:dyDescent="0.25"/>
    <row r="196" customFormat="1" ht="15" x14ac:dyDescent="0.25"/>
    <row r="197" customFormat="1" ht="15" x14ac:dyDescent="0.25"/>
    <row r="198" customFormat="1" ht="15" x14ac:dyDescent="0.25"/>
    <row r="199" customFormat="1" ht="15" x14ac:dyDescent="0.25"/>
    <row r="200" customFormat="1" ht="15" x14ac:dyDescent="0.25"/>
    <row r="201" customFormat="1" ht="15" x14ac:dyDescent="0.25"/>
    <row r="202" customFormat="1" ht="15" x14ac:dyDescent="0.25"/>
    <row r="203" customFormat="1" ht="15" x14ac:dyDescent="0.25"/>
    <row r="204" customFormat="1" ht="15" x14ac:dyDescent="0.25"/>
    <row r="205" customFormat="1" ht="15" x14ac:dyDescent="0.25"/>
    <row r="206" customFormat="1" ht="15" x14ac:dyDescent="0.25"/>
    <row r="207" customFormat="1" ht="15" x14ac:dyDescent="0.25"/>
    <row r="208" customFormat="1" ht="15" x14ac:dyDescent="0.25"/>
    <row r="209" customFormat="1" ht="15" x14ac:dyDescent="0.25"/>
    <row r="210" customFormat="1" ht="15" x14ac:dyDescent="0.25"/>
    <row r="211" customFormat="1" ht="15" x14ac:dyDescent="0.25"/>
  </sheetData>
  <autoFilter ref="A2:G12" xr:uid="{B6F6AAB3-37D4-40C4-AD32-87DEB55DC747}">
    <filterColumn colId="1" showButton="0"/>
    <filterColumn colId="2" showButton="0"/>
    <filterColumn colId="4" showButton="0"/>
    <filterColumn colId="5" showButton="0"/>
  </autoFilter>
  <mergeCells count="8">
    <mergeCell ref="E2:G2"/>
    <mergeCell ref="A1:G1"/>
    <mergeCell ref="A2:A3"/>
    <mergeCell ref="B2:D2"/>
    <mergeCell ref="D4:D11"/>
    <mergeCell ref="G4:G11"/>
    <mergeCell ref="C4:C12"/>
    <mergeCell ref="F4:F12"/>
  </mergeCells>
  <phoneticPr fontId="4"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60"/>
  <sheetViews>
    <sheetView zoomScaleNormal="100" workbookViewId="0">
      <selection sqref="A1:D1"/>
    </sheetView>
  </sheetViews>
  <sheetFormatPr defaultColWidth="8.7109375" defaultRowHeight="12.75" x14ac:dyDescent="0.2"/>
  <cols>
    <col min="1" max="1" width="35.7109375" style="4" customWidth="1"/>
    <col min="2" max="2" width="41.7109375" style="4" customWidth="1"/>
    <col min="3" max="3" width="17.85546875" style="4" customWidth="1"/>
    <col min="4" max="4" width="34.28515625" style="4" customWidth="1"/>
    <col min="5" max="5" width="31.28515625" style="4" customWidth="1"/>
    <col min="6" max="6" width="19.28515625" style="4" customWidth="1"/>
    <col min="7" max="7" width="21.28515625" style="4" customWidth="1"/>
    <col min="8" max="8" width="15.5703125" style="4" customWidth="1"/>
    <col min="9" max="9" width="13.28515625" style="4" customWidth="1"/>
    <col min="10" max="16384" width="8.7109375" style="4"/>
  </cols>
  <sheetData>
    <row r="1" spans="1:7" ht="25.15" customHeight="1" x14ac:dyDescent="0.2">
      <c r="A1" s="514" t="str">
        <f>"Exterior Lighting - "&amp;Prototype!A2</f>
        <v>Exterior Lighting - ApartmentHighRise</v>
      </c>
      <c r="B1" s="514"/>
      <c r="C1" s="514"/>
      <c r="D1" s="514"/>
    </row>
    <row r="2" spans="1:7" ht="37.15" customHeight="1" x14ac:dyDescent="0.2">
      <c r="A2" s="41" t="s">
        <v>543</v>
      </c>
      <c r="B2" s="41" t="s">
        <v>544</v>
      </c>
      <c r="C2" s="41" t="s">
        <v>545</v>
      </c>
      <c r="D2" s="41" t="s">
        <v>380</v>
      </c>
    </row>
    <row r="3" spans="1:7" ht="50.25" customHeight="1" x14ac:dyDescent="0.2">
      <c r="A3" s="44">
        <f>G16</f>
        <v>2087.6895033666669</v>
      </c>
      <c r="B3" s="44">
        <f>G17</f>
        <v>873.34643700000004</v>
      </c>
      <c r="C3" s="44">
        <f>B3+A3</f>
        <v>2961.0359403666671</v>
      </c>
      <c r="D3" s="369" t="s">
        <v>546</v>
      </c>
    </row>
    <row r="4" spans="1:7" ht="22.15" customHeight="1" x14ac:dyDescent="0.2">
      <c r="A4" s="59"/>
      <c r="B4" s="59"/>
      <c r="C4" s="59"/>
      <c r="D4" s="59"/>
    </row>
    <row r="5" spans="1:7" ht="15.6" customHeight="1" x14ac:dyDescent="0.2">
      <c r="A5" s="154"/>
      <c r="B5" s="154"/>
      <c r="C5" s="154"/>
      <c r="D5" s="154"/>
      <c r="E5" s="154"/>
    </row>
    <row r="6" spans="1:7" ht="15.6" customHeight="1" x14ac:dyDescent="0.2">
      <c r="A6" s="155"/>
      <c r="B6" s="155"/>
      <c r="C6" s="155"/>
      <c r="D6" s="155"/>
      <c r="E6" s="156"/>
    </row>
    <row r="7" spans="1:7" ht="15.6" customHeight="1" x14ac:dyDescent="0.2"/>
    <row r="8" spans="1:7" ht="15.75" x14ac:dyDescent="0.2">
      <c r="A8" s="514" t="s">
        <v>547</v>
      </c>
      <c r="B8" s="514"/>
      <c r="C8" s="514"/>
      <c r="D8" s="514"/>
      <c r="E8" s="514"/>
      <c r="F8" s="514"/>
      <c r="G8" s="514"/>
    </row>
    <row r="9" spans="1:7" ht="38.25" x14ac:dyDescent="0.2">
      <c r="A9" s="157" t="s">
        <v>548</v>
      </c>
      <c r="B9" s="515" t="s">
        <v>549</v>
      </c>
      <c r="C9" s="516"/>
      <c r="D9" s="158" t="s">
        <v>550</v>
      </c>
      <c r="E9" s="158" t="s">
        <v>551</v>
      </c>
      <c r="F9" s="158" t="s">
        <v>550</v>
      </c>
      <c r="G9" s="158" t="s">
        <v>552</v>
      </c>
    </row>
    <row r="10" spans="1:7" ht="24" customHeight="1" x14ac:dyDescent="0.2">
      <c r="A10" s="14" t="s">
        <v>553</v>
      </c>
      <c r="B10" s="14"/>
      <c r="C10" s="159"/>
      <c r="D10" s="367"/>
      <c r="E10" s="367">
        <v>200</v>
      </c>
      <c r="F10" s="367" t="s">
        <v>554</v>
      </c>
      <c r="G10" s="160">
        <f>$E10</f>
        <v>200</v>
      </c>
    </row>
    <row r="11" spans="1:7" ht="51" x14ac:dyDescent="0.2">
      <c r="A11" s="15" t="s">
        <v>555</v>
      </c>
      <c r="B11" s="15" t="s">
        <v>556</v>
      </c>
      <c r="C11" s="177">
        <f>400*B25*1.5+B23/B24/360*400</f>
        <v>86921.656666666677</v>
      </c>
      <c r="D11" s="367" t="s">
        <v>557</v>
      </c>
      <c r="E11" s="367">
        <v>1.9E-2</v>
      </c>
      <c r="F11" s="367" t="s">
        <v>558</v>
      </c>
      <c r="G11" s="160">
        <f>$E11*C11</f>
        <v>1651.5114766666668</v>
      </c>
    </row>
    <row r="12" spans="1:7" ht="28.5" customHeight="1" x14ac:dyDescent="0.2">
      <c r="A12" s="14" t="s">
        <v>559</v>
      </c>
      <c r="B12" s="161" t="s">
        <v>560</v>
      </c>
      <c r="C12" s="245">
        <v>2</v>
      </c>
      <c r="D12" s="367" t="s">
        <v>561</v>
      </c>
      <c r="E12" s="367">
        <v>15</v>
      </c>
      <c r="F12" s="367" t="s">
        <v>562</v>
      </c>
      <c r="G12" s="160">
        <f>E12*C12</f>
        <v>30</v>
      </c>
    </row>
    <row r="13" spans="1:7" ht="25.5" x14ac:dyDescent="0.2">
      <c r="A13" s="14" t="s">
        <v>563</v>
      </c>
      <c r="B13" s="161" t="s">
        <v>564</v>
      </c>
      <c r="C13" s="162">
        <f>B23*0.1</f>
        <v>15049.491000000004</v>
      </c>
      <c r="D13" s="367" t="s">
        <v>557</v>
      </c>
      <c r="E13" s="367">
        <v>7.0000000000000001E-3</v>
      </c>
      <c r="F13" s="367" t="s">
        <v>558</v>
      </c>
      <c r="G13" s="163">
        <f>E13*C13</f>
        <v>105.34643700000002</v>
      </c>
    </row>
    <row r="14" spans="1:7" ht="94.5" customHeight="1" x14ac:dyDescent="0.2">
      <c r="A14" s="14" t="s">
        <v>565</v>
      </c>
      <c r="B14" s="161" t="s">
        <v>566</v>
      </c>
      <c r="C14" s="162">
        <f>B22*0.5*30</f>
        <v>7680</v>
      </c>
      <c r="D14" s="367" t="s">
        <v>557</v>
      </c>
      <c r="E14" s="367">
        <v>0.1</v>
      </c>
      <c r="F14" s="367" t="s">
        <v>558</v>
      </c>
      <c r="G14" s="163">
        <f>E14*C14</f>
        <v>768</v>
      </c>
    </row>
    <row r="15" spans="1:7" x14ac:dyDescent="0.2">
      <c r="A15" s="164" t="s">
        <v>567</v>
      </c>
      <c r="B15" s="165" t="s">
        <v>568</v>
      </c>
      <c r="C15" s="166">
        <f>(B23/B24)*0.1</f>
        <v>1504.9491000000005</v>
      </c>
      <c r="D15" s="371" t="s">
        <v>557</v>
      </c>
      <c r="E15" s="371">
        <v>0.13700000000000001</v>
      </c>
      <c r="F15" s="371" t="s">
        <v>558</v>
      </c>
      <c r="G15" s="163">
        <f>E15*C15</f>
        <v>206.17802670000009</v>
      </c>
    </row>
    <row r="16" spans="1:7" x14ac:dyDescent="0.2">
      <c r="A16" s="511" t="s">
        <v>569</v>
      </c>
      <c r="B16" s="511"/>
      <c r="C16" s="511"/>
      <c r="D16" s="511"/>
      <c r="E16" s="511"/>
      <c r="F16" s="511"/>
      <c r="G16" s="167">
        <f>G11+G10+G15+G12</f>
        <v>2087.6895033666669</v>
      </c>
    </row>
    <row r="17" spans="1:7" customFormat="1" ht="15" x14ac:dyDescent="0.25">
      <c r="A17" s="511" t="s">
        <v>570</v>
      </c>
      <c r="B17" s="511"/>
      <c r="C17" s="511"/>
      <c r="D17" s="511"/>
      <c r="E17" s="511"/>
      <c r="F17" s="511"/>
      <c r="G17" s="167">
        <f>G13+G14</f>
        <v>873.34643700000004</v>
      </c>
    </row>
    <row r="18" spans="1:7" x14ac:dyDescent="0.2">
      <c r="A18" s="511" t="s">
        <v>222</v>
      </c>
      <c r="B18" s="511"/>
      <c r="C18" s="511"/>
      <c r="D18" s="511"/>
      <c r="E18" s="511"/>
      <c r="F18" s="511"/>
      <c r="G18" s="167">
        <f>G16+G17</f>
        <v>2961.0359403666671</v>
      </c>
    </row>
    <row r="19" spans="1:7" ht="15" x14ac:dyDescent="0.2">
      <c r="A19" s="168"/>
      <c r="B19" s="168"/>
      <c r="C19" s="168"/>
      <c r="D19" s="168"/>
      <c r="E19" s="168"/>
      <c r="F19" s="168"/>
      <c r="G19" s="169"/>
    </row>
    <row r="20" spans="1:7" ht="15" x14ac:dyDescent="0.25">
      <c r="A20" s="4" t="s">
        <v>571</v>
      </c>
      <c r="C20" s="211"/>
      <c r="D20" s="170"/>
      <c r="F20" s="171"/>
    </row>
    <row r="21" spans="1:7" ht="15" x14ac:dyDescent="0.25">
      <c r="C21" s="211"/>
      <c r="D21" s="170"/>
      <c r="F21" s="171"/>
    </row>
    <row r="22" spans="1:7" ht="15" x14ac:dyDescent="0.25">
      <c r="A22" s="4" t="s">
        <v>572</v>
      </c>
      <c r="B22" s="361">
        <f>(190+66)*2</f>
        <v>512</v>
      </c>
      <c r="C22" s="211"/>
      <c r="D22" s="170"/>
      <c r="F22" s="171"/>
    </row>
    <row r="23" spans="1:7" ht="15" x14ac:dyDescent="0.25">
      <c r="A23" s="4" t="s">
        <v>573</v>
      </c>
      <c r="B23" s="172">
        <f>Zones!J35</f>
        <v>150494.91000000003</v>
      </c>
      <c r="D23" s="170"/>
      <c r="F23" s="171"/>
    </row>
    <row r="24" spans="1:7" ht="15" x14ac:dyDescent="0.25">
      <c r="A24" s="4" t="s">
        <v>574</v>
      </c>
      <c r="B24" s="361">
        <v>10</v>
      </c>
      <c r="D24" s="170"/>
      <c r="F24" s="171"/>
    </row>
    <row r="25" spans="1:7" ht="15" x14ac:dyDescent="0.25">
      <c r="A25" s="4" t="s">
        <v>575</v>
      </c>
      <c r="B25" s="361">
        <v>117</v>
      </c>
      <c r="D25" s="170"/>
      <c r="F25" s="171"/>
    </row>
    <row r="26" spans="1:7" ht="15" x14ac:dyDescent="0.25">
      <c r="A26"/>
      <c r="B26"/>
      <c r="D26" s="170"/>
      <c r="F26" s="171"/>
    </row>
    <row r="28" spans="1:7" s="25" customFormat="1" x14ac:dyDescent="0.2">
      <c r="A28" s="25" t="s">
        <v>175</v>
      </c>
      <c r="F28" s="26"/>
      <c r="G28" s="27"/>
    </row>
    <row r="31" spans="1:7" x14ac:dyDescent="0.2">
      <c r="A31" s="173" t="s">
        <v>576</v>
      </c>
    </row>
    <row r="32" spans="1:7" x14ac:dyDescent="0.2">
      <c r="A32" s="512" t="s">
        <v>577</v>
      </c>
      <c r="B32" s="513"/>
    </row>
    <row r="33" spans="1:3" x14ac:dyDescent="0.2">
      <c r="A33" s="174" t="s">
        <v>578</v>
      </c>
      <c r="B33" s="175" t="s">
        <v>579</v>
      </c>
    </row>
    <row r="34" spans="1:3" x14ac:dyDescent="0.2">
      <c r="A34" s="176">
        <v>9571</v>
      </c>
      <c r="B34" s="176" t="s">
        <v>580</v>
      </c>
    </row>
    <row r="35" spans="1:3" x14ac:dyDescent="0.2">
      <c r="A35" s="211"/>
      <c r="B35" s="211"/>
    </row>
    <row r="36" spans="1:3" hidden="1" x14ac:dyDescent="0.2">
      <c r="B36" s="211"/>
      <c r="C36" s="211"/>
    </row>
    <row r="37" spans="1:3" hidden="1" x14ac:dyDescent="0.2"/>
    <row r="38" spans="1:3" hidden="1" x14ac:dyDescent="0.2"/>
    <row r="39" spans="1:3" hidden="1" x14ac:dyDescent="0.2">
      <c r="A39" s="5" t="s">
        <v>581</v>
      </c>
    </row>
    <row r="40" spans="1:3" hidden="1" x14ac:dyDescent="0.2"/>
    <row r="41" spans="1:3" hidden="1" x14ac:dyDescent="0.2"/>
    <row r="42" spans="1:3" hidden="1" x14ac:dyDescent="0.2"/>
    <row r="43" spans="1:3" hidden="1" x14ac:dyDescent="0.2"/>
    <row r="44" spans="1:3" hidden="1" x14ac:dyDescent="0.2"/>
    <row r="45" spans="1:3" hidden="1" x14ac:dyDescent="0.2"/>
    <row r="46" spans="1:3" hidden="1" x14ac:dyDescent="0.2"/>
    <row r="47" spans="1:3" hidden="1" x14ac:dyDescent="0.2"/>
    <row r="48" spans="1:3" hidden="1" x14ac:dyDescent="0.2"/>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hidden="1" x14ac:dyDescent="0.2"/>
  </sheetData>
  <mergeCells count="7">
    <mergeCell ref="A17:F17"/>
    <mergeCell ref="A18:F18"/>
    <mergeCell ref="A32:B32"/>
    <mergeCell ref="A1:D1"/>
    <mergeCell ref="A8:G8"/>
    <mergeCell ref="B9:C9"/>
    <mergeCell ref="A16:F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3"/>
  <dimension ref="A1:J26"/>
  <sheetViews>
    <sheetView workbookViewId="0">
      <selection sqref="A1:C1"/>
    </sheetView>
  </sheetViews>
  <sheetFormatPr defaultColWidth="8.7109375" defaultRowHeight="12.75" x14ac:dyDescent="0.2"/>
  <cols>
    <col min="1" max="1" width="48.85546875" style="4" customWidth="1"/>
    <col min="2" max="2" width="55.140625" style="4" customWidth="1"/>
    <col min="3" max="3" width="24.140625" style="4" customWidth="1"/>
    <col min="4" max="4" width="25.7109375" style="4" customWidth="1"/>
    <col min="5" max="5" width="35.28515625" style="4" customWidth="1"/>
    <col min="6" max="6" width="18.7109375" style="4" customWidth="1"/>
    <col min="7" max="7" width="14.28515625" style="4" customWidth="1"/>
    <col min="8" max="8" width="8.7109375" style="4"/>
    <col min="9" max="9" width="10.5703125" style="4" bestFit="1" customWidth="1"/>
    <col min="10" max="10" width="16.28515625" style="4" customWidth="1"/>
    <col min="11" max="11" width="10.7109375" style="4" bestFit="1" customWidth="1"/>
    <col min="12" max="12" width="10.5703125" style="4" bestFit="1" customWidth="1"/>
    <col min="13" max="16384" width="8.7109375" style="4"/>
  </cols>
  <sheetData>
    <row r="1" spans="1:8" ht="23.45" customHeight="1" x14ac:dyDescent="0.2">
      <c r="A1" s="419" t="str">
        <f>"Equipment - "&amp;Prototype!A2</f>
        <v>Equipment - ApartmentHighRise</v>
      </c>
      <c r="B1" s="420"/>
      <c r="C1" s="518"/>
      <c r="D1" s="60"/>
    </row>
    <row r="2" spans="1:8" ht="21" customHeight="1" x14ac:dyDescent="0.2">
      <c r="A2" s="373" t="s">
        <v>67</v>
      </c>
      <c r="B2" s="373" t="s">
        <v>582</v>
      </c>
      <c r="C2" s="373" t="s">
        <v>380</v>
      </c>
      <c r="D2" s="6"/>
    </row>
    <row r="3" spans="1:8" ht="15.75" customHeight="1" x14ac:dyDescent="0.25">
      <c r="A3" s="362" t="str">
        <f>Zones!A3</f>
        <v>Convention, Conference, Multipurpose and Meeting Area</v>
      </c>
      <c r="B3" s="333">
        <v>1</v>
      </c>
      <c r="C3" s="505" t="s">
        <v>583</v>
      </c>
      <c r="D3"/>
      <c r="E3"/>
      <c r="F3"/>
      <c r="G3"/>
    </row>
    <row r="4" spans="1:8" ht="16.350000000000001" customHeight="1" x14ac:dyDescent="0.25">
      <c r="A4" s="362" t="str">
        <f>Zones!A4</f>
        <v>Exercise/Fitness Center and Gymnasium Areas</v>
      </c>
      <c r="B4" s="152">
        <v>0.5</v>
      </c>
      <c r="C4" s="506"/>
      <c r="D4"/>
      <c r="E4"/>
      <c r="F4"/>
      <c r="G4"/>
    </row>
    <row r="5" spans="1:8" ht="16.350000000000001" customHeight="1" x14ac:dyDescent="0.25">
      <c r="A5" s="362" t="str">
        <f>Zones!A5</f>
        <v>Office Area (&gt;250 square feet)</v>
      </c>
      <c r="B5" s="152">
        <v>1.5</v>
      </c>
      <c r="C5" s="506"/>
      <c r="D5"/>
      <c r="E5"/>
      <c r="F5"/>
      <c r="G5"/>
    </row>
    <row r="6" spans="1:8" ht="16.350000000000001" customHeight="1" x14ac:dyDescent="0.25">
      <c r="A6" s="362" t="str">
        <f>Zones!A6</f>
        <v>Lobby, Main Entry</v>
      </c>
      <c r="B6" s="152">
        <v>0.5</v>
      </c>
      <c r="C6" s="506"/>
      <c r="D6"/>
      <c r="E6"/>
      <c r="F6"/>
      <c r="G6"/>
    </row>
    <row r="7" spans="1:8" ht="16.350000000000001" customHeight="1" x14ac:dyDescent="0.25">
      <c r="A7" s="362" t="str">
        <f>Zones!A7</f>
        <v>Retail Space</v>
      </c>
      <c r="B7" s="152">
        <v>0.7</v>
      </c>
      <c r="C7" s="506"/>
      <c r="D7"/>
      <c r="E7"/>
      <c r="F7"/>
      <c r="G7"/>
    </row>
    <row r="8" spans="1:8" ht="16.350000000000001" customHeight="1" x14ac:dyDescent="0.25">
      <c r="A8" s="362" t="str">
        <f>Zones!A19</f>
        <v>Corridor Area</v>
      </c>
      <c r="B8" s="152">
        <v>0</v>
      </c>
      <c r="C8" s="506"/>
      <c r="D8"/>
      <c r="E8"/>
      <c r="F8"/>
      <c r="G8"/>
    </row>
    <row r="9" spans="1:8" ht="16.350000000000001" customHeight="1" x14ac:dyDescent="0.25">
      <c r="A9" s="362" t="str">
        <f>Zones!A20</f>
        <v xml:space="preserve">Laundry Area </v>
      </c>
      <c r="B9" s="152">
        <v>3</v>
      </c>
      <c r="C9" s="506"/>
      <c r="D9"/>
      <c r="E9"/>
      <c r="F9"/>
      <c r="G9"/>
    </row>
    <row r="10" spans="1:8" ht="18" customHeight="1" x14ac:dyDescent="0.25">
      <c r="A10" s="362" t="str">
        <f>Zones!A33</f>
        <v>Parking Garage Area (Parking Zone and Ramps)</v>
      </c>
      <c r="B10" s="152">
        <v>0</v>
      </c>
      <c r="C10" s="506"/>
      <c r="D10"/>
      <c r="E10"/>
      <c r="F10"/>
      <c r="G10"/>
      <c r="H10" s="39"/>
    </row>
    <row r="11" spans="1:8" ht="48" customHeight="1" x14ac:dyDescent="0.25">
      <c r="A11" s="369" t="str">
        <f>Zones!A13</f>
        <v>High-Rise Residential Living Spaces</v>
      </c>
      <c r="B11" s="152">
        <v>0.5</v>
      </c>
      <c r="C11" s="217" t="s">
        <v>584</v>
      </c>
      <c r="D11"/>
      <c r="E11"/>
      <c r="F11"/>
      <c r="G11"/>
    </row>
    <row r="12" spans="1:8" x14ac:dyDescent="0.2">
      <c r="A12" s="6"/>
      <c r="B12" s="8"/>
      <c r="C12" s="148"/>
      <c r="D12" s="82"/>
    </row>
    <row r="14" spans="1:8" ht="15.75" x14ac:dyDescent="0.2">
      <c r="A14" s="514" t="s">
        <v>585</v>
      </c>
      <c r="B14" s="514"/>
      <c r="C14" s="514"/>
      <c r="D14" s="514"/>
    </row>
    <row r="15" spans="1:8" ht="26.25" customHeight="1" x14ac:dyDescent="0.2">
      <c r="A15" s="373" t="s">
        <v>39</v>
      </c>
      <c r="B15" s="373" t="s">
        <v>586</v>
      </c>
      <c r="C15" s="373" t="s">
        <v>587</v>
      </c>
      <c r="D15" s="373" t="s">
        <v>380</v>
      </c>
    </row>
    <row r="16" spans="1:8" ht="63.75" x14ac:dyDescent="0.2">
      <c r="A16" s="369" t="s">
        <v>588</v>
      </c>
      <c r="B16" s="367">
        <f>ROUND((Prototype!B8*0.7/50000)+ROUND(12/2,0),0)</f>
        <v>8</v>
      </c>
      <c r="C16" s="44">
        <v>10597.39</v>
      </c>
      <c r="D16" s="369" t="s">
        <v>589</v>
      </c>
    </row>
    <row r="19" spans="1:10" x14ac:dyDescent="0.2">
      <c r="A19" s="519" t="s">
        <v>590</v>
      </c>
      <c r="B19" s="519"/>
      <c r="C19" s="519"/>
      <c r="D19" s="519"/>
      <c r="E19" s="519"/>
      <c r="F19" s="7"/>
      <c r="G19" s="22"/>
    </row>
    <row r="20" spans="1:10" x14ac:dyDescent="0.2">
      <c r="A20" s="517" t="s">
        <v>591</v>
      </c>
      <c r="B20" s="517"/>
      <c r="C20" s="517"/>
      <c r="D20" s="517"/>
      <c r="E20" s="517"/>
      <c r="F20" s="520" t="s">
        <v>592</v>
      </c>
      <c r="G20" s="520"/>
      <c r="H20" s="520"/>
      <c r="I20" s="520"/>
      <c r="J20" s="520"/>
    </row>
    <row r="21" spans="1:10" x14ac:dyDescent="0.2">
      <c r="A21" s="517" t="s">
        <v>593</v>
      </c>
      <c r="B21" s="517"/>
      <c r="C21" s="517"/>
      <c r="D21" s="517"/>
      <c r="E21" s="517"/>
      <c r="F21" s="520"/>
      <c r="G21" s="520"/>
      <c r="H21" s="520"/>
      <c r="I21" s="520"/>
      <c r="J21" s="520"/>
    </row>
    <row r="22" spans="1:10" x14ac:dyDescent="0.2">
      <c r="A22" s="402" t="s">
        <v>594</v>
      </c>
      <c r="B22" s="402"/>
      <c r="C22" s="402"/>
      <c r="D22" s="402"/>
      <c r="E22" s="402"/>
      <c r="F22" s="7"/>
      <c r="G22" s="22"/>
    </row>
    <row r="23" spans="1:10" x14ac:dyDescent="0.2">
      <c r="A23" s="402" t="s">
        <v>595</v>
      </c>
      <c r="B23" s="402"/>
      <c r="C23" s="6">
        <f>ROUND((Prototype!B8*0.7/50000)+ROUND(12/2,0),0)</f>
        <v>8</v>
      </c>
      <c r="D23" s="517" t="s">
        <v>596</v>
      </c>
      <c r="E23" s="517"/>
      <c r="F23" s="7"/>
      <c r="G23" s="22"/>
    </row>
    <row r="24" spans="1:10" x14ac:dyDescent="0.2">
      <c r="A24" s="402" t="s">
        <v>597</v>
      </c>
      <c r="B24" s="402"/>
      <c r="C24" s="6">
        <f>C23*C25</f>
        <v>80</v>
      </c>
      <c r="D24" s="517" t="s">
        <v>598</v>
      </c>
      <c r="E24" s="517"/>
      <c r="F24" s="286">
        <f>10597.39/1000</f>
        <v>10.597389999999999</v>
      </c>
      <c r="G24" s="22"/>
    </row>
    <row r="25" spans="1:10" x14ac:dyDescent="0.2">
      <c r="A25" s="402" t="s">
        <v>599</v>
      </c>
      <c r="B25" s="402"/>
      <c r="C25" s="6">
        <v>10</v>
      </c>
      <c r="D25" s="517"/>
      <c r="E25" s="517"/>
      <c r="F25" s="7"/>
      <c r="G25" s="22"/>
    </row>
    <row r="26" spans="1:10" x14ac:dyDescent="0.2">
      <c r="A26" s="403" t="s">
        <v>600</v>
      </c>
      <c r="B26" s="403"/>
      <c r="C26" s="403"/>
      <c r="D26" s="403"/>
      <c r="E26" s="403"/>
      <c r="F26" s="7"/>
      <c r="G26" s="22"/>
    </row>
  </sheetData>
  <mergeCells count="15">
    <mergeCell ref="A1:C1"/>
    <mergeCell ref="C3:C10"/>
    <mergeCell ref="A19:E19"/>
    <mergeCell ref="A20:E20"/>
    <mergeCell ref="F20:J21"/>
    <mergeCell ref="A21:E21"/>
    <mergeCell ref="A14:D14"/>
    <mergeCell ref="A22:E22"/>
    <mergeCell ref="A26:E26"/>
    <mergeCell ref="A23:B23"/>
    <mergeCell ref="D23:E23"/>
    <mergeCell ref="A24:B24"/>
    <mergeCell ref="D24:E24"/>
    <mergeCell ref="A25:B25"/>
    <mergeCell ref="D25:E25"/>
  </mergeCells>
  <hyperlinks>
    <hyperlink ref="F20" r:id="rId1" xr:uid="{CBA054F6-C9AF-4725-8A5C-0417ACFB808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7"/>
  <dimension ref="A1:BD116"/>
  <sheetViews>
    <sheetView zoomScaleNormal="100" workbookViewId="0">
      <selection sqref="A1:AC1"/>
    </sheetView>
  </sheetViews>
  <sheetFormatPr defaultColWidth="9.28515625" defaultRowHeight="15" x14ac:dyDescent="0.25"/>
  <cols>
    <col min="1" max="1" width="13" style="46" customWidth="1"/>
    <col min="2" max="2" width="19" style="46" bestFit="1" customWidth="1"/>
    <col min="3" max="3" width="20.42578125" style="46" customWidth="1"/>
    <col min="4" max="4" width="24.42578125" style="46" customWidth="1"/>
    <col min="5" max="5" width="15.28515625" style="46" customWidth="1"/>
    <col min="6" max="29" width="6.7109375" style="46" customWidth="1"/>
    <col min="30" max="30" width="11.85546875" customWidth="1"/>
    <col min="31" max="31" width="12.42578125" customWidth="1"/>
    <col min="32" max="37" width="9.28515625" style="46"/>
    <col min="57" max="16384" width="9.28515625" style="46"/>
  </cols>
  <sheetData>
    <row r="1" spans="1:50" ht="24" customHeight="1" x14ac:dyDescent="0.25">
      <c r="A1" s="427" t="str">
        <f>"Schedules - "&amp; Prototype!A2</f>
        <v>Schedules - ApartmentHighRise</v>
      </c>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597"/>
      <c r="AF1" s="47"/>
      <c r="AG1" s="47"/>
      <c r="AH1" s="47"/>
      <c r="AI1" s="47"/>
      <c r="AJ1" s="47"/>
      <c r="AK1" s="48"/>
      <c r="AL1" s="48"/>
      <c r="AM1" s="48"/>
      <c r="AN1" s="48"/>
      <c r="AO1" s="48"/>
      <c r="AP1" s="48"/>
      <c r="AQ1" s="48"/>
      <c r="AR1" s="48"/>
      <c r="AS1" s="48"/>
      <c r="AT1" s="48"/>
      <c r="AU1" s="48"/>
      <c r="AV1" s="48"/>
      <c r="AW1" s="48"/>
      <c r="AX1" s="48"/>
    </row>
    <row r="2" spans="1:50" ht="24" customHeight="1" x14ac:dyDescent="0.25">
      <c r="A2" s="504" t="s">
        <v>601</v>
      </c>
      <c r="B2" s="504" t="s">
        <v>70</v>
      </c>
      <c r="C2" s="504" t="s">
        <v>602</v>
      </c>
      <c r="D2" s="504" t="s">
        <v>380</v>
      </c>
      <c r="E2" s="504" t="s">
        <v>603</v>
      </c>
      <c r="F2" s="603" t="s">
        <v>604</v>
      </c>
      <c r="G2" s="603"/>
      <c r="H2" s="603"/>
      <c r="I2" s="603"/>
      <c r="J2" s="603"/>
      <c r="K2" s="603"/>
      <c r="L2" s="603"/>
      <c r="M2" s="603"/>
      <c r="N2" s="603"/>
      <c r="O2" s="603"/>
      <c r="P2" s="603"/>
      <c r="Q2" s="603"/>
      <c r="R2" s="603"/>
      <c r="S2" s="603"/>
      <c r="T2" s="603"/>
      <c r="U2" s="603"/>
      <c r="V2" s="603"/>
      <c r="W2" s="603"/>
      <c r="X2" s="603"/>
      <c r="Y2" s="603"/>
      <c r="Z2" s="603"/>
      <c r="AA2" s="603"/>
      <c r="AB2" s="603"/>
      <c r="AC2" s="603"/>
      <c r="AD2" s="47"/>
      <c r="AE2" s="47"/>
      <c r="AF2" s="47"/>
      <c r="AG2" s="47"/>
      <c r="AH2" s="47"/>
      <c r="AI2" s="48"/>
      <c r="AJ2" s="48"/>
      <c r="AK2" s="48"/>
      <c r="AL2" s="48"/>
      <c r="AM2" s="48"/>
      <c r="AN2" s="48"/>
      <c r="AO2" s="48"/>
      <c r="AP2" s="48"/>
      <c r="AQ2" s="48"/>
      <c r="AR2" s="48"/>
      <c r="AS2" s="48"/>
      <c r="AT2" s="48"/>
      <c r="AU2" s="48"/>
      <c r="AV2" s="48"/>
      <c r="AW2" s="48"/>
      <c r="AX2" s="48"/>
    </row>
    <row r="3" spans="1:50" ht="25.15" customHeight="1" thickBot="1" x14ac:dyDescent="0.3">
      <c r="A3" s="596"/>
      <c r="B3" s="596"/>
      <c r="C3" s="596"/>
      <c r="D3" s="596"/>
      <c r="E3" s="596"/>
      <c r="F3" s="374">
        <v>1</v>
      </c>
      <c r="G3" s="374">
        <v>2</v>
      </c>
      <c r="H3" s="374">
        <v>3</v>
      </c>
      <c r="I3" s="374">
        <v>4</v>
      </c>
      <c r="J3" s="374">
        <v>5</v>
      </c>
      <c r="K3" s="374">
        <v>6</v>
      </c>
      <c r="L3" s="374">
        <v>7</v>
      </c>
      <c r="M3" s="374">
        <v>8</v>
      </c>
      <c r="N3" s="374">
        <v>9</v>
      </c>
      <c r="O3" s="374">
        <v>10</v>
      </c>
      <c r="P3" s="374">
        <v>11</v>
      </c>
      <c r="Q3" s="374">
        <v>12</v>
      </c>
      <c r="R3" s="374">
        <v>13</v>
      </c>
      <c r="S3" s="374">
        <v>14</v>
      </c>
      <c r="T3" s="374">
        <v>15</v>
      </c>
      <c r="U3" s="374">
        <v>16</v>
      </c>
      <c r="V3" s="374">
        <v>17</v>
      </c>
      <c r="W3" s="374">
        <v>18</v>
      </c>
      <c r="X3" s="374">
        <v>19</v>
      </c>
      <c r="Y3" s="374">
        <v>20</v>
      </c>
      <c r="Z3" s="374">
        <v>21</v>
      </c>
      <c r="AA3" s="374">
        <v>22</v>
      </c>
      <c r="AB3" s="374">
        <v>23</v>
      </c>
      <c r="AC3" s="374">
        <v>24</v>
      </c>
      <c r="AD3" s="48"/>
      <c r="AE3" s="48"/>
      <c r="AF3" s="48"/>
      <c r="AG3" s="48"/>
      <c r="AH3" s="48"/>
      <c r="AI3" s="48"/>
      <c r="AJ3" s="48"/>
      <c r="AK3" s="48"/>
      <c r="AL3" s="48"/>
      <c r="AM3" s="48"/>
      <c r="AN3" s="48"/>
      <c r="AO3" s="48"/>
      <c r="AP3" s="48"/>
      <c r="AQ3" s="48"/>
      <c r="AR3" s="48"/>
      <c r="AS3" s="48"/>
      <c r="AT3" s="48"/>
      <c r="AU3" s="48"/>
      <c r="AV3" s="48"/>
      <c r="AW3" s="48"/>
      <c r="AX3" s="48"/>
    </row>
    <row r="4" spans="1:50" ht="39.950000000000003" customHeight="1" x14ac:dyDescent="0.25">
      <c r="A4" s="582" t="s">
        <v>605</v>
      </c>
      <c r="B4" s="598" t="s">
        <v>723</v>
      </c>
      <c r="C4" s="598" t="s">
        <v>606</v>
      </c>
      <c r="D4" s="587" t="s">
        <v>607</v>
      </c>
      <c r="E4" s="249" t="s">
        <v>608</v>
      </c>
      <c r="F4" s="193">
        <v>0.9</v>
      </c>
      <c r="G4" s="193">
        <v>0.9</v>
      </c>
      <c r="H4" s="193">
        <v>0.9</v>
      </c>
      <c r="I4" s="193">
        <v>0.9</v>
      </c>
      <c r="J4" s="193">
        <v>0.9</v>
      </c>
      <c r="K4" s="193">
        <v>0.9</v>
      </c>
      <c r="L4" s="193">
        <v>0.7</v>
      </c>
      <c r="M4" s="193">
        <v>0.4</v>
      </c>
      <c r="N4" s="193">
        <v>0.4</v>
      </c>
      <c r="O4" s="193">
        <v>0.2</v>
      </c>
      <c r="P4" s="193">
        <v>0.2</v>
      </c>
      <c r="Q4" s="193">
        <v>0.2</v>
      </c>
      <c r="R4" s="193">
        <v>0.2</v>
      </c>
      <c r="S4" s="193">
        <v>0.2</v>
      </c>
      <c r="T4" s="193">
        <v>0.2</v>
      </c>
      <c r="U4" s="193">
        <v>0.3</v>
      </c>
      <c r="V4" s="193">
        <v>0.5</v>
      </c>
      <c r="W4" s="193">
        <v>0.5</v>
      </c>
      <c r="X4" s="193">
        <v>0.5</v>
      </c>
      <c r="Y4" s="193">
        <v>0.7</v>
      </c>
      <c r="Z4" s="193">
        <v>0.7</v>
      </c>
      <c r="AA4" s="193">
        <v>0.8</v>
      </c>
      <c r="AB4" s="193">
        <v>0.9</v>
      </c>
      <c r="AC4" s="194">
        <v>0.9</v>
      </c>
      <c r="AD4" s="48"/>
      <c r="AE4" s="48"/>
      <c r="AF4" s="48"/>
      <c r="AG4" s="48"/>
      <c r="AH4" s="48"/>
      <c r="AI4" s="48"/>
      <c r="AJ4" s="48"/>
      <c r="AK4" s="48"/>
      <c r="AL4" s="48"/>
      <c r="AM4" s="48"/>
      <c r="AN4" s="48"/>
      <c r="AO4" s="48"/>
      <c r="AP4" s="48"/>
      <c r="AQ4" s="48"/>
      <c r="AR4" s="48"/>
      <c r="AS4" s="48"/>
      <c r="AT4" s="48"/>
      <c r="AU4" s="48"/>
      <c r="AV4" s="48"/>
      <c r="AW4" s="48"/>
      <c r="AX4" s="48"/>
    </row>
    <row r="5" spans="1:50" ht="39.950000000000003" customHeight="1" x14ac:dyDescent="0.25">
      <c r="A5" s="583"/>
      <c r="B5" s="599"/>
      <c r="C5" s="599"/>
      <c r="D5" s="588"/>
      <c r="E5" s="250" t="s">
        <v>609</v>
      </c>
      <c r="F5" s="192">
        <v>0.9</v>
      </c>
      <c r="G5" s="192">
        <v>0.9</v>
      </c>
      <c r="H5" s="192">
        <v>0.9</v>
      </c>
      <c r="I5" s="192">
        <v>0.9</v>
      </c>
      <c r="J5" s="192">
        <v>0.9</v>
      </c>
      <c r="K5" s="192">
        <v>0.9</v>
      </c>
      <c r="L5" s="192">
        <v>0.7</v>
      </c>
      <c r="M5" s="192">
        <v>0.4</v>
      </c>
      <c r="N5" s="192">
        <v>0.4</v>
      </c>
      <c r="O5" s="192">
        <v>0.2</v>
      </c>
      <c r="P5" s="192">
        <v>0.2</v>
      </c>
      <c r="Q5" s="192">
        <v>0.2</v>
      </c>
      <c r="R5" s="192">
        <v>0.2</v>
      </c>
      <c r="S5" s="192">
        <v>0.2</v>
      </c>
      <c r="T5" s="192">
        <v>0.2</v>
      </c>
      <c r="U5" s="192">
        <v>0.3</v>
      </c>
      <c r="V5" s="192">
        <v>0.5</v>
      </c>
      <c r="W5" s="192">
        <v>0.5</v>
      </c>
      <c r="X5" s="192">
        <v>0.5</v>
      </c>
      <c r="Y5" s="192">
        <v>0.7</v>
      </c>
      <c r="Z5" s="192">
        <v>0.7</v>
      </c>
      <c r="AA5" s="192">
        <v>0.8</v>
      </c>
      <c r="AB5" s="192">
        <v>0.9</v>
      </c>
      <c r="AC5" s="199">
        <v>0.9</v>
      </c>
      <c r="AD5" s="48"/>
      <c r="AE5" s="48"/>
      <c r="AF5" s="48"/>
      <c r="AG5" s="48"/>
      <c r="AH5" s="48"/>
      <c r="AI5" s="48"/>
      <c r="AJ5" s="48"/>
      <c r="AK5" s="48"/>
      <c r="AL5" s="48"/>
      <c r="AM5" s="48"/>
      <c r="AN5" s="48"/>
      <c r="AO5" s="48"/>
      <c r="AP5" s="48"/>
      <c r="AQ5" s="48"/>
      <c r="AR5" s="48"/>
      <c r="AS5" s="48"/>
      <c r="AT5" s="48"/>
      <c r="AU5" s="48"/>
      <c r="AV5" s="48"/>
      <c r="AW5" s="48"/>
      <c r="AX5" s="48"/>
    </row>
    <row r="6" spans="1:50" ht="39.950000000000003" customHeight="1" thickBot="1" x14ac:dyDescent="0.3">
      <c r="A6" s="584"/>
      <c r="B6" s="600"/>
      <c r="C6" s="600"/>
      <c r="D6" s="589"/>
      <c r="E6" s="251" t="s">
        <v>610</v>
      </c>
      <c r="F6" s="195">
        <v>0.9</v>
      </c>
      <c r="G6" s="195">
        <v>0.9</v>
      </c>
      <c r="H6" s="195">
        <v>0.9</v>
      </c>
      <c r="I6" s="195">
        <v>0.9</v>
      </c>
      <c r="J6" s="195">
        <v>0.9</v>
      </c>
      <c r="K6" s="195">
        <v>0.9</v>
      </c>
      <c r="L6" s="195">
        <v>0.7</v>
      </c>
      <c r="M6" s="195">
        <v>0.4</v>
      </c>
      <c r="N6" s="195">
        <v>0.4</v>
      </c>
      <c r="O6" s="195">
        <v>0.2</v>
      </c>
      <c r="P6" s="195">
        <v>0.2</v>
      </c>
      <c r="Q6" s="195">
        <v>0.2</v>
      </c>
      <c r="R6" s="195">
        <v>0.2</v>
      </c>
      <c r="S6" s="195">
        <v>0.2</v>
      </c>
      <c r="T6" s="195">
        <v>0.2</v>
      </c>
      <c r="U6" s="195">
        <v>0.3</v>
      </c>
      <c r="V6" s="195">
        <v>0.5</v>
      </c>
      <c r="W6" s="195">
        <v>0.5</v>
      </c>
      <c r="X6" s="195">
        <v>0.5</v>
      </c>
      <c r="Y6" s="195">
        <v>0.7</v>
      </c>
      <c r="Z6" s="195">
        <v>0.7</v>
      </c>
      <c r="AA6" s="195">
        <v>0.8</v>
      </c>
      <c r="AB6" s="195">
        <v>0.9</v>
      </c>
      <c r="AC6" s="196">
        <v>0.9</v>
      </c>
      <c r="AD6" s="48"/>
      <c r="AE6" s="48"/>
      <c r="AF6" s="48"/>
      <c r="AG6" s="48"/>
      <c r="AH6" s="48"/>
      <c r="AI6" s="48"/>
      <c r="AJ6" s="48"/>
      <c r="AK6" s="48"/>
      <c r="AL6" s="48"/>
      <c r="AM6" s="48"/>
      <c r="AN6" s="48"/>
      <c r="AO6" s="48"/>
      <c r="AP6" s="48"/>
      <c r="AQ6" s="48"/>
      <c r="AR6" s="48"/>
      <c r="AS6" s="48"/>
      <c r="AT6" s="48"/>
      <c r="AU6" s="48"/>
      <c r="AV6" s="48"/>
      <c r="AW6" s="48"/>
      <c r="AX6" s="48"/>
    </row>
    <row r="7" spans="1:50" ht="39.950000000000003" customHeight="1" x14ac:dyDescent="0.25">
      <c r="A7" s="585" t="s">
        <v>605</v>
      </c>
      <c r="B7" s="601" t="str">
        <f>B4</f>
        <v>ResidentialLiving</v>
      </c>
      <c r="C7" s="601" t="s">
        <v>611</v>
      </c>
      <c r="D7" s="590" t="s">
        <v>607</v>
      </c>
      <c r="E7" s="249" t="s">
        <v>608</v>
      </c>
      <c r="F7" s="193">
        <v>0.1</v>
      </c>
      <c r="G7" s="193">
        <v>0.1</v>
      </c>
      <c r="H7" s="193">
        <v>0.1</v>
      </c>
      <c r="I7" s="193">
        <v>0.1</v>
      </c>
      <c r="J7" s="193">
        <v>0.1</v>
      </c>
      <c r="K7" s="193">
        <v>0.3</v>
      </c>
      <c r="L7" s="193">
        <v>0.45</v>
      </c>
      <c r="M7" s="193">
        <v>0.45</v>
      </c>
      <c r="N7" s="193">
        <v>0.45</v>
      </c>
      <c r="O7" s="193">
        <v>0.45</v>
      </c>
      <c r="P7" s="193">
        <v>0.3</v>
      </c>
      <c r="Q7" s="193">
        <v>0.3</v>
      </c>
      <c r="R7" s="193">
        <v>0.3</v>
      </c>
      <c r="S7" s="193">
        <v>0.3</v>
      </c>
      <c r="T7" s="193">
        <v>0.3</v>
      </c>
      <c r="U7" s="193">
        <v>0.3</v>
      </c>
      <c r="V7" s="193">
        <v>0.3</v>
      </c>
      <c r="W7" s="193">
        <v>0.3</v>
      </c>
      <c r="X7" s="193">
        <v>0.6</v>
      </c>
      <c r="Y7" s="193">
        <v>0.8</v>
      </c>
      <c r="Z7" s="193">
        <v>0.9</v>
      </c>
      <c r="AA7" s="193">
        <v>0.8</v>
      </c>
      <c r="AB7" s="193">
        <v>0.6</v>
      </c>
      <c r="AC7" s="194">
        <v>0.3</v>
      </c>
      <c r="AD7" s="48"/>
      <c r="AE7" s="48"/>
      <c r="AF7" s="48"/>
      <c r="AG7" s="48"/>
      <c r="AH7" s="48"/>
      <c r="AI7" s="48"/>
      <c r="AJ7" s="48"/>
      <c r="AK7" s="48"/>
      <c r="AL7" s="48"/>
      <c r="AM7" s="48"/>
      <c r="AN7" s="48"/>
      <c r="AO7" s="48"/>
      <c r="AP7" s="48"/>
      <c r="AQ7" s="48"/>
      <c r="AR7" s="48"/>
      <c r="AS7" s="48"/>
      <c r="AT7" s="48"/>
      <c r="AU7" s="48"/>
      <c r="AV7" s="48"/>
      <c r="AW7" s="48"/>
      <c r="AX7" s="48"/>
    </row>
    <row r="8" spans="1:50" ht="39.950000000000003" customHeight="1" x14ac:dyDescent="0.25">
      <c r="A8" s="583"/>
      <c r="B8" s="599"/>
      <c r="C8" s="599"/>
      <c r="D8" s="588"/>
      <c r="E8" s="250" t="s">
        <v>609</v>
      </c>
      <c r="F8" s="192">
        <v>0.1</v>
      </c>
      <c r="G8" s="192">
        <v>0.1</v>
      </c>
      <c r="H8" s="192">
        <v>0.1</v>
      </c>
      <c r="I8" s="192">
        <v>0.1</v>
      </c>
      <c r="J8" s="192">
        <v>0.1</v>
      </c>
      <c r="K8" s="192">
        <v>0.3</v>
      </c>
      <c r="L8" s="192">
        <v>0.45</v>
      </c>
      <c r="M8" s="192">
        <v>0.45</v>
      </c>
      <c r="N8" s="192">
        <v>0.45</v>
      </c>
      <c r="O8" s="192">
        <v>0.45</v>
      </c>
      <c r="P8" s="192">
        <v>0.3</v>
      </c>
      <c r="Q8" s="192">
        <v>0.3</v>
      </c>
      <c r="R8" s="192">
        <v>0.3</v>
      </c>
      <c r="S8" s="192">
        <v>0.3</v>
      </c>
      <c r="T8" s="192">
        <v>0.3</v>
      </c>
      <c r="U8" s="192">
        <v>0.3</v>
      </c>
      <c r="V8" s="192">
        <v>0.3</v>
      </c>
      <c r="W8" s="192">
        <v>0.3</v>
      </c>
      <c r="X8" s="192">
        <v>0.6</v>
      </c>
      <c r="Y8" s="192">
        <v>0.8</v>
      </c>
      <c r="Z8" s="192">
        <v>0.9</v>
      </c>
      <c r="AA8" s="192">
        <v>0.8</v>
      </c>
      <c r="AB8" s="192">
        <v>0.6</v>
      </c>
      <c r="AC8" s="199">
        <v>0.3</v>
      </c>
      <c r="AD8" s="48"/>
      <c r="AE8" s="48"/>
      <c r="AF8" s="48"/>
      <c r="AG8" s="48"/>
      <c r="AH8" s="48"/>
      <c r="AI8" s="48"/>
      <c r="AJ8" s="48"/>
      <c r="AK8" s="48"/>
      <c r="AL8" s="48"/>
      <c r="AM8" s="48"/>
      <c r="AN8" s="48"/>
      <c r="AO8" s="48"/>
      <c r="AP8" s="48"/>
      <c r="AQ8" s="48"/>
      <c r="AR8" s="48"/>
      <c r="AS8" s="48"/>
      <c r="AT8" s="48"/>
      <c r="AU8" s="48"/>
      <c r="AV8" s="48"/>
      <c r="AW8" s="48"/>
      <c r="AX8" s="48"/>
    </row>
    <row r="9" spans="1:50" ht="39.950000000000003" customHeight="1" thickBot="1" x14ac:dyDescent="0.3">
      <c r="A9" s="586"/>
      <c r="B9" s="602"/>
      <c r="C9" s="602"/>
      <c r="D9" s="591"/>
      <c r="E9" s="251" t="s">
        <v>610</v>
      </c>
      <c r="F9" s="195">
        <v>0.1</v>
      </c>
      <c r="G9" s="195">
        <v>0.1</v>
      </c>
      <c r="H9" s="195">
        <v>0.1</v>
      </c>
      <c r="I9" s="195">
        <v>0.1</v>
      </c>
      <c r="J9" s="195">
        <v>0.1</v>
      </c>
      <c r="K9" s="195">
        <v>0.3</v>
      </c>
      <c r="L9" s="195">
        <v>0.45</v>
      </c>
      <c r="M9" s="195">
        <v>0.45</v>
      </c>
      <c r="N9" s="195">
        <v>0.45</v>
      </c>
      <c r="O9" s="195">
        <v>0.45</v>
      </c>
      <c r="P9" s="195">
        <v>0.3</v>
      </c>
      <c r="Q9" s="195">
        <v>0.3</v>
      </c>
      <c r="R9" s="195">
        <v>0.3</v>
      </c>
      <c r="S9" s="195">
        <v>0.3</v>
      </c>
      <c r="T9" s="195">
        <v>0.3</v>
      </c>
      <c r="U9" s="195">
        <v>0.3</v>
      </c>
      <c r="V9" s="195">
        <v>0.3</v>
      </c>
      <c r="W9" s="195">
        <v>0.3</v>
      </c>
      <c r="X9" s="195">
        <v>0.6</v>
      </c>
      <c r="Y9" s="195">
        <v>0.8</v>
      </c>
      <c r="Z9" s="195">
        <v>0.9</v>
      </c>
      <c r="AA9" s="195">
        <v>0.8</v>
      </c>
      <c r="AB9" s="195">
        <v>0.6</v>
      </c>
      <c r="AC9" s="196">
        <v>0.3</v>
      </c>
      <c r="AD9" s="48"/>
      <c r="AE9" s="48"/>
      <c r="AF9" s="48"/>
      <c r="AG9" s="48"/>
      <c r="AH9" s="48"/>
      <c r="AI9" s="48"/>
      <c r="AJ9" s="48"/>
      <c r="AK9" s="48"/>
      <c r="AL9" s="48"/>
      <c r="AM9" s="48"/>
      <c r="AN9" s="48"/>
      <c r="AO9" s="48"/>
      <c r="AP9" s="48"/>
      <c r="AQ9" s="48"/>
      <c r="AR9" s="48"/>
      <c r="AS9" s="48"/>
      <c r="AT9" s="48"/>
      <c r="AU9" s="48"/>
      <c r="AV9" s="48"/>
      <c r="AW9" s="48"/>
      <c r="AX9" s="48"/>
    </row>
    <row r="10" spans="1:50" ht="39.950000000000003" customHeight="1" x14ac:dyDescent="0.25">
      <c r="A10" s="582" t="s">
        <v>605</v>
      </c>
      <c r="B10" s="598" t="str">
        <f>B4</f>
        <v>ResidentialLiving</v>
      </c>
      <c r="C10" s="598" t="s">
        <v>612</v>
      </c>
      <c r="D10" s="587" t="s">
        <v>607</v>
      </c>
      <c r="E10" s="249" t="s">
        <v>608</v>
      </c>
      <c r="F10" s="193">
        <v>0.1</v>
      </c>
      <c r="G10" s="193">
        <v>0.1</v>
      </c>
      <c r="H10" s="193">
        <v>0.1</v>
      </c>
      <c r="I10" s="193">
        <v>0.1</v>
      </c>
      <c r="J10" s="193">
        <v>0.1</v>
      </c>
      <c r="K10" s="193">
        <v>0.3</v>
      </c>
      <c r="L10" s="193">
        <v>0.45</v>
      </c>
      <c r="M10" s="193">
        <v>0.45</v>
      </c>
      <c r="N10" s="193">
        <v>0.45</v>
      </c>
      <c r="O10" s="193">
        <v>0.45</v>
      </c>
      <c r="P10" s="193">
        <v>0.3</v>
      </c>
      <c r="Q10" s="193">
        <v>0.3</v>
      </c>
      <c r="R10" s="193">
        <v>0.3</v>
      </c>
      <c r="S10" s="193">
        <v>0.3</v>
      </c>
      <c r="T10" s="193">
        <v>0.3</v>
      </c>
      <c r="U10" s="193">
        <v>0.3</v>
      </c>
      <c r="V10" s="193">
        <v>0.3</v>
      </c>
      <c r="W10" s="193">
        <v>0.3</v>
      </c>
      <c r="X10" s="193">
        <v>0.6</v>
      </c>
      <c r="Y10" s="193">
        <v>0.8</v>
      </c>
      <c r="Z10" s="193">
        <v>0.9</v>
      </c>
      <c r="AA10" s="193">
        <v>0.8</v>
      </c>
      <c r="AB10" s="193">
        <v>0.6</v>
      </c>
      <c r="AC10" s="194">
        <v>0.3</v>
      </c>
      <c r="AD10" s="49"/>
      <c r="AE10" s="48"/>
      <c r="AF10" s="48"/>
      <c r="AG10" s="48"/>
      <c r="AH10" s="48"/>
      <c r="AI10" s="48"/>
      <c r="AJ10" s="48"/>
      <c r="AK10" s="48"/>
      <c r="AL10" s="48"/>
      <c r="AM10" s="48"/>
      <c r="AN10" s="48"/>
      <c r="AO10" s="48"/>
      <c r="AP10" s="48"/>
      <c r="AQ10" s="48"/>
      <c r="AR10" s="48"/>
      <c r="AS10" s="48"/>
      <c r="AT10" s="48"/>
      <c r="AU10" s="48"/>
      <c r="AV10" s="48"/>
      <c r="AW10" s="48"/>
      <c r="AX10" s="48"/>
    </row>
    <row r="11" spans="1:50" ht="39.950000000000003" customHeight="1" x14ac:dyDescent="0.25">
      <c r="A11" s="583"/>
      <c r="B11" s="599"/>
      <c r="C11" s="599"/>
      <c r="D11" s="588"/>
      <c r="E11" s="250" t="s">
        <v>609</v>
      </c>
      <c r="F11" s="192">
        <v>0.1</v>
      </c>
      <c r="G11" s="192">
        <v>0.1</v>
      </c>
      <c r="H11" s="192">
        <v>0.1</v>
      </c>
      <c r="I11" s="192">
        <v>0.1</v>
      </c>
      <c r="J11" s="192">
        <v>0.1</v>
      </c>
      <c r="K11" s="192">
        <v>0.3</v>
      </c>
      <c r="L11" s="192">
        <v>0.45</v>
      </c>
      <c r="M11" s="192">
        <v>0.45</v>
      </c>
      <c r="N11" s="192">
        <v>0.45</v>
      </c>
      <c r="O11" s="192">
        <v>0.45</v>
      </c>
      <c r="P11" s="192">
        <v>0.3</v>
      </c>
      <c r="Q11" s="192">
        <v>0.3</v>
      </c>
      <c r="R11" s="192">
        <v>0.3</v>
      </c>
      <c r="S11" s="192">
        <v>0.3</v>
      </c>
      <c r="T11" s="192">
        <v>0.3</v>
      </c>
      <c r="U11" s="192">
        <v>0.3</v>
      </c>
      <c r="V11" s="192">
        <v>0.3</v>
      </c>
      <c r="W11" s="192">
        <v>0.3</v>
      </c>
      <c r="X11" s="192">
        <v>0.6</v>
      </c>
      <c r="Y11" s="192">
        <v>0.8</v>
      </c>
      <c r="Z11" s="192">
        <v>0.9</v>
      </c>
      <c r="AA11" s="192">
        <v>0.8</v>
      </c>
      <c r="AB11" s="192">
        <v>0.6</v>
      </c>
      <c r="AC11" s="199">
        <v>0.3</v>
      </c>
      <c r="AD11" s="49"/>
      <c r="AE11" s="48"/>
      <c r="AF11" s="48"/>
      <c r="AG11" s="48"/>
      <c r="AH11" s="48"/>
      <c r="AI11" s="48"/>
      <c r="AJ11" s="48"/>
      <c r="AK11" s="48"/>
      <c r="AL11" s="48"/>
      <c r="AM11" s="48"/>
      <c r="AN11" s="48"/>
      <c r="AO11" s="48"/>
      <c r="AP11" s="48"/>
      <c r="AQ11" s="48"/>
      <c r="AR11" s="48"/>
      <c r="AS11" s="48"/>
      <c r="AT11" s="48"/>
      <c r="AU11" s="48"/>
      <c r="AV11" s="48"/>
      <c r="AW11" s="48"/>
      <c r="AX11" s="48"/>
    </row>
    <row r="12" spans="1:50" ht="39.950000000000003" customHeight="1" thickBot="1" x14ac:dyDescent="0.3">
      <c r="A12" s="584"/>
      <c r="B12" s="600"/>
      <c r="C12" s="600"/>
      <c r="D12" s="589"/>
      <c r="E12" s="252" t="s">
        <v>610</v>
      </c>
      <c r="F12" s="197">
        <v>0.1</v>
      </c>
      <c r="G12" s="197">
        <v>0.1</v>
      </c>
      <c r="H12" s="197">
        <v>0.1</v>
      </c>
      <c r="I12" s="197">
        <v>0.1</v>
      </c>
      <c r="J12" s="197">
        <v>0.1</v>
      </c>
      <c r="K12" s="197">
        <v>0.3</v>
      </c>
      <c r="L12" s="197">
        <v>0.45</v>
      </c>
      <c r="M12" s="197">
        <v>0.45</v>
      </c>
      <c r="N12" s="197">
        <v>0.45</v>
      </c>
      <c r="O12" s="197">
        <v>0.45</v>
      </c>
      <c r="P12" s="197">
        <v>0.3</v>
      </c>
      <c r="Q12" s="197">
        <v>0.3</v>
      </c>
      <c r="R12" s="197">
        <v>0.3</v>
      </c>
      <c r="S12" s="197">
        <v>0.3</v>
      </c>
      <c r="T12" s="197">
        <v>0.3</v>
      </c>
      <c r="U12" s="197">
        <v>0.3</v>
      </c>
      <c r="V12" s="197">
        <v>0.3</v>
      </c>
      <c r="W12" s="197">
        <v>0.3</v>
      </c>
      <c r="X12" s="197">
        <v>0.6</v>
      </c>
      <c r="Y12" s="197">
        <v>0.8</v>
      </c>
      <c r="Z12" s="197">
        <v>0.9</v>
      </c>
      <c r="AA12" s="197">
        <v>0.8</v>
      </c>
      <c r="AB12" s="197">
        <v>0.6</v>
      </c>
      <c r="AC12" s="198">
        <v>0.3</v>
      </c>
      <c r="AD12" s="49"/>
      <c r="AE12" s="48"/>
      <c r="AF12" s="48"/>
      <c r="AG12" s="48"/>
      <c r="AH12" s="48"/>
      <c r="AI12" s="48"/>
      <c r="AJ12" s="48"/>
      <c r="AK12" s="48"/>
      <c r="AL12" s="48"/>
      <c r="AM12" s="48"/>
      <c r="AN12" s="48"/>
      <c r="AO12" s="48"/>
      <c r="AP12" s="48"/>
      <c r="AQ12" s="48"/>
      <c r="AR12" s="48"/>
      <c r="AS12" s="48"/>
      <c r="AT12" s="48"/>
      <c r="AU12" s="48"/>
      <c r="AV12" s="48"/>
      <c r="AW12" s="48"/>
      <c r="AX12" s="48"/>
    </row>
    <row r="13" spans="1:50" ht="39.950000000000003" customHeight="1" x14ac:dyDescent="0.25">
      <c r="A13" s="585" t="s">
        <v>605</v>
      </c>
      <c r="B13" s="601" t="str">
        <f>B4</f>
        <v>ResidentialLiving</v>
      </c>
      <c r="C13" s="604" t="s">
        <v>613</v>
      </c>
      <c r="D13" s="590" t="s">
        <v>607</v>
      </c>
      <c r="E13" s="249" t="s">
        <v>608</v>
      </c>
      <c r="F13" s="193">
        <v>1</v>
      </c>
      <c r="G13" s="193">
        <v>1</v>
      </c>
      <c r="H13" s="193">
        <v>1</v>
      </c>
      <c r="I13" s="193">
        <v>1</v>
      </c>
      <c r="J13" s="193">
        <v>1</v>
      </c>
      <c r="K13" s="193">
        <v>1</v>
      </c>
      <c r="L13" s="193">
        <v>1</v>
      </c>
      <c r="M13" s="193">
        <v>1</v>
      </c>
      <c r="N13" s="193">
        <v>1</v>
      </c>
      <c r="O13" s="193">
        <v>1</v>
      </c>
      <c r="P13" s="193">
        <v>1</v>
      </c>
      <c r="Q13" s="193">
        <v>1</v>
      </c>
      <c r="R13" s="193">
        <v>1</v>
      </c>
      <c r="S13" s="193">
        <v>1</v>
      </c>
      <c r="T13" s="193">
        <v>1</v>
      </c>
      <c r="U13" s="193">
        <v>1</v>
      </c>
      <c r="V13" s="193">
        <v>1</v>
      </c>
      <c r="W13" s="193">
        <v>1</v>
      </c>
      <c r="X13" s="193">
        <v>1</v>
      </c>
      <c r="Y13" s="193">
        <v>1</v>
      </c>
      <c r="Z13" s="193">
        <v>1</v>
      </c>
      <c r="AA13" s="193">
        <v>1</v>
      </c>
      <c r="AB13" s="193">
        <v>1</v>
      </c>
      <c r="AC13" s="194">
        <v>1</v>
      </c>
      <c r="AD13" s="49"/>
      <c r="AE13" s="48"/>
      <c r="AF13" s="48"/>
      <c r="AG13" s="48"/>
      <c r="AH13" s="48"/>
      <c r="AI13" s="48"/>
      <c r="AJ13" s="48"/>
      <c r="AK13" s="48"/>
      <c r="AL13" s="48"/>
      <c r="AM13" s="48"/>
      <c r="AN13" s="48"/>
      <c r="AO13" s="48"/>
      <c r="AP13" s="48"/>
      <c r="AQ13" s="48"/>
      <c r="AR13" s="48"/>
      <c r="AS13" s="48"/>
      <c r="AT13" s="48"/>
      <c r="AU13" s="48"/>
      <c r="AV13" s="48"/>
      <c r="AW13" s="48"/>
      <c r="AX13" s="48"/>
    </row>
    <row r="14" spans="1:50" ht="39.950000000000003" customHeight="1" x14ac:dyDescent="0.25">
      <c r="A14" s="583"/>
      <c r="B14" s="599"/>
      <c r="C14" s="593"/>
      <c r="D14" s="577"/>
      <c r="E14" s="342" t="s">
        <v>609</v>
      </c>
      <c r="F14" s="343">
        <v>1</v>
      </c>
      <c r="G14" s="343">
        <v>1</v>
      </c>
      <c r="H14" s="343">
        <v>1</v>
      </c>
      <c r="I14" s="343">
        <v>1</v>
      </c>
      <c r="J14" s="343">
        <v>1</v>
      </c>
      <c r="K14" s="343">
        <v>1</v>
      </c>
      <c r="L14" s="343">
        <v>1</v>
      </c>
      <c r="M14" s="343">
        <v>1</v>
      </c>
      <c r="N14" s="343">
        <v>1</v>
      </c>
      <c r="O14" s="343">
        <v>1</v>
      </c>
      <c r="P14" s="343">
        <v>1</v>
      </c>
      <c r="Q14" s="343">
        <v>1</v>
      </c>
      <c r="R14" s="343">
        <v>1</v>
      </c>
      <c r="S14" s="343">
        <v>1</v>
      </c>
      <c r="T14" s="343">
        <v>1</v>
      </c>
      <c r="U14" s="343">
        <v>1</v>
      </c>
      <c r="V14" s="343">
        <v>1</v>
      </c>
      <c r="W14" s="343">
        <v>1</v>
      </c>
      <c r="X14" s="343">
        <v>1</v>
      </c>
      <c r="Y14" s="343">
        <v>1</v>
      </c>
      <c r="Z14" s="343">
        <v>1</v>
      </c>
      <c r="AA14" s="343">
        <v>1</v>
      </c>
      <c r="AB14" s="343">
        <v>1</v>
      </c>
      <c r="AC14" s="344">
        <v>1</v>
      </c>
      <c r="AD14" s="49"/>
      <c r="AE14" s="48"/>
      <c r="AF14" s="48"/>
      <c r="AG14" s="48"/>
      <c r="AH14" s="48"/>
      <c r="AI14" s="48"/>
      <c r="AJ14" s="48"/>
      <c r="AK14" s="48"/>
      <c r="AL14" s="48"/>
      <c r="AM14" s="48"/>
      <c r="AN14" s="48"/>
      <c r="AO14" s="48"/>
      <c r="AP14" s="48"/>
      <c r="AQ14" s="48"/>
      <c r="AR14" s="48"/>
      <c r="AS14" s="48"/>
      <c r="AT14" s="48"/>
      <c r="AU14" s="48"/>
      <c r="AV14" s="48"/>
      <c r="AW14" s="48"/>
      <c r="AX14" s="48"/>
    </row>
    <row r="15" spans="1:50" ht="39.950000000000003" customHeight="1" thickBot="1" x14ac:dyDescent="0.3">
      <c r="A15" s="586"/>
      <c r="B15" s="602"/>
      <c r="C15" s="605"/>
      <c r="D15" s="591"/>
      <c r="E15" s="252" t="s">
        <v>610</v>
      </c>
      <c r="F15" s="197">
        <v>1</v>
      </c>
      <c r="G15" s="197">
        <v>1</v>
      </c>
      <c r="H15" s="197">
        <v>1</v>
      </c>
      <c r="I15" s="197">
        <v>1</v>
      </c>
      <c r="J15" s="197">
        <v>1</v>
      </c>
      <c r="K15" s="197">
        <v>1</v>
      </c>
      <c r="L15" s="197">
        <v>1</v>
      </c>
      <c r="M15" s="197">
        <v>1</v>
      </c>
      <c r="N15" s="197">
        <v>1</v>
      </c>
      <c r="O15" s="197">
        <v>1</v>
      </c>
      <c r="P15" s="197">
        <v>1</v>
      </c>
      <c r="Q15" s="197">
        <v>1</v>
      </c>
      <c r="R15" s="197">
        <v>1</v>
      </c>
      <c r="S15" s="197">
        <v>1</v>
      </c>
      <c r="T15" s="197">
        <v>1</v>
      </c>
      <c r="U15" s="197">
        <v>1</v>
      </c>
      <c r="V15" s="197">
        <v>1</v>
      </c>
      <c r="W15" s="197">
        <v>1</v>
      </c>
      <c r="X15" s="197">
        <v>1</v>
      </c>
      <c r="Y15" s="197">
        <v>1</v>
      </c>
      <c r="Z15" s="197">
        <v>1</v>
      </c>
      <c r="AA15" s="197">
        <v>1</v>
      </c>
      <c r="AB15" s="197">
        <v>1</v>
      </c>
      <c r="AC15" s="198">
        <v>1</v>
      </c>
      <c r="AD15" s="48"/>
      <c r="AE15" s="48"/>
      <c r="AF15" s="48"/>
      <c r="AG15" s="48"/>
      <c r="AH15" s="48"/>
      <c r="AI15" s="48"/>
      <c r="AJ15" s="48"/>
      <c r="AK15" s="48"/>
      <c r="AL15" s="48"/>
      <c r="AM15" s="48"/>
      <c r="AN15" s="48"/>
      <c r="AO15" s="48"/>
      <c r="AP15" s="48"/>
      <c r="AQ15" s="48"/>
      <c r="AR15" s="48"/>
      <c r="AS15" s="48"/>
      <c r="AT15" s="48"/>
      <c r="AU15" s="48"/>
      <c r="AV15" s="48"/>
      <c r="AW15" s="48"/>
      <c r="AX15" s="48"/>
    </row>
    <row r="16" spans="1:50" ht="39.950000000000003" customHeight="1" x14ac:dyDescent="0.25">
      <c r="A16" s="582" t="s">
        <v>605</v>
      </c>
      <c r="B16" s="598" t="str">
        <f>B4</f>
        <v>ResidentialLiving</v>
      </c>
      <c r="C16" s="598" t="s">
        <v>620</v>
      </c>
      <c r="D16" s="587" t="s">
        <v>607</v>
      </c>
      <c r="E16" s="249" t="s">
        <v>608</v>
      </c>
      <c r="F16" s="193">
        <v>0.13100000000000001</v>
      </c>
      <c r="G16" s="193">
        <v>7.4999999999999997E-2</v>
      </c>
      <c r="H16" s="193">
        <v>8.4000000000000005E-2</v>
      </c>
      <c r="I16" s="193">
        <v>0.10299999999999999</v>
      </c>
      <c r="J16" s="193">
        <v>0.187</v>
      </c>
      <c r="K16" s="193">
        <v>0.41099999999999998</v>
      </c>
      <c r="L16" s="193">
        <v>0.83199999999999996</v>
      </c>
      <c r="M16" s="193">
        <v>1</v>
      </c>
      <c r="N16" s="193">
        <v>0.83199999999999996</v>
      </c>
      <c r="O16" s="193">
        <v>0.61699999999999999</v>
      </c>
      <c r="P16" s="193">
        <v>0.48599999999999999</v>
      </c>
      <c r="Q16" s="193">
        <v>0.35499999999999998</v>
      </c>
      <c r="R16" s="193">
        <v>0.33600000000000002</v>
      </c>
      <c r="S16" s="193">
        <v>0.308</v>
      </c>
      <c r="T16" s="193">
        <v>0.29899999999999999</v>
      </c>
      <c r="U16" s="193">
        <v>0.24299999999999999</v>
      </c>
      <c r="V16" s="193">
        <v>0.39300000000000002</v>
      </c>
      <c r="W16" s="193">
        <v>0.44900000000000001</v>
      </c>
      <c r="X16" s="193">
        <v>0.48599999999999999</v>
      </c>
      <c r="Y16" s="193">
        <v>0.439</v>
      </c>
      <c r="Z16" s="193">
        <v>0.39300000000000002</v>
      </c>
      <c r="AA16" s="193">
        <v>0.36399999999999999</v>
      </c>
      <c r="AB16" s="193">
        <v>0.33600000000000002</v>
      </c>
      <c r="AC16" s="194">
        <v>0.20599999999999999</v>
      </c>
      <c r="AD16" s="48"/>
      <c r="AE16" s="48"/>
      <c r="AF16" s="48"/>
      <c r="AG16" s="48"/>
      <c r="AH16" s="48"/>
      <c r="AI16" s="48"/>
      <c r="AJ16" s="48"/>
      <c r="AK16" s="48"/>
      <c r="AL16" s="48"/>
      <c r="AM16" s="48"/>
      <c r="AN16" s="48"/>
      <c r="AO16" s="48"/>
      <c r="AP16" s="48"/>
      <c r="AQ16" s="48"/>
      <c r="AR16" s="48"/>
      <c r="AS16" s="48"/>
      <c r="AT16" s="48"/>
      <c r="AU16" s="48"/>
      <c r="AV16" s="48"/>
      <c r="AW16" s="48"/>
      <c r="AX16" s="48"/>
    </row>
    <row r="17" spans="1:50" ht="39.950000000000003" customHeight="1" x14ac:dyDescent="0.25">
      <c r="A17" s="583"/>
      <c r="B17" s="599"/>
      <c r="C17" s="599"/>
      <c r="D17" s="588"/>
      <c r="E17" s="250" t="s">
        <v>609</v>
      </c>
      <c r="F17" s="192">
        <v>0.217</v>
      </c>
      <c r="G17" s="192">
        <v>0.12</v>
      </c>
      <c r="H17" s="192">
        <v>0.108</v>
      </c>
      <c r="I17" s="192">
        <v>9.6000000000000002E-2</v>
      </c>
      <c r="J17" s="192">
        <v>0.18099999999999999</v>
      </c>
      <c r="K17" s="192">
        <v>0.27700000000000002</v>
      </c>
      <c r="L17" s="192">
        <v>0.313</v>
      </c>
      <c r="M17" s="192">
        <v>0.56599999999999995</v>
      </c>
      <c r="N17" s="192">
        <v>0.92800000000000005</v>
      </c>
      <c r="O17" s="192">
        <v>1</v>
      </c>
      <c r="P17" s="192">
        <v>0.89200000000000002</v>
      </c>
      <c r="Q17" s="192">
        <v>0.73499999999999999</v>
      </c>
      <c r="R17" s="192">
        <v>0.61399999999999999</v>
      </c>
      <c r="S17" s="192">
        <v>0.51800000000000002</v>
      </c>
      <c r="T17" s="192">
        <v>0.47</v>
      </c>
      <c r="U17" s="192">
        <v>0.47</v>
      </c>
      <c r="V17" s="192">
        <v>0.627</v>
      </c>
      <c r="W17" s="192">
        <v>0.69899999999999995</v>
      </c>
      <c r="X17" s="192">
        <v>0.67500000000000004</v>
      </c>
      <c r="Y17" s="192">
        <v>0.627</v>
      </c>
      <c r="Z17" s="192">
        <v>0.56599999999999995</v>
      </c>
      <c r="AA17" s="192">
        <v>0.53</v>
      </c>
      <c r="AB17" s="192">
        <v>0.48199999999999998</v>
      </c>
      <c r="AC17" s="199">
        <v>0.33700000000000002</v>
      </c>
      <c r="AD17" s="48"/>
      <c r="AE17" s="48"/>
      <c r="AF17" s="48"/>
      <c r="AG17" s="48"/>
      <c r="AH17" s="48"/>
      <c r="AI17" s="48"/>
      <c r="AJ17" s="48"/>
      <c r="AK17" s="48"/>
      <c r="AL17" s="48"/>
      <c r="AM17" s="48"/>
      <c r="AN17" s="48"/>
      <c r="AO17" s="48"/>
      <c r="AP17" s="48"/>
      <c r="AQ17" s="48"/>
      <c r="AR17" s="48"/>
      <c r="AS17" s="48"/>
      <c r="AT17" s="48"/>
      <c r="AU17" s="48"/>
      <c r="AV17" s="48"/>
      <c r="AW17" s="48"/>
      <c r="AX17" s="48"/>
    </row>
    <row r="18" spans="1:50" ht="39.950000000000003" customHeight="1" thickBot="1" x14ac:dyDescent="0.3">
      <c r="A18" s="584"/>
      <c r="B18" s="600"/>
      <c r="C18" s="600"/>
      <c r="D18" s="589"/>
      <c r="E18" s="251" t="s">
        <v>610</v>
      </c>
      <c r="F18" s="195">
        <v>0.217</v>
      </c>
      <c r="G18" s="195">
        <v>0.12</v>
      </c>
      <c r="H18" s="195">
        <v>0.108</v>
      </c>
      <c r="I18" s="195">
        <v>9.6000000000000002E-2</v>
      </c>
      <c r="J18" s="195">
        <v>0.18099999999999999</v>
      </c>
      <c r="K18" s="195">
        <v>0.27700000000000002</v>
      </c>
      <c r="L18" s="195">
        <v>0.313</v>
      </c>
      <c r="M18" s="195">
        <v>0.56599999999999995</v>
      </c>
      <c r="N18" s="195">
        <v>0.92800000000000005</v>
      </c>
      <c r="O18" s="195">
        <v>1</v>
      </c>
      <c r="P18" s="195">
        <v>0.89200000000000002</v>
      </c>
      <c r="Q18" s="195">
        <v>0.73499999999999999</v>
      </c>
      <c r="R18" s="195">
        <v>0.61399999999999999</v>
      </c>
      <c r="S18" s="195">
        <v>0.51800000000000002</v>
      </c>
      <c r="T18" s="195">
        <v>0.47</v>
      </c>
      <c r="U18" s="195">
        <v>0.47</v>
      </c>
      <c r="V18" s="195">
        <v>0.627</v>
      </c>
      <c r="W18" s="195">
        <v>0.69899999999999995</v>
      </c>
      <c r="X18" s="195">
        <v>0.67500000000000004</v>
      </c>
      <c r="Y18" s="195">
        <v>0.627</v>
      </c>
      <c r="Z18" s="195">
        <v>0.56599999999999995</v>
      </c>
      <c r="AA18" s="195">
        <v>0.53</v>
      </c>
      <c r="AB18" s="195">
        <v>0.48199999999999998</v>
      </c>
      <c r="AC18" s="196">
        <v>0.33700000000000002</v>
      </c>
      <c r="AD18" s="48"/>
      <c r="AE18" s="48"/>
      <c r="AF18" s="48"/>
      <c r="AG18" s="48"/>
      <c r="AH18" s="48"/>
      <c r="AI18" s="48"/>
      <c r="AJ18" s="48"/>
      <c r="AK18" s="48"/>
      <c r="AL18" s="48"/>
      <c r="AM18" s="48"/>
      <c r="AN18" s="48"/>
      <c r="AO18" s="48"/>
      <c r="AP18" s="48"/>
      <c r="AQ18" s="48"/>
      <c r="AR18" s="48"/>
      <c r="AS18" s="48"/>
      <c r="AT18" s="48"/>
      <c r="AU18" s="48"/>
      <c r="AV18" s="48"/>
      <c r="AW18" s="48"/>
      <c r="AX18" s="48"/>
    </row>
    <row r="19" spans="1:50" ht="39.950000000000003" customHeight="1" x14ac:dyDescent="0.25">
      <c r="A19" s="585" t="s">
        <v>605</v>
      </c>
      <c r="B19" s="601" t="str">
        <f>B4</f>
        <v>ResidentialLiving</v>
      </c>
      <c r="C19" s="601" t="s">
        <v>614</v>
      </c>
      <c r="D19" s="590" t="s">
        <v>607</v>
      </c>
      <c r="E19" s="249" t="s">
        <v>608</v>
      </c>
      <c r="F19" s="193">
        <v>0</v>
      </c>
      <c r="G19" s="193">
        <v>0</v>
      </c>
      <c r="H19" s="193">
        <v>0</v>
      </c>
      <c r="I19" s="193">
        <v>0</v>
      </c>
      <c r="J19" s="193">
        <v>0</v>
      </c>
      <c r="K19" s="193">
        <v>0</v>
      </c>
      <c r="L19" s="193">
        <v>0.5</v>
      </c>
      <c r="M19" s="193">
        <v>0.5</v>
      </c>
      <c r="N19" s="193">
        <v>0</v>
      </c>
      <c r="O19" s="193">
        <v>0</v>
      </c>
      <c r="P19" s="193">
        <v>0</v>
      </c>
      <c r="Q19" s="193">
        <v>0.2</v>
      </c>
      <c r="R19" s="193">
        <v>0.2</v>
      </c>
      <c r="S19" s="193">
        <v>0</v>
      </c>
      <c r="T19" s="193">
        <v>0</v>
      </c>
      <c r="U19" s="193">
        <v>0</v>
      </c>
      <c r="V19" s="193">
        <v>0.5</v>
      </c>
      <c r="W19" s="193">
        <v>0.5</v>
      </c>
      <c r="X19" s="193">
        <v>0.5</v>
      </c>
      <c r="Y19" s="193">
        <v>0</v>
      </c>
      <c r="Z19" s="193">
        <v>0</v>
      </c>
      <c r="AA19" s="193">
        <v>0</v>
      </c>
      <c r="AB19" s="193">
        <v>0</v>
      </c>
      <c r="AC19" s="194">
        <v>0</v>
      </c>
      <c r="AD19" s="48"/>
      <c r="AE19" s="48"/>
      <c r="AF19" s="48"/>
      <c r="AG19" s="48"/>
      <c r="AH19" s="48"/>
      <c r="AI19" s="48"/>
      <c r="AJ19" s="48"/>
      <c r="AK19" s="48"/>
      <c r="AL19" s="48"/>
      <c r="AM19" s="48"/>
      <c r="AN19" s="48"/>
      <c r="AO19" s="48"/>
      <c r="AP19" s="48"/>
      <c r="AQ19" s="48"/>
      <c r="AR19" s="48"/>
      <c r="AS19" s="48"/>
      <c r="AT19" s="48"/>
      <c r="AU19" s="48"/>
      <c r="AV19" s="48"/>
      <c r="AW19" s="48"/>
      <c r="AX19" s="48"/>
    </row>
    <row r="20" spans="1:50" ht="39.950000000000003" customHeight="1" x14ac:dyDescent="0.25">
      <c r="A20" s="583"/>
      <c r="B20" s="599"/>
      <c r="C20" s="599"/>
      <c r="D20" s="588"/>
      <c r="E20" s="250" t="s">
        <v>609</v>
      </c>
      <c r="F20" s="192">
        <v>0</v>
      </c>
      <c r="G20" s="192">
        <v>0</v>
      </c>
      <c r="H20" s="192">
        <v>0</v>
      </c>
      <c r="I20" s="192">
        <v>0</v>
      </c>
      <c r="J20" s="192">
        <v>0</v>
      </c>
      <c r="K20" s="192">
        <v>0</v>
      </c>
      <c r="L20" s="192">
        <v>0.5</v>
      </c>
      <c r="M20" s="192">
        <v>0.5</v>
      </c>
      <c r="N20" s="192">
        <v>0</v>
      </c>
      <c r="O20" s="192">
        <v>0</v>
      </c>
      <c r="P20" s="192">
        <v>0</v>
      </c>
      <c r="Q20" s="192">
        <v>0.2</v>
      </c>
      <c r="R20" s="192">
        <v>0.2</v>
      </c>
      <c r="S20" s="192">
        <v>0</v>
      </c>
      <c r="T20" s="192">
        <v>0</v>
      </c>
      <c r="U20" s="192">
        <v>0</v>
      </c>
      <c r="V20" s="192">
        <v>0.5</v>
      </c>
      <c r="W20" s="192">
        <v>0.5</v>
      </c>
      <c r="X20" s="192">
        <v>0.5</v>
      </c>
      <c r="Y20" s="192">
        <v>0</v>
      </c>
      <c r="Z20" s="192">
        <v>0</v>
      </c>
      <c r="AA20" s="192">
        <v>0</v>
      </c>
      <c r="AB20" s="192">
        <v>0</v>
      </c>
      <c r="AC20" s="199">
        <v>0</v>
      </c>
      <c r="AD20" s="48"/>
      <c r="AE20" s="48"/>
      <c r="AF20" s="48"/>
      <c r="AG20" s="48"/>
      <c r="AH20" s="48"/>
      <c r="AI20" s="48"/>
      <c r="AJ20" s="48"/>
      <c r="AK20" s="48"/>
      <c r="AL20" s="48"/>
      <c r="AM20" s="48"/>
      <c r="AN20" s="48"/>
      <c r="AO20" s="48"/>
      <c r="AP20" s="48"/>
      <c r="AQ20" s="48"/>
      <c r="AR20" s="48"/>
      <c r="AS20" s="48"/>
      <c r="AT20" s="48"/>
      <c r="AU20" s="48"/>
      <c r="AV20" s="48"/>
      <c r="AW20" s="48"/>
      <c r="AX20" s="48"/>
    </row>
    <row r="21" spans="1:50" ht="39.950000000000003" customHeight="1" thickBot="1" x14ac:dyDescent="0.3">
      <c r="A21" s="586"/>
      <c r="B21" s="602"/>
      <c r="C21" s="602"/>
      <c r="D21" s="591"/>
      <c r="E21" s="252" t="s">
        <v>610</v>
      </c>
      <c r="F21" s="197">
        <v>0</v>
      </c>
      <c r="G21" s="197">
        <v>0</v>
      </c>
      <c r="H21" s="197">
        <v>0</v>
      </c>
      <c r="I21" s="197">
        <v>0</v>
      </c>
      <c r="J21" s="197">
        <v>0</v>
      </c>
      <c r="K21" s="197">
        <v>0</v>
      </c>
      <c r="L21" s="197">
        <v>0.5</v>
      </c>
      <c r="M21" s="197">
        <v>0.5</v>
      </c>
      <c r="N21" s="197">
        <v>0</v>
      </c>
      <c r="O21" s="197">
        <v>0</v>
      </c>
      <c r="P21" s="197">
        <v>0</v>
      </c>
      <c r="Q21" s="197">
        <v>0.2</v>
      </c>
      <c r="R21" s="197">
        <v>0.2</v>
      </c>
      <c r="S21" s="197">
        <v>0</v>
      </c>
      <c r="T21" s="197">
        <v>0</v>
      </c>
      <c r="U21" s="197">
        <v>0</v>
      </c>
      <c r="V21" s="197">
        <v>0.5</v>
      </c>
      <c r="W21" s="197">
        <v>0.5</v>
      </c>
      <c r="X21" s="197">
        <v>0.5</v>
      </c>
      <c r="Y21" s="197">
        <v>0</v>
      </c>
      <c r="Z21" s="197">
        <v>0</v>
      </c>
      <c r="AA21" s="197">
        <v>0</v>
      </c>
      <c r="AB21" s="197">
        <v>0</v>
      </c>
      <c r="AC21" s="198">
        <v>0</v>
      </c>
      <c r="AD21" s="48"/>
      <c r="AE21" s="48"/>
      <c r="AF21" s="48"/>
      <c r="AG21" s="48"/>
      <c r="AH21" s="48"/>
      <c r="AI21" s="48"/>
      <c r="AJ21" s="48"/>
      <c r="AK21" s="48"/>
      <c r="AL21" s="48"/>
      <c r="AM21" s="48"/>
      <c r="AN21" s="48"/>
      <c r="AO21" s="48"/>
      <c r="AP21" s="48"/>
      <c r="AQ21" s="48"/>
      <c r="AR21" s="48"/>
      <c r="AS21" s="48"/>
      <c r="AT21" s="48"/>
      <c r="AU21" s="48"/>
      <c r="AV21" s="48"/>
      <c r="AW21" s="48"/>
      <c r="AX21" s="48"/>
    </row>
    <row r="22" spans="1:50" ht="39.950000000000003" customHeight="1" x14ac:dyDescent="0.25">
      <c r="A22" s="582" t="s">
        <v>605</v>
      </c>
      <c r="B22" s="598" t="str">
        <f>B4</f>
        <v>ResidentialLiving</v>
      </c>
      <c r="C22" s="598" t="s">
        <v>615</v>
      </c>
      <c r="D22" s="587" t="s">
        <v>607</v>
      </c>
      <c r="E22" s="249" t="s">
        <v>608</v>
      </c>
      <c r="F22" s="346">
        <f>IF(F13=0,Thermostat!$B$4,Thermostat!$B$3)</f>
        <v>68</v>
      </c>
      <c r="G22" s="346">
        <f>IF(G13=0,Thermostat!$B$4,Thermostat!$B$3)</f>
        <v>68</v>
      </c>
      <c r="H22" s="346">
        <f>IF(H13=0,Thermostat!$B$4,Thermostat!$B$3)</f>
        <v>68</v>
      </c>
      <c r="I22" s="346">
        <f>IF(I13=0,Thermostat!$B$4,Thermostat!$B$3)</f>
        <v>68</v>
      </c>
      <c r="J22" s="346">
        <f>IF(J13=0,Thermostat!$B$4,Thermostat!$B$3)</f>
        <v>68</v>
      </c>
      <c r="K22" s="346">
        <f>IF(K13=0,Thermostat!$B$4,Thermostat!$B$3)</f>
        <v>68</v>
      </c>
      <c r="L22" s="346">
        <f>IF(L13=0,Thermostat!$B$4,Thermostat!$B$3)</f>
        <v>68</v>
      </c>
      <c r="M22" s="346">
        <f>IF(M13=0,Thermostat!$B$4,Thermostat!$B$3)</f>
        <v>68</v>
      </c>
      <c r="N22" s="346">
        <f>IF(N13=0,Thermostat!$B$4,Thermostat!$B$3)</f>
        <v>68</v>
      </c>
      <c r="O22" s="346">
        <f>IF(O13=0,Thermostat!$B$4,Thermostat!$B$3)</f>
        <v>68</v>
      </c>
      <c r="P22" s="346">
        <f>IF(P13=0,Thermostat!$B$4,Thermostat!$B$3)</f>
        <v>68</v>
      </c>
      <c r="Q22" s="346">
        <f>IF(Q13=0,Thermostat!$B$4,Thermostat!$B$3)</f>
        <v>68</v>
      </c>
      <c r="R22" s="346">
        <f>IF(R13=0,Thermostat!$B$4,Thermostat!$B$3)</f>
        <v>68</v>
      </c>
      <c r="S22" s="346">
        <f>IF(S13=0,Thermostat!$B$4,Thermostat!$B$3)</f>
        <v>68</v>
      </c>
      <c r="T22" s="346">
        <f>IF(T13=0,Thermostat!$B$4,Thermostat!$B$3)</f>
        <v>68</v>
      </c>
      <c r="U22" s="346">
        <f>IF(U13=0,Thermostat!$B$4,Thermostat!$B$3)</f>
        <v>68</v>
      </c>
      <c r="V22" s="346">
        <f>IF(V13=0,Thermostat!$B$4,Thermostat!$B$3)</f>
        <v>68</v>
      </c>
      <c r="W22" s="346">
        <f>IF(W13=0,Thermostat!$B$4,Thermostat!$B$3)</f>
        <v>68</v>
      </c>
      <c r="X22" s="346">
        <f>IF(X13=0,Thermostat!$B$4,Thermostat!$B$3)</f>
        <v>68</v>
      </c>
      <c r="Y22" s="346">
        <f>IF(Y13=0,Thermostat!$B$4,Thermostat!$B$3)</f>
        <v>68</v>
      </c>
      <c r="Z22" s="346">
        <f>IF(Z13=0,Thermostat!$B$4,Thermostat!$B$3)</f>
        <v>68</v>
      </c>
      <c r="AA22" s="346">
        <f>IF(AA13=0,Thermostat!$B$4,Thermostat!$B$3)</f>
        <v>68</v>
      </c>
      <c r="AB22" s="346">
        <f>IF(AB13=0,Thermostat!$B$4,Thermostat!$B$3)</f>
        <v>68</v>
      </c>
      <c r="AC22" s="200">
        <f>IF(AC13=0,Thermostat!$B$4,Thermostat!$B$3)</f>
        <v>68</v>
      </c>
      <c r="AD22" s="48"/>
      <c r="AE22" s="48"/>
      <c r="AF22" s="48"/>
      <c r="AG22" s="48"/>
      <c r="AH22" s="48"/>
      <c r="AI22" s="48"/>
      <c r="AJ22" s="48"/>
      <c r="AK22" s="48"/>
      <c r="AL22" s="48"/>
      <c r="AM22" s="48"/>
      <c r="AN22" s="48"/>
      <c r="AO22" s="48"/>
      <c r="AP22" s="48"/>
      <c r="AQ22" s="48"/>
      <c r="AR22" s="48"/>
      <c r="AS22" s="48"/>
      <c r="AT22" s="48"/>
      <c r="AU22" s="48"/>
      <c r="AV22" s="48"/>
      <c r="AW22" s="48"/>
      <c r="AX22" s="48"/>
    </row>
    <row r="23" spans="1:50" ht="39.950000000000003" customHeight="1" x14ac:dyDescent="0.25">
      <c r="A23" s="583"/>
      <c r="B23" s="599"/>
      <c r="C23" s="599"/>
      <c r="D23" s="588"/>
      <c r="E23" s="250" t="s">
        <v>609</v>
      </c>
      <c r="F23" s="347">
        <f>IF(F14=0,Thermostat!$B$4,Thermostat!$B$3)</f>
        <v>68</v>
      </c>
      <c r="G23" s="347">
        <f>IF(G14=0,Thermostat!$B$4,Thermostat!$B$3)</f>
        <v>68</v>
      </c>
      <c r="H23" s="347">
        <f>IF(H14=0,Thermostat!$B$4,Thermostat!$B$3)</f>
        <v>68</v>
      </c>
      <c r="I23" s="347">
        <f>IF(I14=0,Thermostat!$B$4,Thermostat!$B$3)</f>
        <v>68</v>
      </c>
      <c r="J23" s="347">
        <f>IF(J14=0,Thermostat!$B$4,Thermostat!$B$3)</f>
        <v>68</v>
      </c>
      <c r="K23" s="347">
        <f>IF(K14=0,Thermostat!$B$4,Thermostat!$B$3)</f>
        <v>68</v>
      </c>
      <c r="L23" s="347">
        <f>IF(L14=0,Thermostat!$B$4,Thermostat!$B$3)</f>
        <v>68</v>
      </c>
      <c r="M23" s="347">
        <f>IF(M14=0,Thermostat!$B$4,Thermostat!$B$3)</f>
        <v>68</v>
      </c>
      <c r="N23" s="347">
        <f>IF(N14=0,Thermostat!$B$4,Thermostat!$B$3)</f>
        <v>68</v>
      </c>
      <c r="O23" s="347">
        <f>IF(O14=0,Thermostat!$B$4,Thermostat!$B$3)</f>
        <v>68</v>
      </c>
      <c r="P23" s="347">
        <f>IF(P14=0,Thermostat!$B$4,Thermostat!$B$3)</f>
        <v>68</v>
      </c>
      <c r="Q23" s="347">
        <f>IF(Q14=0,Thermostat!$B$4,Thermostat!$B$3)</f>
        <v>68</v>
      </c>
      <c r="R23" s="347">
        <f>IF(R14=0,Thermostat!$B$4,Thermostat!$B$3)</f>
        <v>68</v>
      </c>
      <c r="S23" s="347">
        <f>IF(S14=0,Thermostat!$B$4,Thermostat!$B$3)</f>
        <v>68</v>
      </c>
      <c r="T23" s="347">
        <f>IF(T14=0,Thermostat!$B$4,Thermostat!$B$3)</f>
        <v>68</v>
      </c>
      <c r="U23" s="347">
        <f>IF(U14=0,Thermostat!$B$4,Thermostat!$B$3)</f>
        <v>68</v>
      </c>
      <c r="V23" s="347">
        <f>IF(V14=0,Thermostat!$B$4,Thermostat!$B$3)</f>
        <v>68</v>
      </c>
      <c r="W23" s="347">
        <f>IF(W14=0,Thermostat!$B$4,Thermostat!$B$3)</f>
        <v>68</v>
      </c>
      <c r="X23" s="347">
        <f>IF(X14=0,Thermostat!$B$4,Thermostat!$B$3)</f>
        <v>68</v>
      </c>
      <c r="Y23" s="347">
        <f>IF(Y14=0,Thermostat!$B$4,Thermostat!$B$3)</f>
        <v>68</v>
      </c>
      <c r="Z23" s="347">
        <f>IF(Z14=0,Thermostat!$B$4,Thermostat!$B$3)</f>
        <v>68</v>
      </c>
      <c r="AA23" s="347">
        <f>IF(AA14=0,Thermostat!$B$4,Thermostat!$B$3)</f>
        <v>68</v>
      </c>
      <c r="AB23" s="347">
        <f>IF(AB14=0,Thermostat!$B$4,Thermostat!$B$3)</f>
        <v>68</v>
      </c>
      <c r="AC23" s="348">
        <f>IF(AC14=0,Thermostat!$B$4,Thermostat!$B$3)</f>
        <v>68</v>
      </c>
      <c r="AD23" s="48"/>
      <c r="AE23" s="48"/>
      <c r="AF23" s="48"/>
      <c r="AG23" s="48"/>
      <c r="AH23" s="48"/>
      <c r="AI23" s="48"/>
      <c r="AJ23" s="48"/>
      <c r="AK23" s="48"/>
      <c r="AL23" s="48"/>
      <c r="AM23" s="48"/>
      <c r="AN23" s="48"/>
      <c r="AO23" s="48"/>
      <c r="AP23" s="48"/>
      <c r="AQ23" s="48"/>
      <c r="AR23" s="48"/>
      <c r="AS23" s="48"/>
      <c r="AT23" s="48"/>
      <c r="AU23" s="48"/>
      <c r="AV23" s="48"/>
      <c r="AW23" s="48"/>
      <c r="AX23" s="48"/>
    </row>
    <row r="24" spans="1:50" ht="39.950000000000003" customHeight="1" thickBot="1" x14ac:dyDescent="0.3">
      <c r="A24" s="586"/>
      <c r="B24" s="602"/>
      <c r="C24" s="602"/>
      <c r="D24" s="591"/>
      <c r="E24" s="251" t="s">
        <v>610</v>
      </c>
      <c r="F24" s="349">
        <f>IF(F15=0,Thermostat!$B$4,Thermostat!$B$3)</f>
        <v>68</v>
      </c>
      <c r="G24" s="349">
        <f>IF(G15=0,Thermostat!$B$4,Thermostat!$B$3)</f>
        <v>68</v>
      </c>
      <c r="H24" s="349">
        <f>IF(H15=0,Thermostat!$B$4,Thermostat!$B$3)</f>
        <v>68</v>
      </c>
      <c r="I24" s="349">
        <f>IF(I15=0,Thermostat!$B$4,Thermostat!$B$3)</f>
        <v>68</v>
      </c>
      <c r="J24" s="349">
        <f>IF(J15=0,Thermostat!$B$4,Thermostat!$B$3)</f>
        <v>68</v>
      </c>
      <c r="K24" s="349">
        <f>IF(K15=0,Thermostat!$B$4,Thermostat!$B$3)</f>
        <v>68</v>
      </c>
      <c r="L24" s="349">
        <f>IF(L15=0,Thermostat!$B$4,Thermostat!$B$3)</f>
        <v>68</v>
      </c>
      <c r="M24" s="349">
        <f>IF(M15=0,Thermostat!$B$4,Thermostat!$B$3)</f>
        <v>68</v>
      </c>
      <c r="N24" s="349">
        <f>IF(N15=0,Thermostat!$B$4,Thermostat!$B$3)</f>
        <v>68</v>
      </c>
      <c r="O24" s="349">
        <f>IF(O15=0,Thermostat!$B$4,Thermostat!$B$3)</f>
        <v>68</v>
      </c>
      <c r="P24" s="349">
        <f>IF(P15=0,Thermostat!$B$4,Thermostat!$B$3)</f>
        <v>68</v>
      </c>
      <c r="Q24" s="349">
        <f>IF(Q15=0,Thermostat!$B$4,Thermostat!$B$3)</f>
        <v>68</v>
      </c>
      <c r="R24" s="349">
        <f>IF(R15=0,Thermostat!$B$4,Thermostat!$B$3)</f>
        <v>68</v>
      </c>
      <c r="S24" s="349">
        <f>IF(S15=0,Thermostat!$B$4,Thermostat!$B$3)</f>
        <v>68</v>
      </c>
      <c r="T24" s="349">
        <f>IF(T15=0,Thermostat!$B$4,Thermostat!$B$3)</f>
        <v>68</v>
      </c>
      <c r="U24" s="349">
        <f>IF(U15=0,Thermostat!$B$4,Thermostat!$B$3)</f>
        <v>68</v>
      </c>
      <c r="V24" s="349">
        <f>IF(V15=0,Thermostat!$B$4,Thermostat!$B$3)</f>
        <v>68</v>
      </c>
      <c r="W24" s="349">
        <f>IF(W15=0,Thermostat!$B$4,Thermostat!$B$3)</f>
        <v>68</v>
      </c>
      <c r="X24" s="349">
        <f>IF(X15=0,Thermostat!$B$4,Thermostat!$B$3)</f>
        <v>68</v>
      </c>
      <c r="Y24" s="349">
        <f>IF(Y15=0,Thermostat!$B$4,Thermostat!$B$3)</f>
        <v>68</v>
      </c>
      <c r="Z24" s="349">
        <f>IF(Z15=0,Thermostat!$B$4,Thermostat!$B$3)</f>
        <v>68</v>
      </c>
      <c r="AA24" s="349">
        <f>IF(AA15=0,Thermostat!$B$4,Thermostat!$B$3)</f>
        <v>68</v>
      </c>
      <c r="AB24" s="349">
        <f>IF(AB15=0,Thermostat!$B$4,Thermostat!$B$3)</f>
        <v>68</v>
      </c>
      <c r="AC24" s="350">
        <f>IF(AC15=0,Thermostat!$B$4,Thermostat!$B$3)</f>
        <v>68</v>
      </c>
      <c r="AD24" s="48"/>
      <c r="AE24" s="48"/>
      <c r="AF24" s="48"/>
      <c r="AG24" s="48"/>
      <c r="AH24" s="48"/>
      <c r="AI24" s="48"/>
      <c r="AJ24" s="48"/>
      <c r="AK24" s="48"/>
      <c r="AL24" s="48"/>
      <c r="AM24" s="48"/>
      <c r="AN24" s="48"/>
      <c r="AO24" s="48"/>
      <c r="AP24" s="48"/>
      <c r="AQ24" s="48"/>
      <c r="AR24" s="48"/>
      <c r="AS24" s="48"/>
      <c r="AT24" s="48"/>
      <c r="AU24" s="48"/>
      <c r="AV24" s="48"/>
      <c r="AW24" s="48"/>
      <c r="AX24" s="48"/>
    </row>
    <row r="25" spans="1:50" ht="39.950000000000003" customHeight="1" x14ac:dyDescent="0.25">
      <c r="A25" s="582" t="s">
        <v>605</v>
      </c>
      <c r="B25" s="598" t="str">
        <f>B4</f>
        <v>ResidentialLiving</v>
      </c>
      <c r="C25" s="598" t="s">
        <v>616</v>
      </c>
      <c r="D25" s="587" t="s">
        <v>607</v>
      </c>
      <c r="E25" s="249" t="s">
        <v>608</v>
      </c>
      <c r="F25" s="346">
        <f>IF(F13=0,Thermostat!$B$6,Thermostat!$B$5)</f>
        <v>78</v>
      </c>
      <c r="G25" s="346">
        <f>IF(G13=0,Thermostat!$B$6,Thermostat!$B$5)</f>
        <v>78</v>
      </c>
      <c r="H25" s="346">
        <f>IF(H13=0,Thermostat!$B$6,Thermostat!$B$5)</f>
        <v>78</v>
      </c>
      <c r="I25" s="346">
        <f>IF(I13=0,Thermostat!$B$6,Thermostat!$B$5)</f>
        <v>78</v>
      </c>
      <c r="J25" s="346">
        <f>IF(J13=0,Thermostat!$B$6,Thermostat!$B$5)</f>
        <v>78</v>
      </c>
      <c r="K25" s="346">
        <f>IF(K13=0,Thermostat!$B$6,Thermostat!$B$5)</f>
        <v>78</v>
      </c>
      <c r="L25" s="346">
        <f>IF(L13=0,Thermostat!$B$6,Thermostat!$B$5)</f>
        <v>78</v>
      </c>
      <c r="M25" s="346">
        <f>IF(M13=0,Thermostat!$B$6,Thermostat!$B$5)</f>
        <v>78</v>
      </c>
      <c r="N25" s="346">
        <f>IF(N13=0,Thermostat!$B$6,Thermostat!$B$5)</f>
        <v>78</v>
      </c>
      <c r="O25" s="346">
        <f>IF(O13=0,Thermostat!$B$6,Thermostat!$B$5)</f>
        <v>78</v>
      </c>
      <c r="P25" s="346">
        <f>IF(P13=0,Thermostat!$B$6,Thermostat!$B$5)</f>
        <v>78</v>
      </c>
      <c r="Q25" s="346">
        <f>IF(Q13=0,Thermostat!$B$6,Thermostat!$B$5)</f>
        <v>78</v>
      </c>
      <c r="R25" s="346">
        <f>IF(R13=0,Thermostat!$B$6,Thermostat!$B$5)</f>
        <v>78</v>
      </c>
      <c r="S25" s="346">
        <f>IF(S13=0,Thermostat!$B$6,Thermostat!$B$5)</f>
        <v>78</v>
      </c>
      <c r="T25" s="346">
        <f>IF(T13=0,Thermostat!$B$6,Thermostat!$B$5)</f>
        <v>78</v>
      </c>
      <c r="U25" s="346">
        <f>IF(U13=0,Thermostat!$B$6,Thermostat!$B$5)</f>
        <v>78</v>
      </c>
      <c r="V25" s="346">
        <f>IF(V13=0,Thermostat!$B$6,Thermostat!$B$5)</f>
        <v>78</v>
      </c>
      <c r="W25" s="346">
        <f>IF(W13=0,Thermostat!$B$6,Thermostat!$B$5)</f>
        <v>78</v>
      </c>
      <c r="X25" s="346">
        <f>IF(X13=0,Thermostat!$B$6,Thermostat!$B$5)</f>
        <v>78</v>
      </c>
      <c r="Y25" s="346">
        <f>IF(Y13=0,Thermostat!$B$6,Thermostat!$B$5)</f>
        <v>78</v>
      </c>
      <c r="Z25" s="346">
        <f>IF(Z13=0,Thermostat!$B$6,Thermostat!$B$5)</f>
        <v>78</v>
      </c>
      <c r="AA25" s="346">
        <f>IF(AA13=0,Thermostat!$B$6,Thermostat!$B$5)</f>
        <v>78</v>
      </c>
      <c r="AB25" s="346">
        <f>IF(AB13=0,Thermostat!$B$6,Thermostat!$B$5)</f>
        <v>78</v>
      </c>
      <c r="AC25" s="200">
        <f>IF(AC13=0,Thermostat!$B$6,Thermostat!$B$5)</f>
        <v>78</v>
      </c>
      <c r="AD25" s="48"/>
      <c r="AE25" s="48"/>
      <c r="AF25" s="48"/>
      <c r="AG25" s="48"/>
      <c r="AH25" s="48"/>
      <c r="AI25" s="48"/>
      <c r="AJ25" s="48"/>
      <c r="AK25" s="48"/>
      <c r="AL25" s="48"/>
      <c r="AM25" s="48"/>
      <c r="AN25" s="48"/>
      <c r="AO25" s="48"/>
      <c r="AP25" s="48"/>
      <c r="AQ25" s="48"/>
      <c r="AR25" s="48"/>
      <c r="AS25" s="48"/>
      <c r="AT25" s="48"/>
      <c r="AU25" s="48"/>
      <c r="AV25" s="48"/>
      <c r="AW25" s="48"/>
      <c r="AX25" s="48"/>
    </row>
    <row r="26" spans="1:50" ht="39.950000000000003" customHeight="1" x14ac:dyDescent="0.25">
      <c r="A26" s="583"/>
      <c r="B26" s="599"/>
      <c r="C26" s="599"/>
      <c r="D26" s="588"/>
      <c r="E26" s="250" t="s">
        <v>609</v>
      </c>
      <c r="F26" s="347">
        <f>IF(F14=0,Thermostat!$B$6,Thermostat!$B$5)</f>
        <v>78</v>
      </c>
      <c r="G26" s="347">
        <f>IF(G14=0,Thermostat!$B$6,Thermostat!$B$5)</f>
        <v>78</v>
      </c>
      <c r="H26" s="347">
        <f>IF(H14=0,Thermostat!$B$6,Thermostat!$B$5)</f>
        <v>78</v>
      </c>
      <c r="I26" s="347">
        <f>IF(I14=0,Thermostat!$B$6,Thermostat!$B$5)</f>
        <v>78</v>
      </c>
      <c r="J26" s="347">
        <f>IF(J14=0,Thermostat!$B$6,Thermostat!$B$5)</f>
        <v>78</v>
      </c>
      <c r="K26" s="347">
        <f>IF(K14=0,Thermostat!$B$6,Thermostat!$B$5)</f>
        <v>78</v>
      </c>
      <c r="L26" s="347">
        <f>IF(L14=0,Thermostat!$B$6,Thermostat!$B$5)</f>
        <v>78</v>
      </c>
      <c r="M26" s="347">
        <f>IF(M14=0,Thermostat!$B$6,Thermostat!$B$5)</f>
        <v>78</v>
      </c>
      <c r="N26" s="347">
        <f>IF(N14=0,Thermostat!$B$6,Thermostat!$B$5)</f>
        <v>78</v>
      </c>
      <c r="O26" s="347">
        <f>IF(O14=0,Thermostat!$B$6,Thermostat!$B$5)</f>
        <v>78</v>
      </c>
      <c r="P26" s="347">
        <f>IF(P14=0,Thermostat!$B$6,Thermostat!$B$5)</f>
        <v>78</v>
      </c>
      <c r="Q26" s="347">
        <f>IF(Q14=0,Thermostat!$B$6,Thermostat!$B$5)</f>
        <v>78</v>
      </c>
      <c r="R26" s="347">
        <f>IF(R14=0,Thermostat!$B$6,Thermostat!$B$5)</f>
        <v>78</v>
      </c>
      <c r="S26" s="347">
        <f>IF(S14=0,Thermostat!$B$6,Thermostat!$B$5)</f>
        <v>78</v>
      </c>
      <c r="T26" s="347">
        <f>IF(T14=0,Thermostat!$B$6,Thermostat!$B$5)</f>
        <v>78</v>
      </c>
      <c r="U26" s="347">
        <f>IF(U14=0,Thermostat!$B$6,Thermostat!$B$5)</f>
        <v>78</v>
      </c>
      <c r="V26" s="347">
        <f>IF(V14=0,Thermostat!$B$6,Thermostat!$B$5)</f>
        <v>78</v>
      </c>
      <c r="W26" s="347">
        <f>IF(W14=0,Thermostat!$B$6,Thermostat!$B$5)</f>
        <v>78</v>
      </c>
      <c r="X26" s="347">
        <f>IF(X14=0,Thermostat!$B$6,Thermostat!$B$5)</f>
        <v>78</v>
      </c>
      <c r="Y26" s="347">
        <f>IF(Y14=0,Thermostat!$B$6,Thermostat!$B$5)</f>
        <v>78</v>
      </c>
      <c r="Z26" s="347">
        <f>IF(Z14=0,Thermostat!$B$6,Thermostat!$B$5)</f>
        <v>78</v>
      </c>
      <c r="AA26" s="347">
        <f>IF(AA14=0,Thermostat!$B$6,Thermostat!$B$5)</f>
        <v>78</v>
      </c>
      <c r="AB26" s="347">
        <f>IF(AB14=0,Thermostat!$B$6,Thermostat!$B$5)</f>
        <v>78</v>
      </c>
      <c r="AC26" s="348">
        <f>IF(AC14=0,Thermostat!$B$6,Thermostat!$B$5)</f>
        <v>78</v>
      </c>
      <c r="AD26" s="48"/>
      <c r="AE26" s="48"/>
      <c r="AF26" s="48"/>
      <c r="AG26" s="48"/>
      <c r="AH26" s="48"/>
      <c r="AI26" s="48"/>
      <c r="AJ26" s="48"/>
      <c r="AK26" s="48"/>
      <c r="AL26" s="48"/>
      <c r="AM26" s="48"/>
      <c r="AN26" s="48"/>
      <c r="AO26" s="48"/>
      <c r="AP26" s="48"/>
      <c r="AQ26" s="48"/>
      <c r="AR26" s="48"/>
      <c r="AS26" s="48"/>
      <c r="AT26" s="48"/>
      <c r="AU26" s="48"/>
      <c r="AV26" s="48"/>
      <c r="AW26" s="48"/>
      <c r="AX26" s="48"/>
    </row>
    <row r="27" spans="1:50" ht="39.950000000000003" customHeight="1" thickBot="1" x14ac:dyDescent="0.3">
      <c r="A27" s="584"/>
      <c r="B27" s="600"/>
      <c r="C27" s="600"/>
      <c r="D27" s="589"/>
      <c r="E27" s="251" t="s">
        <v>610</v>
      </c>
      <c r="F27" s="349">
        <f>IF(F15=0,Thermostat!$B$6,Thermostat!$B$5)</f>
        <v>78</v>
      </c>
      <c r="G27" s="349">
        <f>IF(G15=0,Thermostat!$B$6,Thermostat!$B$5)</f>
        <v>78</v>
      </c>
      <c r="H27" s="349">
        <f>IF(H15=0,Thermostat!$B$6,Thermostat!$B$5)</f>
        <v>78</v>
      </c>
      <c r="I27" s="349">
        <f>IF(I15=0,Thermostat!$B$6,Thermostat!$B$5)</f>
        <v>78</v>
      </c>
      <c r="J27" s="349">
        <f>IF(J15=0,Thermostat!$B$6,Thermostat!$B$5)</f>
        <v>78</v>
      </c>
      <c r="K27" s="349">
        <f>IF(K15=0,Thermostat!$B$6,Thermostat!$B$5)</f>
        <v>78</v>
      </c>
      <c r="L27" s="349">
        <f>IF(L15=0,Thermostat!$B$6,Thermostat!$B$5)</f>
        <v>78</v>
      </c>
      <c r="M27" s="349">
        <f>IF(M15=0,Thermostat!$B$6,Thermostat!$B$5)</f>
        <v>78</v>
      </c>
      <c r="N27" s="349">
        <f>IF(N15=0,Thermostat!$B$6,Thermostat!$B$5)</f>
        <v>78</v>
      </c>
      <c r="O27" s="349">
        <f>IF(O15=0,Thermostat!$B$6,Thermostat!$B$5)</f>
        <v>78</v>
      </c>
      <c r="P27" s="349">
        <f>IF(P15=0,Thermostat!$B$6,Thermostat!$B$5)</f>
        <v>78</v>
      </c>
      <c r="Q27" s="349">
        <f>IF(Q15=0,Thermostat!$B$6,Thermostat!$B$5)</f>
        <v>78</v>
      </c>
      <c r="R27" s="349">
        <f>IF(R15=0,Thermostat!$B$6,Thermostat!$B$5)</f>
        <v>78</v>
      </c>
      <c r="S27" s="349">
        <f>IF(S15=0,Thermostat!$B$6,Thermostat!$B$5)</f>
        <v>78</v>
      </c>
      <c r="T27" s="349">
        <f>IF(T15=0,Thermostat!$B$6,Thermostat!$B$5)</f>
        <v>78</v>
      </c>
      <c r="U27" s="349">
        <f>IF(U15=0,Thermostat!$B$6,Thermostat!$B$5)</f>
        <v>78</v>
      </c>
      <c r="V27" s="349">
        <f>IF(V15=0,Thermostat!$B$6,Thermostat!$B$5)</f>
        <v>78</v>
      </c>
      <c r="W27" s="349">
        <f>IF(W15=0,Thermostat!$B$6,Thermostat!$B$5)</f>
        <v>78</v>
      </c>
      <c r="X27" s="349">
        <f>IF(X15=0,Thermostat!$B$6,Thermostat!$B$5)</f>
        <v>78</v>
      </c>
      <c r="Y27" s="349">
        <f>IF(Y15=0,Thermostat!$B$6,Thermostat!$B$5)</f>
        <v>78</v>
      </c>
      <c r="Z27" s="349">
        <f>IF(Z15=0,Thermostat!$B$6,Thermostat!$B$5)</f>
        <v>78</v>
      </c>
      <c r="AA27" s="349">
        <f>IF(AA15=0,Thermostat!$B$6,Thermostat!$B$5)</f>
        <v>78</v>
      </c>
      <c r="AB27" s="349">
        <f>IF(AB15=0,Thermostat!$B$6,Thermostat!$B$5)</f>
        <v>78</v>
      </c>
      <c r="AC27" s="350">
        <f>IF(AC15=0,Thermostat!$B$6,Thermostat!$B$5)</f>
        <v>78</v>
      </c>
      <c r="AD27" s="48"/>
      <c r="AE27" s="48"/>
      <c r="AF27" s="48"/>
      <c r="AG27" s="48"/>
      <c r="AH27" s="48"/>
      <c r="AI27" s="48"/>
      <c r="AJ27" s="48"/>
      <c r="AK27" s="48"/>
      <c r="AL27" s="48"/>
      <c r="AM27" s="48"/>
      <c r="AN27" s="48"/>
      <c r="AO27" s="48"/>
      <c r="AP27" s="48"/>
      <c r="AQ27" s="48"/>
      <c r="AR27" s="48"/>
      <c r="AS27" s="48"/>
      <c r="AT27" s="48"/>
      <c r="AU27" s="48"/>
      <c r="AV27" s="48"/>
      <c r="AW27" s="48"/>
      <c r="AX27" s="48"/>
    </row>
    <row r="28" spans="1:50" ht="39.950000000000003" customHeight="1" x14ac:dyDescent="0.25">
      <c r="A28" s="585" t="s">
        <v>605</v>
      </c>
      <c r="B28" s="601" t="str">
        <f>B4</f>
        <v>ResidentialLiving</v>
      </c>
      <c r="C28" s="601" t="s">
        <v>379</v>
      </c>
      <c r="D28" s="590" t="s">
        <v>607</v>
      </c>
      <c r="E28" s="249" t="s">
        <v>608</v>
      </c>
      <c r="F28" s="193">
        <v>1</v>
      </c>
      <c r="G28" s="193">
        <v>1</v>
      </c>
      <c r="H28" s="193">
        <v>1</v>
      </c>
      <c r="I28" s="193">
        <v>1</v>
      </c>
      <c r="J28" s="193">
        <v>1</v>
      </c>
      <c r="K28" s="193">
        <v>1</v>
      </c>
      <c r="L28" s="193">
        <v>1</v>
      </c>
      <c r="M28" s="193">
        <v>1</v>
      </c>
      <c r="N28" s="193">
        <v>1</v>
      </c>
      <c r="O28" s="193">
        <v>1</v>
      </c>
      <c r="P28" s="193">
        <v>1</v>
      </c>
      <c r="Q28" s="193">
        <v>1</v>
      </c>
      <c r="R28" s="193">
        <v>1</v>
      </c>
      <c r="S28" s="193">
        <v>1</v>
      </c>
      <c r="T28" s="193">
        <v>1</v>
      </c>
      <c r="U28" s="193">
        <v>1</v>
      </c>
      <c r="V28" s="193">
        <v>1</v>
      </c>
      <c r="W28" s="193">
        <v>1</v>
      </c>
      <c r="X28" s="193">
        <v>1</v>
      </c>
      <c r="Y28" s="193">
        <v>1</v>
      </c>
      <c r="Z28" s="193">
        <v>1</v>
      </c>
      <c r="AA28" s="193">
        <v>1</v>
      </c>
      <c r="AB28" s="193">
        <v>1</v>
      </c>
      <c r="AC28" s="194">
        <v>1</v>
      </c>
      <c r="AD28" s="48"/>
      <c r="AE28" s="48"/>
      <c r="AF28" s="48"/>
      <c r="AG28" s="48"/>
      <c r="AH28" s="48"/>
      <c r="AI28" s="48"/>
      <c r="AJ28" s="48"/>
      <c r="AK28" s="48"/>
      <c r="AL28" s="48"/>
      <c r="AM28" s="48"/>
      <c r="AN28" s="48"/>
      <c r="AO28" s="48"/>
      <c r="AP28" s="48"/>
      <c r="AQ28" s="48"/>
      <c r="AR28" s="48"/>
      <c r="AS28" s="48"/>
      <c r="AT28" s="48"/>
      <c r="AU28" s="48"/>
      <c r="AV28" s="48"/>
      <c r="AW28" s="48"/>
      <c r="AX28" s="48"/>
    </row>
    <row r="29" spans="1:50" ht="39.950000000000003" customHeight="1" x14ac:dyDescent="0.25">
      <c r="A29" s="583"/>
      <c r="B29" s="599"/>
      <c r="C29" s="599"/>
      <c r="D29" s="588"/>
      <c r="E29" s="250" t="s">
        <v>609</v>
      </c>
      <c r="F29" s="192">
        <v>1</v>
      </c>
      <c r="G29" s="192">
        <v>1</v>
      </c>
      <c r="H29" s="192">
        <v>1</v>
      </c>
      <c r="I29" s="192">
        <v>1</v>
      </c>
      <c r="J29" s="192">
        <v>1</v>
      </c>
      <c r="K29" s="192">
        <v>1</v>
      </c>
      <c r="L29" s="192">
        <v>1</v>
      </c>
      <c r="M29" s="192">
        <v>1</v>
      </c>
      <c r="N29" s="192">
        <v>1</v>
      </c>
      <c r="O29" s="192">
        <v>1</v>
      </c>
      <c r="P29" s="192">
        <v>1</v>
      </c>
      <c r="Q29" s="192">
        <v>1</v>
      </c>
      <c r="R29" s="192">
        <v>1</v>
      </c>
      <c r="S29" s="192">
        <v>1</v>
      </c>
      <c r="T29" s="192">
        <v>1</v>
      </c>
      <c r="U29" s="192">
        <v>1</v>
      </c>
      <c r="V29" s="192">
        <v>1</v>
      </c>
      <c r="W29" s="192">
        <v>1</v>
      </c>
      <c r="X29" s="192">
        <v>1</v>
      </c>
      <c r="Y29" s="192">
        <v>1</v>
      </c>
      <c r="Z29" s="192">
        <v>1</v>
      </c>
      <c r="AA29" s="192">
        <v>1</v>
      </c>
      <c r="AB29" s="192">
        <v>1</v>
      </c>
      <c r="AC29" s="199">
        <v>1</v>
      </c>
      <c r="AD29" s="48"/>
      <c r="AE29" s="48"/>
      <c r="AF29" s="48"/>
      <c r="AG29" s="48"/>
      <c r="AH29" s="48"/>
      <c r="AI29" s="48"/>
      <c r="AJ29" s="48"/>
      <c r="AK29" s="48"/>
      <c r="AL29" s="48"/>
      <c r="AM29" s="48"/>
      <c r="AN29" s="48"/>
      <c r="AO29" s="48"/>
      <c r="AP29" s="48"/>
      <c r="AQ29" s="48"/>
      <c r="AR29" s="48"/>
      <c r="AS29" s="48"/>
      <c r="AT29" s="48"/>
      <c r="AU29" s="48"/>
      <c r="AV29" s="48"/>
      <c r="AW29" s="48"/>
      <c r="AX29" s="48"/>
    </row>
    <row r="30" spans="1:50" ht="39.950000000000003" customHeight="1" thickBot="1" x14ac:dyDescent="0.3">
      <c r="A30" s="584"/>
      <c r="B30" s="600"/>
      <c r="C30" s="600"/>
      <c r="D30" s="589"/>
      <c r="E30" s="252" t="s">
        <v>610</v>
      </c>
      <c r="F30" s="197">
        <v>1</v>
      </c>
      <c r="G30" s="197">
        <v>1</v>
      </c>
      <c r="H30" s="197">
        <v>1</v>
      </c>
      <c r="I30" s="197">
        <v>1</v>
      </c>
      <c r="J30" s="197">
        <v>1</v>
      </c>
      <c r="K30" s="197">
        <v>1</v>
      </c>
      <c r="L30" s="197">
        <v>1</v>
      </c>
      <c r="M30" s="197">
        <v>1</v>
      </c>
      <c r="N30" s="197">
        <v>1</v>
      </c>
      <c r="O30" s="197">
        <v>1</v>
      </c>
      <c r="P30" s="197">
        <v>1</v>
      </c>
      <c r="Q30" s="197">
        <v>1</v>
      </c>
      <c r="R30" s="197">
        <v>1</v>
      </c>
      <c r="S30" s="197">
        <v>1</v>
      </c>
      <c r="T30" s="197">
        <v>1</v>
      </c>
      <c r="U30" s="197">
        <v>1</v>
      </c>
      <c r="V30" s="197">
        <v>1</v>
      </c>
      <c r="W30" s="197">
        <v>1</v>
      </c>
      <c r="X30" s="197">
        <v>1</v>
      </c>
      <c r="Y30" s="197">
        <v>1</v>
      </c>
      <c r="Z30" s="197">
        <v>1</v>
      </c>
      <c r="AA30" s="197">
        <v>1</v>
      </c>
      <c r="AB30" s="197">
        <v>1</v>
      </c>
      <c r="AC30" s="198">
        <v>1</v>
      </c>
      <c r="AD30" s="48"/>
      <c r="AE30" s="48"/>
      <c r="AF30" s="48"/>
      <c r="AG30" s="48"/>
      <c r="AH30" s="48"/>
      <c r="AI30" s="48"/>
      <c r="AJ30" s="48"/>
      <c r="AK30" s="48"/>
      <c r="AL30" s="48"/>
      <c r="AM30" s="48"/>
      <c r="AN30" s="48"/>
      <c r="AO30" s="48"/>
      <c r="AP30" s="48"/>
      <c r="AQ30" s="48"/>
      <c r="AR30" s="48"/>
      <c r="AS30" s="48"/>
      <c r="AT30" s="48"/>
      <c r="AU30" s="48"/>
      <c r="AV30" s="48"/>
      <c r="AW30" s="48"/>
      <c r="AX30" s="48"/>
    </row>
    <row r="31" spans="1:50" ht="39.950000000000003" customHeight="1" x14ac:dyDescent="0.25">
      <c r="A31" s="585" t="s">
        <v>605</v>
      </c>
      <c r="B31" s="601" t="str">
        <f>B4</f>
        <v>ResidentialLiving</v>
      </c>
      <c r="C31" s="601" t="s">
        <v>617</v>
      </c>
      <c r="D31" s="590" t="s">
        <v>607</v>
      </c>
      <c r="E31" s="249" t="s">
        <v>608</v>
      </c>
      <c r="F31" s="193">
        <v>0.9</v>
      </c>
      <c r="G31" s="193">
        <v>0.9</v>
      </c>
      <c r="H31" s="193">
        <v>0.9</v>
      </c>
      <c r="I31" s="193">
        <v>0.9</v>
      </c>
      <c r="J31" s="193">
        <v>0.9</v>
      </c>
      <c r="K31" s="193">
        <v>0.9</v>
      </c>
      <c r="L31" s="193">
        <v>0.9</v>
      </c>
      <c r="M31" s="193">
        <v>0.9</v>
      </c>
      <c r="N31" s="193">
        <v>0.9</v>
      </c>
      <c r="O31" s="193">
        <v>0.9</v>
      </c>
      <c r="P31" s="193">
        <v>0.9</v>
      </c>
      <c r="Q31" s="193">
        <v>0.9</v>
      </c>
      <c r="R31" s="193">
        <v>0.9</v>
      </c>
      <c r="S31" s="193">
        <v>0.9</v>
      </c>
      <c r="T31" s="193">
        <v>0.9</v>
      </c>
      <c r="U31" s="193">
        <v>0.9</v>
      </c>
      <c r="V31" s="193">
        <v>0.9</v>
      </c>
      <c r="W31" s="193">
        <v>0.9</v>
      </c>
      <c r="X31" s="193">
        <v>0.9</v>
      </c>
      <c r="Y31" s="193">
        <v>0.9</v>
      </c>
      <c r="Z31" s="193">
        <v>0.9</v>
      </c>
      <c r="AA31" s="193">
        <v>0.9</v>
      </c>
      <c r="AB31" s="193">
        <v>0.9</v>
      </c>
      <c r="AC31" s="194">
        <v>0.9</v>
      </c>
      <c r="AD31" s="48"/>
      <c r="AE31" s="48"/>
      <c r="AF31" s="48"/>
      <c r="AG31" s="48"/>
      <c r="AH31" s="48"/>
      <c r="AI31" s="48"/>
      <c r="AJ31" s="48"/>
      <c r="AK31" s="48"/>
      <c r="AL31" s="48"/>
      <c r="AM31" s="48"/>
      <c r="AN31" s="48"/>
      <c r="AO31" s="48"/>
      <c r="AP31" s="48"/>
      <c r="AQ31" s="48"/>
      <c r="AR31" s="48"/>
      <c r="AS31" s="48"/>
      <c r="AT31" s="48"/>
      <c r="AU31" s="48"/>
      <c r="AV31" s="48"/>
      <c r="AW31" s="48"/>
      <c r="AX31" s="48"/>
    </row>
    <row r="32" spans="1:50" ht="39.950000000000003" customHeight="1" x14ac:dyDescent="0.25">
      <c r="A32" s="583"/>
      <c r="B32" s="599"/>
      <c r="C32" s="599"/>
      <c r="D32" s="588"/>
      <c r="E32" s="250" t="s">
        <v>609</v>
      </c>
      <c r="F32" s="192">
        <v>0.9</v>
      </c>
      <c r="G32" s="192">
        <v>0.9</v>
      </c>
      <c r="H32" s="192">
        <v>0.9</v>
      </c>
      <c r="I32" s="192">
        <v>0.9</v>
      </c>
      <c r="J32" s="192">
        <v>0.9</v>
      </c>
      <c r="K32" s="192">
        <v>0.9</v>
      </c>
      <c r="L32" s="192">
        <v>0.9</v>
      </c>
      <c r="M32" s="192">
        <v>0.9</v>
      </c>
      <c r="N32" s="192">
        <v>0.9</v>
      </c>
      <c r="O32" s="192">
        <v>0.9</v>
      </c>
      <c r="P32" s="192">
        <v>0.9</v>
      </c>
      <c r="Q32" s="192">
        <v>0.9</v>
      </c>
      <c r="R32" s="192">
        <v>0.9</v>
      </c>
      <c r="S32" s="192">
        <v>0.9</v>
      </c>
      <c r="T32" s="192">
        <v>0.9</v>
      </c>
      <c r="U32" s="192">
        <v>0.9</v>
      </c>
      <c r="V32" s="192">
        <v>0.9</v>
      </c>
      <c r="W32" s="192">
        <v>0.9</v>
      </c>
      <c r="X32" s="192">
        <v>0.9</v>
      </c>
      <c r="Y32" s="192">
        <v>0.9</v>
      </c>
      <c r="Z32" s="192">
        <v>0.9</v>
      </c>
      <c r="AA32" s="192">
        <v>0.9</v>
      </c>
      <c r="AB32" s="192">
        <v>0.9</v>
      </c>
      <c r="AC32" s="199">
        <v>0.9</v>
      </c>
      <c r="AE32" s="48"/>
      <c r="AF32" s="48"/>
      <c r="AG32" s="48"/>
      <c r="AH32" s="48"/>
      <c r="AI32" s="48"/>
      <c r="AJ32" s="48"/>
      <c r="AK32" s="48"/>
      <c r="AL32" s="48"/>
      <c r="AM32" s="48"/>
      <c r="AN32" s="48"/>
      <c r="AO32" s="48"/>
      <c r="AP32" s="48"/>
      <c r="AQ32" s="48"/>
      <c r="AR32" s="48"/>
      <c r="AS32" s="48"/>
      <c r="AT32" s="48"/>
      <c r="AU32" s="48"/>
      <c r="AV32" s="48"/>
      <c r="AW32" s="48"/>
      <c r="AX32" s="48"/>
    </row>
    <row r="33" spans="1:50" ht="39.75" customHeight="1" thickBot="1" x14ac:dyDescent="0.3">
      <c r="A33" s="584"/>
      <c r="B33" s="600"/>
      <c r="C33" s="600"/>
      <c r="D33" s="589"/>
      <c r="E33" s="251" t="s">
        <v>610</v>
      </c>
      <c r="F33" s="195">
        <v>0.9</v>
      </c>
      <c r="G33" s="195">
        <v>0.9</v>
      </c>
      <c r="H33" s="195">
        <v>0.9</v>
      </c>
      <c r="I33" s="195">
        <v>0.9</v>
      </c>
      <c r="J33" s="195">
        <v>0.9</v>
      </c>
      <c r="K33" s="195">
        <v>0.9</v>
      </c>
      <c r="L33" s="195">
        <v>0.9</v>
      </c>
      <c r="M33" s="195">
        <v>0.9</v>
      </c>
      <c r="N33" s="195">
        <v>0.9</v>
      </c>
      <c r="O33" s="195">
        <v>0.9</v>
      </c>
      <c r="P33" s="195">
        <v>0.9</v>
      </c>
      <c r="Q33" s="195">
        <v>0.9</v>
      </c>
      <c r="R33" s="195">
        <v>0.9</v>
      </c>
      <c r="S33" s="195">
        <v>0.9</v>
      </c>
      <c r="T33" s="195">
        <v>0.9</v>
      </c>
      <c r="U33" s="195">
        <v>0.9</v>
      </c>
      <c r="V33" s="195">
        <v>0.9</v>
      </c>
      <c r="W33" s="195">
        <v>0.9</v>
      </c>
      <c r="X33" s="195">
        <v>0.9</v>
      </c>
      <c r="Y33" s="195">
        <v>0.9</v>
      </c>
      <c r="Z33" s="195">
        <v>0.9</v>
      </c>
      <c r="AA33" s="195">
        <v>0.9</v>
      </c>
      <c r="AB33" s="195">
        <v>0.9</v>
      </c>
      <c r="AC33" s="196">
        <v>0.9</v>
      </c>
      <c r="AE33" s="48"/>
      <c r="AF33" s="48"/>
      <c r="AG33" s="48"/>
      <c r="AH33" s="48"/>
      <c r="AI33" s="48"/>
      <c r="AJ33" s="48"/>
      <c r="AK33" s="48"/>
      <c r="AL33" s="48"/>
      <c r="AM33" s="48"/>
      <c r="AN33" s="48"/>
      <c r="AO33" s="48"/>
      <c r="AP33" s="48"/>
      <c r="AQ33" s="48"/>
      <c r="AR33" s="48"/>
      <c r="AS33" s="48"/>
      <c r="AT33" s="48"/>
      <c r="AU33" s="48"/>
      <c r="AV33" s="48"/>
      <c r="AW33" s="48"/>
      <c r="AX33" s="48"/>
    </row>
    <row r="34" spans="1:50" ht="29.25" customHeight="1" thickBot="1" x14ac:dyDescent="0.3">
      <c r="A34" s="566" t="s">
        <v>618</v>
      </c>
      <c r="B34" s="567"/>
      <c r="C34" s="567"/>
      <c r="D34" s="567"/>
      <c r="E34" s="567"/>
      <c r="F34" s="567"/>
      <c r="G34" s="567"/>
      <c r="H34" s="567"/>
      <c r="I34" s="567"/>
      <c r="J34" s="567"/>
      <c r="K34" s="567"/>
      <c r="L34" s="567"/>
      <c r="M34" s="567"/>
      <c r="N34" s="567"/>
      <c r="O34" s="567"/>
      <c r="P34" s="567"/>
      <c r="Q34" s="567"/>
      <c r="R34" s="567"/>
      <c r="S34" s="567"/>
      <c r="T34" s="567"/>
      <c r="U34" s="567"/>
      <c r="V34" s="567"/>
      <c r="W34" s="567"/>
      <c r="X34" s="567"/>
      <c r="Y34" s="567"/>
      <c r="Z34" s="567"/>
      <c r="AA34" s="567"/>
      <c r="AB34" s="567"/>
      <c r="AC34" s="568"/>
      <c r="AD34" s="48"/>
      <c r="AE34" s="48"/>
      <c r="AF34" s="48"/>
      <c r="AG34" s="48"/>
      <c r="AH34" s="48"/>
      <c r="AI34" s="48"/>
      <c r="AJ34" s="48"/>
      <c r="AK34" s="48"/>
      <c r="AL34" s="48"/>
      <c r="AM34" s="48"/>
      <c r="AN34" s="48"/>
      <c r="AO34" s="48"/>
      <c r="AP34" s="48"/>
      <c r="AQ34" s="48"/>
      <c r="AR34" s="48"/>
      <c r="AS34" s="48"/>
      <c r="AT34" s="48"/>
      <c r="AU34" s="48"/>
      <c r="AV34" s="48"/>
      <c r="AW34" s="48"/>
      <c r="AX34" s="48"/>
    </row>
    <row r="35" spans="1:50" ht="39.950000000000003" customHeight="1" x14ac:dyDescent="0.25">
      <c r="A35" s="582" t="s">
        <v>618</v>
      </c>
      <c r="B35" s="592" t="s">
        <v>84</v>
      </c>
      <c r="C35" s="598" t="s">
        <v>606</v>
      </c>
      <c r="D35" s="587" t="s">
        <v>619</v>
      </c>
      <c r="E35" s="249" t="s">
        <v>608</v>
      </c>
      <c r="F35" s="193">
        <v>0.1</v>
      </c>
      <c r="G35" s="193">
        <v>0.1</v>
      </c>
      <c r="H35" s="193">
        <v>0.1</v>
      </c>
      <c r="I35" s="193">
        <v>0.1</v>
      </c>
      <c r="J35" s="193">
        <v>0.1</v>
      </c>
      <c r="K35" s="193">
        <v>0.3</v>
      </c>
      <c r="L35" s="193">
        <v>0.45</v>
      </c>
      <c r="M35" s="193">
        <v>0.45</v>
      </c>
      <c r="N35" s="193">
        <v>0.45</v>
      </c>
      <c r="O35" s="193">
        <v>0.45</v>
      </c>
      <c r="P35" s="193">
        <v>0.3</v>
      </c>
      <c r="Q35" s="193">
        <v>0.3</v>
      </c>
      <c r="R35" s="193">
        <v>0.3</v>
      </c>
      <c r="S35" s="193">
        <v>0.3</v>
      </c>
      <c r="T35" s="193">
        <v>0.3</v>
      </c>
      <c r="U35" s="193">
        <v>0.3</v>
      </c>
      <c r="V35" s="193">
        <v>0.3</v>
      </c>
      <c r="W35" s="193">
        <v>0.3</v>
      </c>
      <c r="X35" s="193">
        <v>0.6</v>
      </c>
      <c r="Y35" s="193">
        <v>0.8</v>
      </c>
      <c r="Z35" s="193">
        <v>0.9</v>
      </c>
      <c r="AA35" s="193">
        <v>0.8</v>
      </c>
      <c r="AB35" s="193">
        <v>0.6</v>
      </c>
      <c r="AC35" s="194">
        <v>0.3</v>
      </c>
      <c r="AD35" s="48"/>
      <c r="AE35" s="48"/>
      <c r="AF35" s="48"/>
      <c r="AG35" s="48"/>
      <c r="AH35" s="48"/>
      <c r="AI35" s="48"/>
      <c r="AJ35" s="48"/>
      <c r="AK35" s="48"/>
      <c r="AL35" s="48"/>
      <c r="AM35" s="48"/>
      <c r="AN35" s="48"/>
      <c r="AO35" s="48"/>
      <c r="AP35" s="48"/>
      <c r="AQ35" s="48"/>
      <c r="AR35" s="48"/>
      <c r="AS35" s="48"/>
      <c r="AT35" s="48"/>
      <c r="AU35" s="48"/>
      <c r="AV35" s="48"/>
      <c r="AW35" s="48"/>
      <c r="AX35" s="48"/>
    </row>
    <row r="36" spans="1:50" ht="39.950000000000003" customHeight="1" x14ac:dyDescent="0.25">
      <c r="A36" s="583"/>
      <c r="B36" s="593"/>
      <c r="C36" s="599"/>
      <c r="D36" s="588"/>
      <c r="E36" s="250" t="s">
        <v>609</v>
      </c>
      <c r="F36" s="192">
        <v>0.1</v>
      </c>
      <c r="G36" s="192">
        <v>0.1</v>
      </c>
      <c r="H36" s="192">
        <v>0.1</v>
      </c>
      <c r="I36" s="192">
        <v>0.1</v>
      </c>
      <c r="J36" s="192">
        <v>0.1</v>
      </c>
      <c r="K36" s="192">
        <v>0.3</v>
      </c>
      <c r="L36" s="192">
        <v>0.45</v>
      </c>
      <c r="M36" s="192">
        <v>0.45</v>
      </c>
      <c r="N36" s="192">
        <v>0.45</v>
      </c>
      <c r="O36" s="192">
        <v>0.45</v>
      </c>
      <c r="P36" s="192">
        <v>0.3</v>
      </c>
      <c r="Q36" s="192">
        <v>0.3</v>
      </c>
      <c r="R36" s="192">
        <v>0.3</v>
      </c>
      <c r="S36" s="192">
        <v>0.3</v>
      </c>
      <c r="T36" s="192">
        <v>0.3</v>
      </c>
      <c r="U36" s="192">
        <v>0.3</v>
      </c>
      <c r="V36" s="192">
        <v>0.3</v>
      </c>
      <c r="W36" s="192">
        <v>0.3</v>
      </c>
      <c r="X36" s="192">
        <v>0.6</v>
      </c>
      <c r="Y36" s="192">
        <v>0.8</v>
      </c>
      <c r="Z36" s="192">
        <v>0.9</v>
      </c>
      <c r="AA36" s="192">
        <v>0.8</v>
      </c>
      <c r="AB36" s="192">
        <v>0.6</v>
      </c>
      <c r="AC36" s="199">
        <v>0.3</v>
      </c>
      <c r="AD36" s="48"/>
      <c r="AE36" s="48"/>
      <c r="AF36" s="48"/>
      <c r="AG36" s="48"/>
      <c r="AH36" s="48"/>
      <c r="AI36" s="48"/>
      <c r="AJ36" s="48"/>
      <c r="AK36" s="48"/>
      <c r="AL36" s="48"/>
      <c r="AM36" s="48"/>
      <c r="AN36" s="48"/>
      <c r="AO36" s="48"/>
      <c r="AP36" s="48"/>
      <c r="AQ36" s="48"/>
      <c r="AR36" s="48"/>
      <c r="AS36" s="48"/>
      <c r="AT36" s="48"/>
      <c r="AU36" s="48"/>
      <c r="AV36" s="48"/>
      <c r="AW36" s="48"/>
      <c r="AX36" s="48"/>
    </row>
    <row r="37" spans="1:50" ht="39.950000000000003" customHeight="1" thickBot="1" x14ac:dyDescent="0.3">
      <c r="A37" s="584"/>
      <c r="B37" s="594"/>
      <c r="C37" s="600"/>
      <c r="D37" s="589"/>
      <c r="E37" s="251" t="s">
        <v>610</v>
      </c>
      <c r="F37" s="195">
        <v>0.1</v>
      </c>
      <c r="G37" s="195">
        <v>0.1</v>
      </c>
      <c r="H37" s="195">
        <v>0.1</v>
      </c>
      <c r="I37" s="195">
        <v>0.1</v>
      </c>
      <c r="J37" s="195">
        <v>0.1</v>
      </c>
      <c r="K37" s="195">
        <v>0.3</v>
      </c>
      <c r="L37" s="195">
        <v>0.45</v>
      </c>
      <c r="M37" s="195">
        <v>0.45</v>
      </c>
      <c r="N37" s="195">
        <v>0.45</v>
      </c>
      <c r="O37" s="195">
        <v>0.45</v>
      </c>
      <c r="P37" s="195">
        <v>0.3</v>
      </c>
      <c r="Q37" s="195">
        <v>0.3</v>
      </c>
      <c r="R37" s="195">
        <v>0.3</v>
      </c>
      <c r="S37" s="195">
        <v>0.3</v>
      </c>
      <c r="T37" s="195">
        <v>0.3</v>
      </c>
      <c r="U37" s="195">
        <v>0.3</v>
      </c>
      <c r="V37" s="195">
        <v>0.3</v>
      </c>
      <c r="W37" s="195">
        <v>0.3</v>
      </c>
      <c r="X37" s="195">
        <v>0.6</v>
      </c>
      <c r="Y37" s="195">
        <v>0.8</v>
      </c>
      <c r="Z37" s="195">
        <v>0.9</v>
      </c>
      <c r="AA37" s="195">
        <v>0.8</v>
      </c>
      <c r="AB37" s="195">
        <v>0.6</v>
      </c>
      <c r="AC37" s="196">
        <v>0.3</v>
      </c>
      <c r="AD37" s="48"/>
      <c r="AE37" s="48"/>
      <c r="AF37" s="48"/>
      <c r="AG37" s="48"/>
      <c r="AH37" s="48"/>
      <c r="AI37" s="48"/>
      <c r="AJ37" s="48"/>
      <c r="AK37" s="48"/>
      <c r="AL37" s="48"/>
      <c r="AM37" s="48"/>
      <c r="AN37" s="48"/>
      <c r="AO37" s="48"/>
      <c r="AP37" s="48"/>
      <c r="AQ37" s="48"/>
      <c r="AR37" s="48"/>
      <c r="AS37" s="48"/>
      <c r="AT37" s="48"/>
      <c r="AU37" s="48"/>
      <c r="AV37" s="48"/>
      <c r="AW37" s="48"/>
      <c r="AX37" s="48"/>
    </row>
    <row r="38" spans="1:50" ht="39.950000000000003" customHeight="1" x14ac:dyDescent="0.25">
      <c r="A38" s="582" t="s">
        <v>618</v>
      </c>
      <c r="B38" s="592" t="s">
        <v>84</v>
      </c>
      <c r="C38" s="598" t="s">
        <v>611</v>
      </c>
      <c r="D38" s="587" t="s">
        <v>619</v>
      </c>
      <c r="E38" s="253" t="s">
        <v>608</v>
      </c>
      <c r="F38" s="254">
        <v>1</v>
      </c>
      <c r="G38" s="254">
        <v>1</v>
      </c>
      <c r="H38" s="254">
        <v>1</v>
      </c>
      <c r="I38" s="254">
        <v>1</v>
      </c>
      <c r="J38" s="254">
        <v>1</v>
      </c>
      <c r="K38" s="254">
        <v>1</v>
      </c>
      <c r="L38" s="254">
        <v>1</v>
      </c>
      <c r="M38" s="254">
        <v>1</v>
      </c>
      <c r="N38" s="254">
        <v>1</v>
      </c>
      <c r="O38" s="254">
        <v>1</v>
      </c>
      <c r="P38" s="254">
        <v>1</v>
      </c>
      <c r="Q38" s="254">
        <v>1</v>
      </c>
      <c r="R38" s="254">
        <v>1</v>
      </c>
      <c r="S38" s="254">
        <v>1</v>
      </c>
      <c r="T38" s="254">
        <v>1</v>
      </c>
      <c r="U38" s="254">
        <v>1</v>
      </c>
      <c r="V38" s="254">
        <v>1</v>
      </c>
      <c r="W38" s="254">
        <v>1</v>
      </c>
      <c r="X38" s="254">
        <v>1</v>
      </c>
      <c r="Y38" s="254">
        <v>1</v>
      </c>
      <c r="Z38" s="254">
        <v>1</v>
      </c>
      <c r="AA38" s="254">
        <v>1</v>
      </c>
      <c r="AB38" s="254">
        <v>1</v>
      </c>
      <c r="AC38" s="255">
        <v>1</v>
      </c>
      <c r="AD38" s="48"/>
      <c r="AE38" s="48"/>
      <c r="AF38" s="48"/>
      <c r="AG38" s="48"/>
      <c r="AH38" s="48"/>
      <c r="AI38" s="48"/>
      <c r="AJ38" s="48"/>
      <c r="AK38" s="48"/>
      <c r="AL38" s="48"/>
      <c r="AM38" s="48"/>
      <c r="AN38" s="48"/>
      <c r="AO38" s="48"/>
      <c r="AP38" s="48"/>
      <c r="AQ38" s="48"/>
      <c r="AR38" s="48"/>
      <c r="AS38" s="48"/>
      <c r="AT38" s="48"/>
      <c r="AU38" s="48"/>
      <c r="AV38" s="48"/>
      <c r="AW38" s="48"/>
      <c r="AX38" s="48"/>
    </row>
    <row r="39" spans="1:50" ht="39.950000000000003" customHeight="1" x14ac:dyDescent="0.25">
      <c r="A39" s="583"/>
      <c r="B39" s="593"/>
      <c r="C39" s="599"/>
      <c r="D39" s="588"/>
      <c r="E39" s="250" t="s">
        <v>609</v>
      </c>
      <c r="F39" s="192">
        <v>1</v>
      </c>
      <c r="G39" s="192">
        <v>1</v>
      </c>
      <c r="H39" s="192">
        <v>1</v>
      </c>
      <c r="I39" s="192">
        <v>1</v>
      </c>
      <c r="J39" s="192">
        <v>1</v>
      </c>
      <c r="K39" s="192">
        <v>1</v>
      </c>
      <c r="L39" s="192">
        <v>1</v>
      </c>
      <c r="M39" s="192">
        <v>1</v>
      </c>
      <c r="N39" s="192">
        <v>1</v>
      </c>
      <c r="O39" s="192">
        <v>1</v>
      </c>
      <c r="P39" s="192">
        <v>1</v>
      </c>
      <c r="Q39" s="192">
        <v>1</v>
      </c>
      <c r="R39" s="192">
        <v>1</v>
      </c>
      <c r="S39" s="192">
        <v>1</v>
      </c>
      <c r="T39" s="192">
        <v>1</v>
      </c>
      <c r="U39" s="192">
        <v>1</v>
      </c>
      <c r="V39" s="192">
        <v>1</v>
      </c>
      <c r="W39" s="192">
        <v>1</v>
      </c>
      <c r="X39" s="192">
        <v>1</v>
      </c>
      <c r="Y39" s="192">
        <v>1</v>
      </c>
      <c r="Z39" s="192">
        <v>1</v>
      </c>
      <c r="AA39" s="192">
        <v>1</v>
      </c>
      <c r="AB39" s="192">
        <v>1</v>
      </c>
      <c r="AC39" s="199">
        <v>1</v>
      </c>
      <c r="AD39" s="48"/>
      <c r="AE39" s="48"/>
      <c r="AF39" s="48"/>
      <c r="AG39" s="48"/>
      <c r="AH39" s="48"/>
      <c r="AI39" s="48"/>
      <c r="AJ39" s="48"/>
      <c r="AK39" s="48"/>
      <c r="AL39" s="48"/>
      <c r="AM39" s="48"/>
      <c r="AN39" s="48"/>
      <c r="AO39" s="48"/>
      <c r="AP39" s="48"/>
      <c r="AQ39" s="48"/>
      <c r="AR39" s="48"/>
      <c r="AS39" s="48"/>
      <c r="AT39" s="48"/>
      <c r="AU39" s="48"/>
      <c r="AV39" s="48"/>
      <c r="AW39" s="48"/>
      <c r="AX39" s="48"/>
    </row>
    <row r="40" spans="1:50" ht="39.950000000000003" customHeight="1" thickBot="1" x14ac:dyDescent="0.3">
      <c r="A40" s="584"/>
      <c r="B40" s="594"/>
      <c r="C40" s="600"/>
      <c r="D40" s="589"/>
      <c r="E40" s="251" t="s">
        <v>610</v>
      </c>
      <c r="F40" s="195">
        <v>1</v>
      </c>
      <c r="G40" s="195">
        <v>1</v>
      </c>
      <c r="H40" s="195">
        <v>1</v>
      </c>
      <c r="I40" s="195">
        <v>1</v>
      </c>
      <c r="J40" s="195">
        <v>1</v>
      </c>
      <c r="K40" s="195">
        <v>1</v>
      </c>
      <c r="L40" s="195">
        <v>1</v>
      </c>
      <c r="M40" s="195">
        <v>1</v>
      </c>
      <c r="N40" s="195">
        <v>1</v>
      </c>
      <c r="O40" s="195">
        <v>1</v>
      </c>
      <c r="P40" s="195">
        <v>1</v>
      </c>
      <c r="Q40" s="195">
        <v>1</v>
      </c>
      <c r="R40" s="195">
        <v>1</v>
      </c>
      <c r="S40" s="195">
        <v>1</v>
      </c>
      <c r="T40" s="195">
        <v>1</v>
      </c>
      <c r="U40" s="195">
        <v>1</v>
      </c>
      <c r="V40" s="195">
        <v>1</v>
      </c>
      <c r="W40" s="195">
        <v>1</v>
      </c>
      <c r="X40" s="195">
        <v>1</v>
      </c>
      <c r="Y40" s="195">
        <v>1</v>
      </c>
      <c r="Z40" s="195">
        <v>1</v>
      </c>
      <c r="AA40" s="195">
        <v>1</v>
      </c>
      <c r="AB40" s="195">
        <v>1</v>
      </c>
      <c r="AC40" s="196">
        <v>1</v>
      </c>
      <c r="AD40" s="48"/>
      <c r="AE40" s="48"/>
      <c r="AF40" s="48"/>
      <c r="AG40" s="48"/>
      <c r="AH40" s="48"/>
      <c r="AI40" s="48"/>
      <c r="AJ40" s="48"/>
      <c r="AK40" s="48"/>
      <c r="AL40" s="48"/>
      <c r="AM40" s="48"/>
      <c r="AN40" s="48"/>
      <c r="AO40" s="48"/>
      <c r="AP40" s="48"/>
      <c r="AQ40" s="48"/>
      <c r="AR40" s="48"/>
      <c r="AS40" s="48"/>
      <c r="AT40" s="48"/>
      <c r="AU40" s="48"/>
      <c r="AV40" s="48"/>
      <c r="AW40" s="48"/>
      <c r="AX40" s="48"/>
    </row>
    <row r="41" spans="1:50" ht="39.950000000000003" customHeight="1" x14ac:dyDescent="0.25">
      <c r="A41" s="585" t="s">
        <v>618</v>
      </c>
      <c r="B41" s="592" t="s">
        <v>84</v>
      </c>
      <c r="C41" s="601" t="s">
        <v>612</v>
      </c>
      <c r="D41" s="590" t="s">
        <v>619</v>
      </c>
      <c r="E41" s="249" t="s">
        <v>608</v>
      </c>
      <c r="F41" s="193">
        <v>0.1</v>
      </c>
      <c r="G41" s="193">
        <v>0.1</v>
      </c>
      <c r="H41" s="193">
        <v>0.1</v>
      </c>
      <c r="I41" s="193">
        <v>0.1</v>
      </c>
      <c r="J41" s="193">
        <v>0.1</v>
      </c>
      <c r="K41" s="193">
        <v>0.3</v>
      </c>
      <c r="L41" s="193">
        <v>0.45</v>
      </c>
      <c r="M41" s="193">
        <v>0.45</v>
      </c>
      <c r="N41" s="193">
        <v>0.45</v>
      </c>
      <c r="O41" s="193">
        <v>0.45</v>
      </c>
      <c r="P41" s="193">
        <v>0.3</v>
      </c>
      <c r="Q41" s="193">
        <v>0.3</v>
      </c>
      <c r="R41" s="193">
        <v>0.3</v>
      </c>
      <c r="S41" s="193">
        <v>0.3</v>
      </c>
      <c r="T41" s="193">
        <v>0.3</v>
      </c>
      <c r="U41" s="193">
        <v>0.3</v>
      </c>
      <c r="V41" s="193">
        <v>0.3</v>
      </c>
      <c r="W41" s="193">
        <v>0.3</v>
      </c>
      <c r="X41" s="193">
        <v>0.6</v>
      </c>
      <c r="Y41" s="193">
        <v>0.8</v>
      </c>
      <c r="Z41" s="193">
        <v>0.9</v>
      </c>
      <c r="AA41" s="193">
        <v>0.8</v>
      </c>
      <c r="AB41" s="193">
        <v>0.6</v>
      </c>
      <c r="AC41" s="194">
        <v>0.3</v>
      </c>
      <c r="AD41" s="48"/>
      <c r="AE41" s="48"/>
      <c r="AF41" s="48"/>
      <c r="AG41" s="48"/>
      <c r="AH41" s="48"/>
      <c r="AI41" s="48"/>
      <c r="AJ41" s="48"/>
      <c r="AK41" s="48"/>
      <c r="AL41" s="48"/>
      <c r="AM41" s="48"/>
      <c r="AN41" s="48"/>
      <c r="AO41" s="48"/>
      <c r="AP41" s="48"/>
      <c r="AQ41" s="48"/>
      <c r="AR41" s="48"/>
      <c r="AS41" s="48"/>
      <c r="AT41" s="48"/>
      <c r="AU41" s="48"/>
      <c r="AV41" s="48"/>
      <c r="AW41" s="48"/>
      <c r="AX41" s="48"/>
    </row>
    <row r="42" spans="1:50" ht="39.950000000000003" customHeight="1" x14ac:dyDescent="0.25">
      <c r="A42" s="583"/>
      <c r="B42" s="593"/>
      <c r="C42" s="599"/>
      <c r="D42" s="588"/>
      <c r="E42" s="250" t="s">
        <v>609</v>
      </c>
      <c r="F42" s="192">
        <v>0.1</v>
      </c>
      <c r="G42" s="192">
        <v>0.1</v>
      </c>
      <c r="H42" s="192">
        <v>0.1</v>
      </c>
      <c r="I42" s="192">
        <v>0.1</v>
      </c>
      <c r="J42" s="192">
        <v>0.1</v>
      </c>
      <c r="K42" s="192">
        <v>0.3</v>
      </c>
      <c r="L42" s="192">
        <v>0.45</v>
      </c>
      <c r="M42" s="192">
        <v>0.45</v>
      </c>
      <c r="N42" s="192">
        <v>0.45</v>
      </c>
      <c r="O42" s="192">
        <v>0.45</v>
      </c>
      <c r="P42" s="192">
        <v>0.3</v>
      </c>
      <c r="Q42" s="192">
        <v>0.3</v>
      </c>
      <c r="R42" s="192">
        <v>0.3</v>
      </c>
      <c r="S42" s="192">
        <v>0.3</v>
      </c>
      <c r="T42" s="192">
        <v>0.3</v>
      </c>
      <c r="U42" s="192">
        <v>0.3</v>
      </c>
      <c r="V42" s="192">
        <v>0.3</v>
      </c>
      <c r="W42" s="192">
        <v>0.3</v>
      </c>
      <c r="X42" s="192">
        <v>0.6</v>
      </c>
      <c r="Y42" s="192">
        <v>0.8</v>
      </c>
      <c r="Z42" s="192">
        <v>0.9</v>
      </c>
      <c r="AA42" s="192">
        <v>0.8</v>
      </c>
      <c r="AB42" s="192">
        <v>0.6</v>
      </c>
      <c r="AC42" s="199">
        <v>0.3</v>
      </c>
      <c r="AD42" s="49"/>
      <c r="AE42" s="48"/>
      <c r="AF42" s="48"/>
      <c r="AG42" s="48"/>
      <c r="AH42" s="48"/>
      <c r="AI42" s="48"/>
      <c r="AJ42" s="48"/>
      <c r="AK42" s="48"/>
      <c r="AL42" s="48"/>
      <c r="AM42" s="48"/>
      <c r="AN42" s="48"/>
      <c r="AO42" s="48"/>
      <c r="AP42" s="48"/>
      <c r="AQ42" s="48"/>
      <c r="AR42" s="48"/>
      <c r="AS42" s="48"/>
      <c r="AT42" s="48"/>
      <c r="AU42" s="48"/>
      <c r="AV42" s="48"/>
      <c r="AW42" s="48"/>
      <c r="AX42" s="48"/>
    </row>
    <row r="43" spans="1:50" ht="39.950000000000003" customHeight="1" thickBot="1" x14ac:dyDescent="0.3">
      <c r="A43" s="586"/>
      <c r="B43" s="594"/>
      <c r="C43" s="602"/>
      <c r="D43" s="591"/>
      <c r="E43" s="252" t="s">
        <v>610</v>
      </c>
      <c r="F43" s="197">
        <v>0.1</v>
      </c>
      <c r="G43" s="197">
        <v>0.1</v>
      </c>
      <c r="H43" s="197">
        <v>0.1</v>
      </c>
      <c r="I43" s="197">
        <v>0.1</v>
      </c>
      <c r="J43" s="197">
        <v>0.1</v>
      </c>
      <c r="K43" s="197">
        <v>0.3</v>
      </c>
      <c r="L43" s="197">
        <v>0.45</v>
      </c>
      <c r="M43" s="197">
        <v>0.45</v>
      </c>
      <c r="N43" s="197">
        <v>0.45</v>
      </c>
      <c r="O43" s="197">
        <v>0.45</v>
      </c>
      <c r="P43" s="197">
        <v>0.3</v>
      </c>
      <c r="Q43" s="197">
        <v>0.3</v>
      </c>
      <c r="R43" s="197">
        <v>0.3</v>
      </c>
      <c r="S43" s="197">
        <v>0.3</v>
      </c>
      <c r="T43" s="197">
        <v>0.3</v>
      </c>
      <c r="U43" s="197">
        <v>0.3</v>
      </c>
      <c r="V43" s="197">
        <v>0.3</v>
      </c>
      <c r="W43" s="197">
        <v>0.3</v>
      </c>
      <c r="X43" s="197">
        <v>0.6</v>
      </c>
      <c r="Y43" s="197">
        <v>0.8</v>
      </c>
      <c r="Z43" s="197">
        <v>0.9</v>
      </c>
      <c r="AA43" s="197">
        <v>0.8</v>
      </c>
      <c r="AB43" s="197">
        <v>0.6</v>
      </c>
      <c r="AC43" s="198">
        <v>0.3</v>
      </c>
      <c r="AD43" s="49"/>
      <c r="AE43" s="48"/>
      <c r="AF43" s="48"/>
      <c r="AG43" s="48"/>
      <c r="AH43" s="48"/>
      <c r="AI43" s="48"/>
      <c r="AJ43" s="48"/>
      <c r="AK43" s="48"/>
      <c r="AL43" s="48"/>
      <c r="AM43" s="48"/>
      <c r="AN43" s="48"/>
      <c r="AO43" s="48"/>
      <c r="AP43" s="48"/>
      <c r="AQ43" s="48"/>
      <c r="AR43" s="48"/>
      <c r="AS43" s="48"/>
      <c r="AT43" s="48"/>
      <c r="AU43" s="48"/>
      <c r="AV43" s="48"/>
      <c r="AW43" s="48"/>
      <c r="AX43" s="48"/>
    </row>
    <row r="44" spans="1:50" ht="39.950000000000003" customHeight="1" x14ac:dyDescent="0.25">
      <c r="A44" s="582" t="s">
        <v>618</v>
      </c>
      <c r="B44" s="592" t="s">
        <v>84</v>
      </c>
      <c r="C44" s="598" t="s">
        <v>620</v>
      </c>
      <c r="D44" s="587" t="s">
        <v>619</v>
      </c>
      <c r="E44" s="249" t="s">
        <v>608</v>
      </c>
      <c r="F44" s="193">
        <v>0</v>
      </c>
      <c r="G44" s="193">
        <v>0</v>
      </c>
      <c r="H44" s="193">
        <v>0</v>
      </c>
      <c r="I44" s="193">
        <v>0.05</v>
      </c>
      <c r="J44" s="193">
        <v>0.05</v>
      </c>
      <c r="K44" s="193">
        <v>0.05</v>
      </c>
      <c r="L44" s="193">
        <v>0.8</v>
      </c>
      <c r="M44" s="193">
        <v>0.7</v>
      </c>
      <c r="N44" s="193">
        <v>0.5</v>
      </c>
      <c r="O44" s="193">
        <v>0.4</v>
      </c>
      <c r="P44" s="193">
        <v>0.25</v>
      </c>
      <c r="Q44" s="193">
        <v>0.25</v>
      </c>
      <c r="R44" s="193">
        <v>0.25</v>
      </c>
      <c r="S44" s="193">
        <v>0.25</v>
      </c>
      <c r="T44" s="193">
        <v>0.5</v>
      </c>
      <c r="U44" s="193">
        <v>0.6</v>
      </c>
      <c r="V44" s="193">
        <v>0.7</v>
      </c>
      <c r="W44" s="193">
        <v>0.7</v>
      </c>
      <c r="X44" s="193">
        <v>0.4</v>
      </c>
      <c r="Y44" s="193">
        <v>0.25</v>
      </c>
      <c r="Z44" s="193">
        <v>0.2</v>
      </c>
      <c r="AA44" s="193">
        <v>0.2</v>
      </c>
      <c r="AB44" s="193">
        <v>0.05</v>
      </c>
      <c r="AC44" s="194">
        <v>0.05</v>
      </c>
      <c r="AD44" s="48"/>
      <c r="AE44" s="48"/>
      <c r="AF44" s="48"/>
      <c r="AG44" s="48"/>
      <c r="AH44" s="48"/>
      <c r="AI44" s="48"/>
      <c r="AJ44" s="48"/>
      <c r="AK44" s="48"/>
      <c r="AL44" s="48"/>
      <c r="AM44" s="48"/>
      <c r="AN44" s="48"/>
      <c r="AO44" s="48"/>
      <c r="AP44" s="48"/>
      <c r="AQ44" s="48"/>
      <c r="AR44" s="48"/>
      <c r="AS44" s="48"/>
      <c r="AT44" s="48"/>
      <c r="AU44" s="48"/>
      <c r="AV44" s="48"/>
      <c r="AW44" s="48"/>
      <c r="AX44" s="48"/>
    </row>
    <row r="45" spans="1:50" ht="39.950000000000003" customHeight="1" x14ac:dyDescent="0.25">
      <c r="A45" s="583"/>
      <c r="B45" s="593"/>
      <c r="C45" s="599"/>
      <c r="D45" s="588"/>
      <c r="E45" s="250" t="s">
        <v>609</v>
      </c>
      <c r="F45" s="192">
        <v>0</v>
      </c>
      <c r="G45" s="192">
        <v>0</v>
      </c>
      <c r="H45" s="192">
        <v>0</v>
      </c>
      <c r="I45" s="192">
        <v>0.05</v>
      </c>
      <c r="J45" s="192">
        <v>0.05</v>
      </c>
      <c r="K45" s="192">
        <v>0.05</v>
      </c>
      <c r="L45" s="192">
        <v>0.8</v>
      </c>
      <c r="M45" s="192">
        <v>0.7</v>
      </c>
      <c r="N45" s="192">
        <v>0.5</v>
      </c>
      <c r="O45" s="192">
        <v>0.4</v>
      </c>
      <c r="P45" s="192">
        <v>0.25</v>
      </c>
      <c r="Q45" s="192">
        <v>0.25</v>
      </c>
      <c r="R45" s="192">
        <v>0.25</v>
      </c>
      <c r="S45" s="192">
        <v>0.25</v>
      </c>
      <c r="T45" s="192">
        <v>0.5</v>
      </c>
      <c r="U45" s="192">
        <v>0.6</v>
      </c>
      <c r="V45" s="192">
        <v>0.7</v>
      </c>
      <c r="W45" s="192">
        <v>0.7</v>
      </c>
      <c r="X45" s="192">
        <v>0.4</v>
      </c>
      <c r="Y45" s="192">
        <v>0.25</v>
      </c>
      <c r="Z45" s="192">
        <v>0.2</v>
      </c>
      <c r="AA45" s="192">
        <v>0.2</v>
      </c>
      <c r="AB45" s="192">
        <v>0.05</v>
      </c>
      <c r="AC45" s="199">
        <v>0.05</v>
      </c>
      <c r="AD45" s="48"/>
      <c r="AE45" s="48"/>
      <c r="AF45" s="48"/>
      <c r="AG45" s="48"/>
      <c r="AH45" s="48"/>
      <c r="AI45" s="48"/>
      <c r="AJ45" s="48"/>
      <c r="AK45" s="48"/>
      <c r="AL45" s="48"/>
      <c r="AM45" s="48"/>
      <c r="AN45" s="48"/>
      <c r="AO45" s="48"/>
      <c r="AP45" s="48"/>
      <c r="AQ45" s="48"/>
      <c r="AR45" s="48"/>
      <c r="AS45" s="48"/>
      <c r="AT45" s="48"/>
      <c r="AU45" s="48"/>
      <c r="AV45" s="48"/>
      <c r="AW45" s="48"/>
      <c r="AX45" s="48"/>
    </row>
    <row r="46" spans="1:50" ht="39.950000000000003" customHeight="1" thickBot="1" x14ac:dyDescent="0.3">
      <c r="A46" s="584"/>
      <c r="B46" s="594"/>
      <c r="C46" s="600"/>
      <c r="D46" s="589"/>
      <c r="E46" s="251" t="s">
        <v>610</v>
      </c>
      <c r="F46" s="195">
        <v>0</v>
      </c>
      <c r="G46" s="195">
        <v>0</v>
      </c>
      <c r="H46" s="195">
        <v>0</v>
      </c>
      <c r="I46" s="195">
        <v>0.05</v>
      </c>
      <c r="J46" s="195">
        <v>0.05</v>
      </c>
      <c r="K46" s="195">
        <v>0.05</v>
      </c>
      <c r="L46" s="195">
        <v>0.8</v>
      </c>
      <c r="M46" s="195">
        <v>0.7</v>
      </c>
      <c r="N46" s="195">
        <v>0.5</v>
      </c>
      <c r="O46" s="195">
        <v>0.4</v>
      </c>
      <c r="P46" s="195">
        <v>0.25</v>
      </c>
      <c r="Q46" s="195">
        <v>0.25</v>
      </c>
      <c r="R46" s="195">
        <v>0.25</v>
      </c>
      <c r="S46" s="195">
        <v>0.25</v>
      </c>
      <c r="T46" s="195">
        <v>0.5</v>
      </c>
      <c r="U46" s="195">
        <v>0.6</v>
      </c>
      <c r="V46" s="195">
        <v>0.7</v>
      </c>
      <c r="W46" s="195">
        <v>0.7</v>
      </c>
      <c r="X46" s="195">
        <v>0.4</v>
      </c>
      <c r="Y46" s="195">
        <v>0.25</v>
      </c>
      <c r="Z46" s="195">
        <v>0.2</v>
      </c>
      <c r="AA46" s="195">
        <v>0.2</v>
      </c>
      <c r="AB46" s="195">
        <v>0.05</v>
      </c>
      <c r="AC46" s="196">
        <v>0.05</v>
      </c>
      <c r="AD46" s="48"/>
      <c r="AE46" s="48"/>
      <c r="AF46" s="48"/>
      <c r="AG46" s="48"/>
      <c r="AH46" s="48"/>
      <c r="AI46" s="48"/>
      <c r="AJ46" s="48"/>
      <c r="AK46" s="48"/>
      <c r="AL46" s="48"/>
      <c r="AM46" s="48"/>
      <c r="AN46" s="48"/>
      <c r="AO46" s="48"/>
      <c r="AP46" s="48"/>
      <c r="AQ46" s="48"/>
      <c r="AR46" s="48"/>
      <c r="AS46" s="48"/>
      <c r="AT46" s="48"/>
      <c r="AU46" s="48"/>
      <c r="AV46" s="48"/>
      <c r="AW46" s="48"/>
      <c r="AX46" s="48"/>
    </row>
    <row r="47" spans="1:50" ht="39.950000000000003" customHeight="1" x14ac:dyDescent="0.25">
      <c r="A47" s="585" t="s">
        <v>618</v>
      </c>
      <c r="B47" s="592" t="s">
        <v>84</v>
      </c>
      <c r="C47" s="601" t="s">
        <v>614</v>
      </c>
      <c r="D47" s="590" t="s">
        <v>619</v>
      </c>
      <c r="E47" s="249" t="s">
        <v>608</v>
      </c>
      <c r="F47" s="193">
        <v>0</v>
      </c>
      <c r="G47" s="193">
        <v>0</v>
      </c>
      <c r="H47" s="193">
        <v>0</v>
      </c>
      <c r="I47" s="193">
        <v>0</v>
      </c>
      <c r="J47" s="193">
        <v>0</v>
      </c>
      <c r="K47" s="193">
        <v>0.5</v>
      </c>
      <c r="L47" s="193">
        <v>0.5</v>
      </c>
      <c r="M47" s="193">
        <v>0.1</v>
      </c>
      <c r="N47" s="193">
        <v>0.1</v>
      </c>
      <c r="O47" s="193">
        <v>0.1</v>
      </c>
      <c r="P47" s="193">
        <v>0.1</v>
      </c>
      <c r="Q47" s="193">
        <v>0.5</v>
      </c>
      <c r="R47" s="193">
        <v>0.5</v>
      </c>
      <c r="S47" s="193">
        <v>0.1</v>
      </c>
      <c r="T47" s="193">
        <v>0.1</v>
      </c>
      <c r="U47" s="193">
        <v>0.1</v>
      </c>
      <c r="V47" s="193">
        <v>0.5</v>
      </c>
      <c r="W47" s="193">
        <v>0.5</v>
      </c>
      <c r="X47" s="193">
        <v>0.5</v>
      </c>
      <c r="Y47" s="193">
        <v>0.1</v>
      </c>
      <c r="Z47" s="193">
        <v>0</v>
      </c>
      <c r="AA47" s="193">
        <v>0</v>
      </c>
      <c r="AB47" s="193">
        <v>0</v>
      </c>
      <c r="AC47" s="194">
        <v>0</v>
      </c>
      <c r="AD47" s="48"/>
      <c r="AE47" s="48"/>
      <c r="AF47" s="48"/>
      <c r="AG47" s="48"/>
      <c r="AH47" s="48"/>
      <c r="AI47" s="48"/>
      <c r="AJ47" s="48"/>
      <c r="AK47" s="48"/>
      <c r="AL47" s="48"/>
      <c r="AM47" s="48"/>
      <c r="AN47" s="48"/>
      <c r="AO47" s="48"/>
      <c r="AP47" s="48"/>
      <c r="AQ47" s="48"/>
      <c r="AR47" s="48"/>
      <c r="AS47" s="48"/>
      <c r="AT47" s="48"/>
      <c r="AU47" s="48"/>
      <c r="AV47" s="48"/>
      <c r="AW47" s="48"/>
      <c r="AX47" s="48"/>
    </row>
    <row r="48" spans="1:50" ht="39.950000000000003" customHeight="1" x14ac:dyDescent="0.25">
      <c r="A48" s="583"/>
      <c r="B48" s="593"/>
      <c r="C48" s="599"/>
      <c r="D48" s="588"/>
      <c r="E48" s="250" t="s">
        <v>609</v>
      </c>
      <c r="F48" s="192">
        <v>0</v>
      </c>
      <c r="G48" s="192">
        <v>0</v>
      </c>
      <c r="H48" s="192">
        <v>0</v>
      </c>
      <c r="I48" s="192">
        <v>0</v>
      </c>
      <c r="J48" s="192">
        <v>0</v>
      </c>
      <c r="K48" s="192">
        <v>0.5</v>
      </c>
      <c r="L48" s="192">
        <v>0.5</v>
      </c>
      <c r="M48" s="192">
        <v>0.1</v>
      </c>
      <c r="N48" s="192">
        <v>0.1</v>
      </c>
      <c r="O48" s="192">
        <v>0.1</v>
      </c>
      <c r="P48" s="192">
        <v>0.1</v>
      </c>
      <c r="Q48" s="192">
        <v>0.5</v>
      </c>
      <c r="R48" s="192">
        <v>0.5</v>
      </c>
      <c r="S48" s="192">
        <v>0.1</v>
      </c>
      <c r="T48" s="192">
        <v>0.1</v>
      </c>
      <c r="U48" s="192">
        <v>0.1</v>
      </c>
      <c r="V48" s="192">
        <v>0.5</v>
      </c>
      <c r="W48" s="192">
        <v>0.5</v>
      </c>
      <c r="X48" s="192">
        <v>0.5</v>
      </c>
      <c r="Y48" s="192">
        <v>0.1</v>
      </c>
      <c r="Z48" s="192">
        <v>0</v>
      </c>
      <c r="AA48" s="192">
        <v>0</v>
      </c>
      <c r="AB48" s="192">
        <v>0</v>
      </c>
      <c r="AC48" s="199">
        <v>0</v>
      </c>
      <c r="AD48" s="48"/>
      <c r="AE48" s="48"/>
      <c r="AF48" s="48"/>
      <c r="AG48" s="48"/>
      <c r="AH48" s="48"/>
      <c r="AI48" s="48"/>
      <c r="AJ48" s="48"/>
      <c r="AK48" s="48"/>
      <c r="AL48" s="48"/>
      <c r="AM48" s="48"/>
      <c r="AN48" s="48"/>
      <c r="AO48" s="48"/>
      <c r="AP48" s="48"/>
      <c r="AQ48" s="48"/>
      <c r="AR48" s="48"/>
      <c r="AS48" s="48"/>
      <c r="AT48" s="48"/>
      <c r="AU48" s="48"/>
      <c r="AV48" s="48"/>
      <c r="AW48" s="48"/>
      <c r="AX48" s="48"/>
    </row>
    <row r="49" spans="1:50" ht="39.950000000000003" customHeight="1" thickBot="1" x14ac:dyDescent="0.3">
      <c r="A49" s="586"/>
      <c r="B49" s="594"/>
      <c r="C49" s="602"/>
      <c r="D49" s="591"/>
      <c r="E49" s="251" t="s">
        <v>610</v>
      </c>
      <c r="F49" s="197">
        <v>0</v>
      </c>
      <c r="G49" s="197">
        <v>0</v>
      </c>
      <c r="H49" s="197">
        <v>0</v>
      </c>
      <c r="I49" s="197">
        <v>0</v>
      </c>
      <c r="J49" s="197">
        <v>0</v>
      </c>
      <c r="K49" s="197">
        <v>0.5</v>
      </c>
      <c r="L49" s="197">
        <v>0.5</v>
      </c>
      <c r="M49" s="197">
        <v>0.1</v>
      </c>
      <c r="N49" s="197">
        <v>0.1</v>
      </c>
      <c r="O49" s="197">
        <v>0.1</v>
      </c>
      <c r="P49" s="197">
        <v>0.1</v>
      </c>
      <c r="Q49" s="197">
        <v>0.5</v>
      </c>
      <c r="R49" s="197">
        <v>0.5</v>
      </c>
      <c r="S49" s="197">
        <v>0.1</v>
      </c>
      <c r="T49" s="197">
        <v>0.1</v>
      </c>
      <c r="U49" s="197">
        <v>0.1</v>
      </c>
      <c r="V49" s="197">
        <v>0.5</v>
      </c>
      <c r="W49" s="197">
        <v>0.5</v>
      </c>
      <c r="X49" s="197">
        <v>0.5</v>
      </c>
      <c r="Y49" s="197">
        <v>0.1</v>
      </c>
      <c r="Z49" s="197">
        <v>0</v>
      </c>
      <c r="AA49" s="197">
        <v>0</v>
      </c>
      <c r="AB49" s="197">
        <v>0</v>
      </c>
      <c r="AC49" s="198">
        <v>0</v>
      </c>
      <c r="AD49" s="48"/>
      <c r="AE49" s="48"/>
      <c r="AF49" s="48"/>
      <c r="AG49" s="48"/>
      <c r="AH49" s="48"/>
      <c r="AI49" s="48"/>
      <c r="AJ49" s="48"/>
      <c r="AK49" s="48"/>
      <c r="AL49" s="48"/>
      <c r="AM49" s="48"/>
      <c r="AN49" s="48"/>
      <c r="AO49" s="48"/>
      <c r="AP49" s="48"/>
      <c r="AQ49" s="48"/>
      <c r="AR49" s="48"/>
      <c r="AS49" s="48"/>
      <c r="AT49" s="48"/>
      <c r="AU49" s="48"/>
      <c r="AV49" s="48"/>
      <c r="AW49" s="48"/>
      <c r="AX49" s="48"/>
    </row>
    <row r="50" spans="1:50" ht="39.950000000000003" customHeight="1" x14ac:dyDescent="0.25">
      <c r="A50" s="582" t="s">
        <v>618</v>
      </c>
      <c r="B50" s="592" t="s">
        <v>84</v>
      </c>
      <c r="C50" s="595" t="s">
        <v>613</v>
      </c>
      <c r="D50" s="587" t="s">
        <v>619</v>
      </c>
      <c r="E50" s="249" t="s">
        <v>608</v>
      </c>
      <c r="F50" s="193">
        <v>1</v>
      </c>
      <c r="G50" s="193">
        <v>1</v>
      </c>
      <c r="H50" s="193">
        <v>1</v>
      </c>
      <c r="I50" s="193">
        <v>1</v>
      </c>
      <c r="J50" s="193">
        <v>1</v>
      </c>
      <c r="K50" s="193">
        <v>1</v>
      </c>
      <c r="L50" s="193">
        <v>1</v>
      </c>
      <c r="M50" s="193">
        <v>1</v>
      </c>
      <c r="N50" s="193">
        <v>1</v>
      </c>
      <c r="O50" s="193">
        <v>1</v>
      </c>
      <c r="P50" s="193">
        <v>1</v>
      </c>
      <c r="Q50" s="193">
        <v>1</v>
      </c>
      <c r="R50" s="193">
        <v>1</v>
      </c>
      <c r="S50" s="193">
        <v>1</v>
      </c>
      <c r="T50" s="193">
        <v>1</v>
      </c>
      <c r="U50" s="193">
        <v>1</v>
      </c>
      <c r="V50" s="193">
        <v>1</v>
      </c>
      <c r="W50" s="193">
        <v>1</v>
      </c>
      <c r="X50" s="193">
        <v>1</v>
      </c>
      <c r="Y50" s="193">
        <v>1</v>
      </c>
      <c r="Z50" s="193">
        <v>1</v>
      </c>
      <c r="AA50" s="193">
        <v>1</v>
      </c>
      <c r="AB50" s="193">
        <v>1</v>
      </c>
      <c r="AC50" s="194">
        <v>1</v>
      </c>
      <c r="AD50" s="49"/>
      <c r="AE50" s="48"/>
      <c r="AF50" s="48"/>
      <c r="AG50" s="48"/>
      <c r="AH50" s="48"/>
      <c r="AI50" s="48"/>
      <c r="AJ50" s="48"/>
      <c r="AK50" s="48"/>
      <c r="AL50" s="48"/>
      <c r="AM50" s="48"/>
      <c r="AN50" s="48"/>
      <c r="AO50" s="48"/>
      <c r="AP50" s="48"/>
      <c r="AQ50" s="48"/>
      <c r="AR50" s="48"/>
      <c r="AS50" s="48"/>
      <c r="AT50" s="48"/>
      <c r="AU50" s="48"/>
      <c r="AV50" s="48"/>
      <c r="AW50" s="48"/>
      <c r="AX50" s="48"/>
    </row>
    <row r="51" spans="1:50" ht="39.950000000000003" customHeight="1" x14ac:dyDescent="0.25">
      <c r="A51" s="583"/>
      <c r="B51" s="593"/>
      <c r="C51" s="593"/>
      <c r="D51" s="588"/>
      <c r="E51" s="342" t="s">
        <v>609</v>
      </c>
      <c r="F51" s="343">
        <v>1</v>
      </c>
      <c r="G51" s="343">
        <v>1</v>
      </c>
      <c r="H51" s="343">
        <v>1</v>
      </c>
      <c r="I51" s="343">
        <v>1</v>
      </c>
      <c r="J51" s="343">
        <v>1</v>
      </c>
      <c r="K51" s="343">
        <v>1</v>
      </c>
      <c r="L51" s="343">
        <v>1</v>
      </c>
      <c r="M51" s="343">
        <v>1</v>
      </c>
      <c r="N51" s="343">
        <v>1</v>
      </c>
      <c r="O51" s="343">
        <v>1</v>
      </c>
      <c r="P51" s="343">
        <v>1</v>
      </c>
      <c r="Q51" s="343">
        <v>1</v>
      </c>
      <c r="R51" s="343">
        <v>1</v>
      </c>
      <c r="S51" s="343">
        <v>1</v>
      </c>
      <c r="T51" s="343">
        <v>1</v>
      </c>
      <c r="U51" s="343">
        <v>1</v>
      </c>
      <c r="V51" s="343">
        <v>1</v>
      </c>
      <c r="W51" s="343">
        <v>1</v>
      </c>
      <c r="X51" s="343">
        <v>1</v>
      </c>
      <c r="Y51" s="343">
        <v>1</v>
      </c>
      <c r="Z51" s="343">
        <v>1</v>
      </c>
      <c r="AA51" s="343">
        <v>1</v>
      </c>
      <c r="AB51" s="343">
        <v>1</v>
      </c>
      <c r="AC51" s="344">
        <v>1</v>
      </c>
      <c r="AD51" s="49"/>
      <c r="AE51" s="48"/>
      <c r="AF51" s="48"/>
      <c r="AG51" s="48"/>
      <c r="AH51" s="48"/>
      <c r="AI51" s="48"/>
      <c r="AJ51" s="48"/>
      <c r="AK51" s="48"/>
      <c r="AL51" s="48"/>
      <c r="AM51" s="48"/>
      <c r="AN51" s="48"/>
      <c r="AO51" s="48"/>
      <c r="AP51" s="48"/>
      <c r="AQ51" s="48"/>
      <c r="AR51" s="48"/>
      <c r="AS51" s="48"/>
      <c r="AT51" s="48"/>
      <c r="AU51" s="48"/>
      <c r="AV51" s="48"/>
      <c r="AW51" s="48"/>
      <c r="AX51" s="48"/>
    </row>
    <row r="52" spans="1:50" ht="39.950000000000003" customHeight="1" thickBot="1" x14ac:dyDescent="0.3">
      <c r="A52" s="584"/>
      <c r="B52" s="594"/>
      <c r="C52" s="594"/>
      <c r="D52" s="589"/>
      <c r="E52" s="252" t="s">
        <v>610</v>
      </c>
      <c r="F52" s="197">
        <v>1</v>
      </c>
      <c r="G52" s="197">
        <v>1</v>
      </c>
      <c r="H52" s="197">
        <v>1</v>
      </c>
      <c r="I52" s="197">
        <v>1</v>
      </c>
      <c r="J52" s="197">
        <v>1</v>
      </c>
      <c r="K52" s="197">
        <v>1</v>
      </c>
      <c r="L52" s="197">
        <v>1</v>
      </c>
      <c r="M52" s="197">
        <v>1</v>
      </c>
      <c r="N52" s="197">
        <v>1</v>
      </c>
      <c r="O52" s="197">
        <v>1</v>
      </c>
      <c r="P52" s="197">
        <v>1</v>
      </c>
      <c r="Q52" s="197">
        <v>1</v>
      </c>
      <c r="R52" s="197">
        <v>1</v>
      </c>
      <c r="S52" s="197">
        <v>1</v>
      </c>
      <c r="T52" s="197">
        <v>1</v>
      </c>
      <c r="U52" s="197">
        <v>1</v>
      </c>
      <c r="V52" s="197">
        <v>1</v>
      </c>
      <c r="W52" s="197">
        <v>1</v>
      </c>
      <c r="X52" s="197">
        <v>1</v>
      </c>
      <c r="Y52" s="197">
        <v>1</v>
      </c>
      <c r="Z52" s="197">
        <v>1</v>
      </c>
      <c r="AA52" s="197">
        <v>1</v>
      </c>
      <c r="AB52" s="197">
        <v>1</v>
      </c>
      <c r="AC52" s="198">
        <v>1</v>
      </c>
      <c r="AD52" s="48"/>
      <c r="AE52" s="48"/>
      <c r="AF52" s="48"/>
      <c r="AG52" s="48"/>
      <c r="AH52" s="48"/>
      <c r="AI52" s="48"/>
      <c r="AJ52" s="48"/>
      <c r="AK52" s="48"/>
      <c r="AL52" s="48"/>
      <c r="AM52" s="48"/>
      <c r="AN52" s="48"/>
      <c r="AO52" s="48"/>
      <c r="AP52" s="48"/>
      <c r="AQ52" s="48"/>
      <c r="AR52" s="48"/>
      <c r="AS52" s="48"/>
      <c r="AT52" s="48"/>
      <c r="AU52" s="48"/>
      <c r="AV52" s="48"/>
      <c r="AW52" s="48"/>
      <c r="AX52" s="48"/>
    </row>
    <row r="53" spans="1:50" ht="39.950000000000003" customHeight="1" x14ac:dyDescent="0.25">
      <c r="A53" s="585" t="s">
        <v>618</v>
      </c>
      <c r="B53" s="592" t="s">
        <v>84</v>
      </c>
      <c r="C53" s="601" t="s">
        <v>615</v>
      </c>
      <c r="D53" s="590" t="s">
        <v>619</v>
      </c>
      <c r="E53" s="249" t="s">
        <v>608</v>
      </c>
      <c r="F53" s="346">
        <f>IF(F50=0,Thermostat!$B$4,Thermostat!$B$3)</f>
        <v>68</v>
      </c>
      <c r="G53" s="346">
        <f>IF(G50=0,Thermostat!$B$4,Thermostat!$B$3)</f>
        <v>68</v>
      </c>
      <c r="H53" s="346">
        <f>IF(H50=0,Thermostat!$B$4,Thermostat!$B$3)</f>
        <v>68</v>
      </c>
      <c r="I53" s="346">
        <f>IF(I50=0,Thermostat!$B$4,Thermostat!$B$3)</f>
        <v>68</v>
      </c>
      <c r="J53" s="346">
        <f>IF(J50=0,Thermostat!$B$4,Thermostat!$B$3)</f>
        <v>68</v>
      </c>
      <c r="K53" s="346">
        <f>IF(K50=0,Thermostat!$B$4,Thermostat!$B$3)</f>
        <v>68</v>
      </c>
      <c r="L53" s="346">
        <f>IF(L50=0,Thermostat!$B$4,Thermostat!$B$3)</f>
        <v>68</v>
      </c>
      <c r="M53" s="346">
        <f>IF(M50=0,Thermostat!$B$4,Thermostat!$B$3)</f>
        <v>68</v>
      </c>
      <c r="N53" s="346">
        <f>IF(N50=0,Thermostat!$B$4,Thermostat!$B$3)</f>
        <v>68</v>
      </c>
      <c r="O53" s="346">
        <f>IF(O50=0,Thermostat!$B$4,Thermostat!$B$3)</f>
        <v>68</v>
      </c>
      <c r="P53" s="346">
        <f>IF(P50=0,Thermostat!$B$4,Thermostat!$B$3)</f>
        <v>68</v>
      </c>
      <c r="Q53" s="346">
        <f>IF(Q50=0,Thermostat!$B$4,Thermostat!$B$3)</f>
        <v>68</v>
      </c>
      <c r="R53" s="346">
        <f>IF(R50=0,Thermostat!$B$4,Thermostat!$B$3)</f>
        <v>68</v>
      </c>
      <c r="S53" s="346">
        <f>IF(S50=0,Thermostat!$B$4,Thermostat!$B$3)</f>
        <v>68</v>
      </c>
      <c r="T53" s="346">
        <f>IF(T50=0,Thermostat!$B$4,Thermostat!$B$3)</f>
        <v>68</v>
      </c>
      <c r="U53" s="346">
        <f>IF(U50=0,Thermostat!$B$4,Thermostat!$B$3)</f>
        <v>68</v>
      </c>
      <c r="V53" s="346">
        <f>IF(V50=0,Thermostat!$B$4,Thermostat!$B$3)</f>
        <v>68</v>
      </c>
      <c r="W53" s="346">
        <f>IF(W50=0,Thermostat!$B$4,Thermostat!$B$3)</f>
        <v>68</v>
      </c>
      <c r="X53" s="346">
        <f>IF(X50=0,Thermostat!$B$4,Thermostat!$B$3)</f>
        <v>68</v>
      </c>
      <c r="Y53" s="346">
        <f>IF(Y50=0,Thermostat!$B$4,Thermostat!$B$3)</f>
        <v>68</v>
      </c>
      <c r="Z53" s="346">
        <f>IF(Z50=0,Thermostat!$B$4,Thermostat!$B$3)</f>
        <v>68</v>
      </c>
      <c r="AA53" s="346">
        <f>IF(AA50=0,Thermostat!$B$4,Thermostat!$B$3)</f>
        <v>68</v>
      </c>
      <c r="AB53" s="346">
        <f>IF(AB50=0,Thermostat!$B$4,Thermostat!$B$3)</f>
        <v>68</v>
      </c>
      <c r="AC53" s="200">
        <f>IF(AC50=0,Thermostat!$B$4,Thermostat!$B$3)</f>
        <v>68</v>
      </c>
      <c r="AD53" s="48"/>
      <c r="AE53" s="48"/>
      <c r="AF53" s="48"/>
      <c r="AG53" s="48"/>
      <c r="AH53" s="48"/>
      <c r="AI53" s="48"/>
      <c r="AJ53" s="48"/>
      <c r="AK53" s="48"/>
      <c r="AL53" s="48"/>
      <c r="AM53" s="48"/>
      <c r="AN53" s="48"/>
      <c r="AO53" s="48"/>
      <c r="AP53" s="48"/>
      <c r="AQ53" s="48"/>
      <c r="AR53" s="48"/>
      <c r="AS53" s="48"/>
      <c r="AT53" s="48"/>
      <c r="AU53" s="48"/>
      <c r="AV53" s="48"/>
      <c r="AW53" s="48"/>
      <c r="AX53" s="48"/>
    </row>
    <row r="54" spans="1:50" ht="39.950000000000003" customHeight="1" x14ac:dyDescent="0.25">
      <c r="A54" s="583"/>
      <c r="B54" s="593"/>
      <c r="C54" s="599"/>
      <c r="D54" s="588"/>
      <c r="E54" s="342" t="s">
        <v>609</v>
      </c>
      <c r="F54" s="347">
        <f>IF(F51=0,Thermostat!$B$4,Thermostat!$B$3)</f>
        <v>68</v>
      </c>
      <c r="G54" s="347">
        <f>IF(G51=0,Thermostat!$B$4,Thermostat!$B$3)</f>
        <v>68</v>
      </c>
      <c r="H54" s="347">
        <f>IF(H51=0,Thermostat!$B$4,Thermostat!$B$3)</f>
        <v>68</v>
      </c>
      <c r="I54" s="347">
        <f>IF(I51=0,Thermostat!$B$4,Thermostat!$B$3)</f>
        <v>68</v>
      </c>
      <c r="J54" s="347">
        <f>IF(J51=0,Thermostat!$B$4,Thermostat!$B$3)</f>
        <v>68</v>
      </c>
      <c r="K54" s="347">
        <f>IF(K51=0,Thermostat!$B$4,Thermostat!$B$3)</f>
        <v>68</v>
      </c>
      <c r="L54" s="347">
        <f>IF(L51=0,Thermostat!$B$4,Thermostat!$B$3)</f>
        <v>68</v>
      </c>
      <c r="M54" s="347">
        <f>IF(M51=0,Thermostat!$B$4,Thermostat!$B$3)</f>
        <v>68</v>
      </c>
      <c r="N54" s="347">
        <f>IF(N51=0,Thermostat!$B$4,Thermostat!$B$3)</f>
        <v>68</v>
      </c>
      <c r="O54" s="347">
        <f>IF(O51=0,Thermostat!$B$4,Thermostat!$B$3)</f>
        <v>68</v>
      </c>
      <c r="P54" s="347">
        <f>IF(P51=0,Thermostat!$B$4,Thermostat!$B$3)</f>
        <v>68</v>
      </c>
      <c r="Q54" s="347">
        <f>IF(Q51=0,Thermostat!$B$4,Thermostat!$B$3)</f>
        <v>68</v>
      </c>
      <c r="R54" s="347">
        <f>IF(R51=0,Thermostat!$B$4,Thermostat!$B$3)</f>
        <v>68</v>
      </c>
      <c r="S54" s="347">
        <f>IF(S51=0,Thermostat!$B$4,Thermostat!$B$3)</f>
        <v>68</v>
      </c>
      <c r="T54" s="347">
        <f>IF(T51=0,Thermostat!$B$4,Thermostat!$B$3)</f>
        <v>68</v>
      </c>
      <c r="U54" s="347">
        <f>IF(U51=0,Thermostat!$B$4,Thermostat!$B$3)</f>
        <v>68</v>
      </c>
      <c r="V54" s="347">
        <f>IF(V51=0,Thermostat!$B$4,Thermostat!$B$3)</f>
        <v>68</v>
      </c>
      <c r="W54" s="347">
        <f>IF(W51=0,Thermostat!$B$4,Thermostat!$B$3)</f>
        <v>68</v>
      </c>
      <c r="X54" s="347">
        <f>IF(X51=0,Thermostat!$B$4,Thermostat!$B$3)</f>
        <v>68</v>
      </c>
      <c r="Y54" s="347">
        <f>IF(Y51=0,Thermostat!$B$4,Thermostat!$B$3)</f>
        <v>68</v>
      </c>
      <c r="Z54" s="347">
        <f>IF(Z51=0,Thermostat!$B$4,Thermostat!$B$3)</f>
        <v>68</v>
      </c>
      <c r="AA54" s="347">
        <f>IF(AA51=0,Thermostat!$B$4,Thermostat!$B$3)</f>
        <v>68</v>
      </c>
      <c r="AB54" s="347">
        <f>IF(AB51=0,Thermostat!$B$4,Thermostat!$B$3)</f>
        <v>68</v>
      </c>
      <c r="AC54" s="348">
        <f>IF(AC51=0,Thermostat!$B$4,Thermostat!$B$3)</f>
        <v>68</v>
      </c>
      <c r="AD54" s="48"/>
      <c r="AE54" s="48"/>
      <c r="AF54" s="48"/>
      <c r="AG54" s="48"/>
      <c r="AH54" s="48"/>
      <c r="AI54" s="48"/>
      <c r="AJ54" s="48"/>
      <c r="AK54" s="48"/>
      <c r="AL54" s="48"/>
      <c r="AM54" s="48"/>
      <c r="AN54" s="48"/>
      <c r="AO54" s="48"/>
      <c r="AP54" s="48"/>
      <c r="AQ54" s="48"/>
      <c r="AR54" s="48"/>
      <c r="AS54" s="48"/>
      <c r="AT54" s="48"/>
      <c r="AU54" s="48"/>
      <c r="AV54" s="48"/>
      <c r="AW54" s="48"/>
      <c r="AX54" s="48"/>
    </row>
    <row r="55" spans="1:50" ht="39.950000000000003" customHeight="1" thickBot="1" x14ac:dyDescent="0.3">
      <c r="A55" s="586"/>
      <c r="B55" s="594"/>
      <c r="C55" s="602"/>
      <c r="D55" s="591"/>
      <c r="E55" s="252" t="s">
        <v>610</v>
      </c>
      <c r="F55" s="349">
        <f>IF(F52=0,Thermostat!$B$4,Thermostat!$B$3)</f>
        <v>68</v>
      </c>
      <c r="G55" s="349">
        <f>IF(G52=0,Thermostat!$B$4,Thermostat!$B$3)</f>
        <v>68</v>
      </c>
      <c r="H55" s="349">
        <f>IF(H52=0,Thermostat!$B$4,Thermostat!$B$3)</f>
        <v>68</v>
      </c>
      <c r="I55" s="349">
        <f>IF(I52=0,Thermostat!$B$4,Thermostat!$B$3)</f>
        <v>68</v>
      </c>
      <c r="J55" s="349">
        <f>IF(J52=0,Thermostat!$B$4,Thermostat!$B$3)</f>
        <v>68</v>
      </c>
      <c r="K55" s="349">
        <f>IF(K52=0,Thermostat!$B$4,Thermostat!$B$3)</f>
        <v>68</v>
      </c>
      <c r="L55" s="349">
        <f>IF(L52=0,Thermostat!$B$4,Thermostat!$B$3)</f>
        <v>68</v>
      </c>
      <c r="M55" s="349">
        <f>IF(M52=0,Thermostat!$B$4,Thermostat!$B$3)</f>
        <v>68</v>
      </c>
      <c r="N55" s="349">
        <f>IF(N52=0,Thermostat!$B$4,Thermostat!$B$3)</f>
        <v>68</v>
      </c>
      <c r="O55" s="349">
        <f>IF(O52=0,Thermostat!$B$4,Thermostat!$B$3)</f>
        <v>68</v>
      </c>
      <c r="P55" s="349">
        <f>IF(P52=0,Thermostat!$B$4,Thermostat!$B$3)</f>
        <v>68</v>
      </c>
      <c r="Q55" s="349">
        <f>IF(Q52=0,Thermostat!$B$4,Thermostat!$B$3)</f>
        <v>68</v>
      </c>
      <c r="R55" s="349">
        <f>IF(R52=0,Thermostat!$B$4,Thermostat!$B$3)</f>
        <v>68</v>
      </c>
      <c r="S55" s="349">
        <f>IF(S52=0,Thermostat!$B$4,Thermostat!$B$3)</f>
        <v>68</v>
      </c>
      <c r="T55" s="349">
        <f>IF(T52=0,Thermostat!$B$4,Thermostat!$B$3)</f>
        <v>68</v>
      </c>
      <c r="U55" s="349">
        <f>IF(U52=0,Thermostat!$B$4,Thermostat!$B$3)</f>
        <v>68</v>
      </c>
      <c r="V55" s="349">
        <f>IF(V52=0,Thermostat!$B$4,Thermostat!$B$3)</f>
        <v>68</v>
      </c>
      <c r="W55" s="349">
        <f>IF(W52=0,Thermostat!$B$4,Thermostat!$B$3)</f>
        <v>68</v>
      </c>
      <c r="X55" s="349">
        <f>IF(X52=0,Thermostat!$B$4,Thermostat!$B$3)</f>
        <v>68</v>
      </c>
      <c r="Y55" s="349">
        <f>IF(Y52=0,Thermostat!$B$4,Thermostat!$B$3)</f>
        <v>68</v>
      </c>
      <c r="Z55" s="349">
        <f>IF(Z52=0,Thermostat!$B$4,Thermostat!$B$3)</f>
        <v>68</v>
      </c>
      <c r="AA55" s="349">
        <f>IF(AA52=0,Thermostat!$B$4,Thermostat!$B$3)</f>
        <v>68</v>
      </c>
      <c r="AB55" s="349">
        <f>IF(AB52=0,Thermostat!$B$4,Thermostat!$B$3)</f>
        <v>68</v>
      </c>
      <c r="AC55" s="350">
        <f>IF(AC52=0,Thermostat!$B$4,Thermostat!$B$3)</f>
        <v>68</v>
      </c>
      <c r="AD55" s="48"/>
      <c r="AE55" s="48"/>
      <c r="AF55" s="48"/>
      <c r="AG55" s="48"/>
      <c r="AH55" s="48"/>
      <c r="AI55" s="48"/>
      <c r="AJ55" s="48"/>
      <c r="AK55" s="48"/>
      <c r="AL55" s="48"/>
      <c r="AM55" s="48"/>
      <c r="AN55" s="48"/>
      <c r="AO55" s="48"/>
      <c r="AP55" s="48"/>
      <c r="AQ55" s="48"/>
      <c r="AR55" s="48"/>
      <c r="AS55" s="48"/>
      <c r="AT55" s="48"/>
      <c r="AU55" s="48"/>
      <c r="AV55" s="48"/>
      <c r="AW55" s="48"/>
      <c r="AX55" s="48"/>
    </row>
    <row r="56" spans="1:50" ht="39.950000000000003" customHeight="1" x14ac:dyDescent="0.25">
      <c r="A56" s="582" t="s">
        <v>618</v>
      </c>
      <c r="B56" s="592" t="s">
        <v>84</v>
      </c>
      <c r="C56" s="598" t="s">
        <v>616</v>
      </c>
      <c r="D56" s="587" t="s">
        <v>619</v>
      </c>
      <c r="E56" s="249" t="s">
        <v>608</v>
      </c>
      <c r="F56" s="346">
        <f>IF(F50=0,Thermostat!$B$6,Thermostat!$B$5)</f>
        <v>78</v>
      </c>
      <c r="G56" s="346">
        <f>IF(G50=0,Thermostat!$B$6,Thermostat!$B$5)</f>
        <v>78</v>
      </c>
      <c r="H56" s="346">
        <f>IF(H50=0,Thermostat!$B$6,Thermostat!$B$5)</f>
        <v>78</v>
      </c>
      <c r="I56" s="346">
        <f>IF(I50=0,Thermostat!$B$6,Thermostat!$B$5)</f>
        <v>78</v>
      </c>
      <c r="J56" s="346">
        <f>IF(J50=0,Thermostat!$B$6,Thermostat!$B$5)</f>
        <v>78</v>
      </c>
      <c r="K56" s="346">
        <f>IF(K50=0,Thermostat!$B$6,Thermostat!$B$5)</f>
        <v>78</v>
      </c>
      <c r="L56" s="346">
        <f>IF(L50=0,Thermostat!$B$6,Thermostat!$B$5)</f>
        <v>78</v>
      </c>
      <c r="M56" s="346">
        <f>IF(M50=0,Thermostat!$B$6,Thermostat!$B$5)</f>
        <v>78</v>
      </c>
      <c r="N56" s="346">
        <f>IF(N50=0,Thermostat!$B$6,Thermostat!$B$5)</f>
        <v>78</v>
      </c>
      <c r="O56" s="346">
        <f>IF(O50=0,Thermostat!$B$6,Thermostat!$B$5)</f>
        <v>78</v>
      </c>
      <c r="P56" s="346">
        <f>IF(P50=0,Thermostat!$B$6,Thermostat!$B$5)</f>
        <v>78</v>
      </c>
      <c r="Q56" s="346">
        <f>IF(Q50=0,Thermostat!$B$6,Thermostat!$B$5)</f>
        <v>78</v>
      </c>
      <c r="R56" s="346">
        <f>IF(R50=0,Thermostat!$B$6,Thermostat!$B$5)</f>
        <v>78</v>
      </c>
      <c r="S56" s="346">
        <f>IF(S50=0,Thermostat!$B$6,Thermostat!$B$5)</f>
        <v>78</v>
      </c>
      <c r="T56" s="346">
        <f>IF(T50=0,Thermostat!$B$6,Thermostat!$B$5)</f>
        <v>78</v>
      </c>
      <c r="U56" s="346">
        <f>IF(U50=0,Thermostat!$B$6,Thermostat!$B$5)</f>
        <v>78</v>
      </c>
      <c r="V56" s="346">
        <f>IF(V50=0,Thermostat!$B$6,Thermostat!$B$5)</f>
        <v>78</v>
      </c>
      <c r="W56" s="346">
        <f>IF(W50=0,Thermostat!$B$6,Thermostat!$B$5)</f>
        <v>78</v>
      </c>
      <c r="X56" s="346">
        <f>IF(X50=0,Thermostat!$B$6,Thermostat!$B$5)</f>
        <v>78</v>
      </c>
      <c r="Y56" s="346">
        <f>IF(Y50=0,Thermostat!$B$6,Thermostat!$B$5)</f>
        <v>78</v>
      </c>
      <c r="Z56" s="346">
        <f>IF(Z50=0,Thermostat!$B$6,Thermostat!$B$5)</f>
        <v>78</v>
      </c>
      <c r="AA56" s="346">
        <f>IF(AA50=0,Thermostat!$B$6,Thermostat!$B$5)</f>
        <v>78</v>
      </c>
      <c r="AB56" s="346">
        <f>IF(AB50=0,Thermostat!$B$6,Thermostat!$B$5)</f>
        <v>78</v>
      </c>
      <c r="AC56" s="200">
        <f>IF(AC50=0,Thermostat!$B$6,Thermostat!$B$5)</f>
        <v>78</v>
      </c>
      <c r="AD56" s="48"/>
      <c r="AE56" s="48"/>
      <c r="AF56" s="48"/>
      <c r="AG56" s="48"/>
      <c r="AH56" s="48"/>
      <c r="AI56" s="48"/>
      <c r="AJ56" s="48"/>
      <c r="AK56" s="48"/>
      <c r="AL56" s="48"/>
      <c r="AM56" s="48"/>
      <c r="AN56" s="48"/>
      <c r="AO56" s="48"/>
      <c r="AP56" s="48"/>
      <c r="AQ56" s="48"/>
      <c r="AR56" s="48"/>
      <c r="AS56" s="48"/>
      <c r="AT56" s="48"/>
      <c r="AU56" s="48"/>
      <c r="AV56" s="48"/>
      <c r="AW56" s="48"/>
      <c r="AX56" s="48"/>
    </row>
    <row r="57" spans="1:50" ht="39.950000000000003" customHeight="1" x14ac:dyDescent="0.25">
      <c r="A57" s="583"/>
      <c r="B57" s="593"/>
      <c r="C57" s="599"/>
      <c r="D57" s="588"/>
      <c r="E57" s="250" t="s">
        <v>609</v>
      </c>
      <c r="F57" s="347">
        <f>IF(F51=0,Thermostat!$B$6,Thermostat!$B$5)</f>
        <v>78</v>
      </c>
      <c r="G57" s="347">
        <f>IF(G51=0,Thermostat!$B$6,Thermostat!$B$5)</f>
        <v>78</v>
      </c>
      <c r="H57" s="347">
        <f>IF(H51=0,Thermostat!$B$6,Thermostat!$B$5)</f>
        <v>78</v>
      </c>
      <c r="I57" s="347">
        <f>IF(I51=0,Thermostat!$B$6,Thermostat!$B$5)</f>
        <v>78</v>
      </c>
      <c r="J57" s="347">
        <f>IF(J51=0,Thermostat!$B$6,Thermostat!$B$5)</f>
        <v>78</v>
      </c>
      <c r="K57" s="347">
        <f>IF(K51=0,Thermostat!$B$6,Thermostat!$B$5)</f>
        <v>78</v>
      </c>
      <c r="L57" s="347">
        <f>IF(L51=0,Thermostat!$B$6,Thermostat!$B$5)</f>
        <v>78</v>
      </c>
      <c r="M57" s="347">
        <f>IF(M51=0,Thermostat!$B$6,Thermostat!$B$5)</f>
        <v>78</v>
      </c>
      <c r="N57" s="347">
        <f>IF(N51=0,Thermostat!$B$6,Thermostat!$B$5)</f>
        <v>78</v>
      </c>
      <c r="O57" s="347">
        <f>IF(O51=0,Thermostat!$B$6,Thermostat!$B$5)</f>
        <v>78</v>
      </c>
      <c r="P57" s="347">
        <f>IF(P51=0,Thermostat!$B$6,Thermostat!$B$5)</f>
        <v>78</v>
      </c>
      <c r="Q57" s="347">
        <f>IF(Q51=0,Thermostat!$B$6,Thermostat!$B$5)</f>
        <v>78</v>
      </c>
      <c r="R57" s="347">
        <f>IF(R51=0,Thermostat!$B$6,Thermostat!$B$5)</f>
        <v>78</v>
      </c>
      <c r="S57" s="347">
        <f>IF(S51=0,Thermostat!$B$6,Thermostat!$B$5)</f>
        <v>78</v>
      </c>
      <c r="T57" s="347">
        <f>IF(T51=0,Thermostat!$B$6,Thermostat!$B$5)</f>
        <v>78</v>
      </c>
      <c r="U57" s="347">
        <f>IF(U51=0,Thermostat!$B$6,Thermostat!$B$5)</f>
        <v>78</v>
      </c>
      <c r="V57" s="347">
        <f>IF(V51=0,Thermostat!$B$6,Thermostat!$B$5)</f>
        <v>78</v>
      </c>
      <c r="W57" s="347">
        <f>IF(W51=0,Thermostat!$B$6,Thermostat!$B$5)</f>
        <v>78</v>
      </c>
      <c r="X57" s="347">
        <f>IF(X51=0,Thermostat!$B$6,Thermostat!$B$5)</f>
        <v>78</v>
      </c>
      <c r="Y57" s="347">
        <f>IF(Y51=0,Thermostat!$B$6,Thermostat!$B$5)</f>
        <v>78</v>
      </c>
      <c r="Z57" s="347">
        <f>IF(Z51=0,Thermostat!$B$6,Thermostat!$B$5)</f>
        <v>78</v>
      </c>
      <c r="AA57" s="347">
        <f>IF(AA51=0,Thermostat!$B$6,Thermostat!$B$5)</f>
        <v>78</v>
      </c>
      <c r="AB57" s="347">
        <f>IF(AB51=0,Thermostat!$B$6,Thermostat!$B$5)</f>
        <v>78</v>
      </c>
      <c r="AC57" s="348">
        <f>IF(AC51=0,Thermostat!$B$6,Thermostat!$B$5)</f>
        <v>78</v>
      </c>
      <c r="AD57" s="48"/>
      <c r="AE57" s="48"/>
      <c r="AF57" s="48"/>
      <c r="AG57" s="48"/>
      <c r="AH57" s="48"/>
      <c r="AI57" s="48"/>
      <c r="AJ57" s="48"/>
      <c r="AK57" s="48"/>
      <c r="AL57" s="48"/>
      <c r="AM57" s="48"/>
      <c r="AN57" s="48"/>
      <c r="AO57" s="48"/>
      <c r="AP57" s="48"/>
      <c r="AQ57" s="48"/>
      <c r="AR57" s="48"/>
      <c r="AS57" s="48"/>
      <c r="AT57" s="48"/>
      <c r="AU57" s="48"/>
      <c r="AV57" s="48"/>
      <c r="AW57" s="48"/>
      <c r="AX57" s="48"/>
    </row>
    <row r="58" spans="1:50" ht="39.950000000000003" customHeight="1" thickBot="1" x14ac:dyDescent="0.3">
      <c r="A58" s="584"/>
      <c r="B58" s="594"/>
      <c r="C58" s="600"/>
      <c r="D58" s="589"/>
      <c r="E58" s="251" t="s">
        <v>610</v>
      </c>
      <c r="F58" s="349">
        <f>IF(F52=0,Thermostat!$B$6,Thermostat!$B$5)</f>
        <v>78</v>
      </c>
      <c r="G58" s="349">
        <f>IF(G52=0,Thermostat!$B$6,Thermostat!$B$5)</f>
        <v>78</v>
      </c>
      <c r="H58" s="349">
        <f>IF(H52=0,Thermostat!$B$6,Thermostat!$B$5)</f>
        <v>78</v>
      </c>
      <c r="I58" s="349">
        <f>IF(I52=0,Thermostat!$B$6,Thermostat!$B$5)</f>
        <v>78</v>
      </c>
      <c r="J58" s="349">
        <f>IF(J52=0,Thermostat!$B$6,Thermostat!$B$5)</f>
        <v>78</v>
      </c>
      <c r="K58" s="349">
        <f>IF(K52=0,Thermostat!$B$6,Thermostat!$B$5)</f>
        <v>78</v>
      </c>
      <c r="L58" s="349">
        <f>IF(L52=0,Thermostat!$B$6,Thermostat!$B$5)</f>
        <v>78</v>
      </c>
      <c r="M58" s="349">
        <f>IF(M52=0,Thermostat!$B$6,Thermostat!$B$5)</f>
        <v>78</v>
      </c>
      <c r="N58" s="349">
        <f>IF(N52=0,Thermostat!$B$6,Thermostat!$B$5)</f>
        <v>78</v>
      </c>
      <c r="O58" s="349">
        <f>IF(O52=0,Thermostat!$B$6,Thermostat!$B$5)</f>
        <v>78</v>
      </c>
      <c r="P58" s="349">
        <f>IF(P52=0,Thermostat!$B$6,Thermostat!$B$5)</f>
        <v>78</v>
      </c>
      <c r="Q58" s="349">
        <f>IF(Q52=0,Thermostat!$B$6,Thermostat!$B$5)</f>
        <v>78</v>
      </c>
      <c r="R58" s="349">
        <f>IF(R52=0,Thermostat!$B$6,Thermostat!$B$5)</f>
        <v>78</v>
      </c>
      <c r="S58" s="349">
        <f>IF(S52=0,Thermostat!$B$6,Thermostat!$B$5)</f>
        <v>78</v>
      </c>
      <c r="T58" s="349">
        <f>IF(T52=0,Thermostat!$B$6,Thermostat!$B$5)</f>
        <v>78</v>
      </c>
      <c r="U58" s="349">
        <f>IF(U52=0,Thermostat!$B$6,Thermostat!$B$5)</f>
        <v>78</v>
      </c>
      <c r="V58" s="349">
        <f>IF(V52=0,Thermostat!$B$6,Thermostat!$B$5)</f>
        <v>78</v>
      </c>
      <c r="W58" s="349">
        <f>IF(W52=0,Thermostat!$B$6,Thermostat!$B$5)</f>
        <v>78</v>
      </c>
      <c r="X58" s="349">
        <f>IF(X52=0,Thermostat!$B$6,Thermostat!$B$5)</f>
        <v>78</v>
      </c>
      <c r="Y58" s="349">
        <f>IF(Y52=0,Thermostat!$B$6,Thermostat!$B$5)</f>
        <v>78</v>
      </c>
      <c r="Z58" s="349">
        <f>IF(Z52=0,Thermostat!$B$6,Thermostat!$B$5)</f>
        <v>78</v>
      </c>
      <c r="AA58" s="349">
        <f>IF(AA52=0,Thermostat!$B$6,Thermostat!$B$5)</f>
        <v>78</v>
      </c>
      <c r="AB58" s="349">
        <f>IF(AB52=0,Thermostat!$B$6,Thermostat!$B$5)</f>
        <v>78</v>
      </c>
      <c r="AC58" s="350">
        <f>IF(AC52=0,Thermostat!$B$6,Thermostat!$B$5)</f>
        <v>78</v>
      </c>
      <c r="AD58" s="48"/>
      <c r="AE58" s="48"/>
      <c r="AF58" s="48"/>
      <c r="AG58" s="48"/>
      <c r="AH58" s="48"/>
      <c r="AI58" s="48"/>
      <c r="AJ58" s="48"/>
      <c r="AK58" s="48"/>
      <c r="AL58" s="48"/>
      <c r="AM58" s="48"/>
      <c r="AN58" s="48"/>
      <c r="AO58" s="48"/>
      <c r="AP58" s="48"/>
      <c r="AQ58" s="48"/>
      <c r="AR58" s="48"/>
      <c r="AS58" s="48"/>
      <c r="AT58" s="48"/>
      <c r="AU58" s="48"/>
      <c r="AV58" s="48"/>
      <c r="AW58" s="48"/>
      <c r="AX58" s="48"/>
    </row>
    <row r="59" spans="1:50" ht="39.950000000000003" customHeight="1" x14ac:dyDescent="0.25">
      <c r="A59" s="585" t="s">
        <v>618</v>
      </c>
      <c r="B59" s="592" t="s">
        <v>84</v>
      </c>
      <c r="C59" s="601" t="s">
        <v>379</v>
      </c>
      <c r="D59" s="590" t="s">
        <v>619</v>
      </c>
      <c r="E59" s="249" t="s">
        <v>608</v>
      </c>
      <c r="F59" s="193">
        <v>0.25</v>
      </c>
      <c r="G59" s="193">
        <v>0.25</v>
      </c>
      <c r="H59" s="193">
        <v>0.25</v>
      </c>
      <c r="I59" s="193">
        <v>0.25</v>
      </c>
      <c r="J59" s="193">
        <v>0.25</v>
      </c>
      <c r="K59" s="193">
        <v>0.25</v>
      </c>
      <c r="L59" s="193">
        <v>0.25</v>
      </c>
      <c r="M59" s="193">
        <v>0.25</v>
      </c>
      <c r="N59" s="193">
        <v>0.25</v>
      </c>
      <c r="O59" s="193">
        <v>0.25</v>
      </c>
      <c r="P59" s="193">
        <v>0.25</v>
      </c>
      <c r="Q59" s="193">
        <v>0.25</v>
      </c>
      <c r="R59" s="193">
        <v>0.25</v>
      </c>
      <c r="S59" s="193">
        <v>0.25</v>
      </c>
      <c r="T59" s="193">
        <v>0.25</v>
      </c>
      <c r="U59" s="193">
        <v>0.25</v>
      </c>
      <c r="V59" s="193">
        <v>0.25</v>
      </c>
      <c r="W59" s="193">
        <v>0.25</v>
      </c>
      <c r="X59" s="193">
        <v>0.25</v>
      </c>
      <c r="Y59" s="193">
        <v>0.25</v>
      </c>
      <c r="Z59" s="193">
        <v>0.25</v>
      </c>
      <c r="AA59" s="193">
        <v>0.25</v>
      </c>
      <c r="AB59" s="193">
        <v>0.25</v>
      </c>
      <c r="AC59" s="194">
        <v>0.25</v>
      </c>
      <c r="AD59" s="48"/>
      <c r="AE59" s="48"/>
      <c r="AF59" s="48"/>
      <c r="AG59" s="48"/>
      <c r="AH59" s="48"/>
      <c r="AI59" s="48"/>
      <c r="AJ59" s="48"/>
      <c r="AK59" s="48"/>
      <c r="AL59" s="48"/>
      <c r="AM59" s="48"/>
      <c r="AN59" s="48"/>
      <c r="AO59" s="48"/>
      <c r="AP59" s="48"/>
      <c r="AQ59" s="48"/>
      <c r="AR59" s="48"/>
      <c r="AS59" s="48"/>
      <c r="AT59" s="48"/>
      <c r="AU59" s="48"/>
      <c r="AV59" s="48"/>
      <c r="AW59" s="48"/>
      <c r="AX59" s="48"/>
    </row>
    <row r="60" spans="1:50" ht="39.950000000000003" customHeight="1" x14ac:dyDescent="0.25">
      <c r="A60" s="583"/>
      <c r="B60" s="593"/>
      <c r="C60" s="599"/>
      <c r="D60" s="588"/>
      <c r="E60" s="250" t="s">
        <v>609</v>
      </c>
      <c r="F60" s="192">
        <v>0.25</v>
      </c>
      <c r="G60" s="192">
        <v>0.25</v>
      </c>
      <c r="H60" s="192">
        <v>0.25</v>
      </c>
      <c r="I60" s="192">
        <v>0.25</v>
      </c>
      <c r="J60" s="192">
        <v>0.25</v>
      </c>
      <c r="K60" s="192">
        <v>0.25</v>
      </c>
      <c r="L60" s="192">
        <v>0.25</v>
      </c>
      <c r="M60" s="192">
        <v>0.25</v>
      </c>
      <c r="N60" s="192">
        <v>0.25</v>
      </c>
      <c r="O60" s="192">
        <v>0.25</v>
      </c>
      <c r="P60" s="192">
        <v>0.25</v>
      </c>
      <c r="Q60" s="192">
        <v>0.25</v>
      </c>
      <c r="R60" s="192">
        <v>0.25</v>
      </c>
      <c r="S60" s="192">
        <v>0.25</v>
      </c>
      <c r="T60" s="192">
        <v>0.25</v>
      </c>
      <c r="U60" s="192">
        <v>0.25</v>
      </c>
      <c r="V60" s="192">
        <v>0.25</v>
      </c>
      <c r="W60" s="192">
        <v>0.25</v>
      </c>
      <c r="X60" s="192">
        <v>0.25</v>
      </c>
      <c r="Y60" s="192">
        <v>0.25</v>
      </c>
      <c r="Z60" s="192">
        <v>0.25</v>
      </c>
      <c r="AA60" s="192">
        <v>0.25</v>
      </c>
      <c r="AB60" s="192">
        <v>0.25</v>
      </c>
      <c r="AC60" s="199">
        <v>0.25</v>
      </c>
      <c r="AD60" s="48"/>
      <c r="AE60" s="48"/>
      <c r="AF60" s="48"/>
      <c r="AG60" s="48"/>
      <c r="AH60" s="48"/>
      <c r="AI60" s="48"/>
      <c r="AJ60" s="48"/>
      <c r="AK60" s="48"/>
      <c r="AL60" s="48"/>
      <c r="AM60" s="48"/>
      <c r="AN60" s="48"/>
      <c r="AO60" s="48"/>
      <c r="AP60" s="48"/>
      <c r="AQ60" s="48"/>
      <c r="AR60" s="48"/>
      <c r="AS60" s="48"/>
      <c r="AT60" s="48"/>
      <c r="AU60" s="48"/>
      <c r="AV60" s="48"/>
      <c r="AW60" s="48"/>
      <c r="AX60" s="48"/>
    </row>
    <row r="61" spans="1:50" ht="39.950000000000003" customHeight="1" thickBot="1" x14ac:dyDescent="0.3">
      <c r="A61" s="586"/>
      <c r="B61" s="594"/>
      <c r="C61" s="602"/>
      <c r="D61" s="591"/>
      <c r="E61" s="251" t="s">
        <v>610</v>
      </c>
      <c r="F61" s="197">
        <v>0.25</v>
      </c>
      <c r="G61" s="197">
        <v>0.25</v>
      </c>
      <c r="H61" s="197">
        <v>0.25</v>
      </c>
      <c r="I61" s="197">
        <v>0.25</v>
      </c>
      <c r="J61" s="197">
        <v>0.25</v>
      </c>
      <c r="K61" s="197">
        <v>0.25</v>
      </c>
      <c r="L61" s="197">
        <v>0.25</v>
      </c>
      <c r="M61" s="197">
        <v>0.25</v>
      </c>
      <c r="N61" s="197">
        <v>0.25</v>
      </c>
      <c r="O61" s="197">
        <v>0.25</v>
      </c>
      <c r="P61" s="197">
        <v>0.25</v>
      </c>
      <c r="Q61" s="197">
        <v>0.25</v>
      </c>
      <c r="R61" s="197">
        <v>0.25</v>
      </c>
      <c r="S61" s="197">
        <v>0.25</v>
      </c>
      <c r="T61" s="197">
        <v>0.25</v>
      </c>
      <c r="U61" s="197">
        <v>0.25</v>
      </c>
      <c r="V61" s="197">
        <v>0.25</v>
      </c>
      <c r="W61" s="197">
        <v>0.25</v>
      </c>
      <c r="X61" s="197">
        <v>0.25</v>
      </c>
      <c r="Y61" s="197">
        <v>0.25</v>
      </c>
      <c r="Z61" s="197">
        <v>0.25</v>
      </c>
      <c r="AA61" s="197">
        <v>0.25</v>
      </c>
      <c r="AB61" s="197">
        <v>0.25</v>
      </c>
      <c r="AC61" s="198">
        <v>0.25</v>
      </c>
      <c r="AD61" s="48"/>
      <c r="AE61" s="48"/>
      <c r="AF61" s="48"/>
      <c r="AG61" s="48"/>
      <c r="AH61" s="48"/>
      <c r="AI61" s="48"/>
      <c r="AJ61" s="48"/>
      <c r="AK61" s="48"/>
      <c r="AL61" s="48"/>
      <c r="AM61" s="48"/>
      <c r="AN61" s="48"/>
      <c r="AO61" s="48"/>
      <c r="AP61" s="48"/>
      <c r="AQ61" s="48"/>
      <c r="AR61" s="48"/>
      <c r="AS61" s="48"/>
      <c r="AT61" s="48"/>
      <c r="AU61" s="48"/>
      <c r="AV61" s="48"/>
      <c r="AW61" s="48"/>
      <c r="AX61" s="48"/>
    </row>
    <row r="62" spans="1:50" ht="39.950000000000003" customHeight="1" x14ac:dyDescent="0.25">
      <c r="A62" s="582" t="s">
        <v>618</v>
      </c>
      <c r="B62" s="592" t="s">
        <v>84</v>
      </c>
      <c r="C62" s="598" t="s">
        <v>617</v>
      </c>
      <c r="D62" s="587" t="s">
        <v>619</v>
      </c>
      <c r="E62" s="249" t="s">
        <v>608</v>
      </c>
      <c r="F62" s="193">
        <v>0.9</v>
      </c>
      <c r="G62" s="193">
        <v>0.9</v>
      </c>
      <c r="H62" s="193">
        <v>0.9</v>
      </c>
      <c r="I62" s="193">
        <v>0.9</v>
      </c>
      <c r="J62" s="193">
        <v>0.9</v>
      </c>
      <c r="K62" s="193">
        <v>0.9</v>
      </c>
      <c r="L62" s="193">
        <v>0.9</v>
      </c>
      <c r="M62" s="193">
        <v>0.9</v>
      </c>
      <c r="N62" s="193">
        <v>0.9</v>
      </c>
      <c r="O62" s="193">
        <v>0.9</v>
      </c>
      <c r="P62" s="193">
        <v>0.9</v>
      </c>
      <c r="Q62" s="193">
        <v>0.9</v>
      </c>
      <c r="R62" s="193">
        <v>0.9</v>
      </c>
      <c r="S62" s="193">
        <v>0.9</v>
      </c>
      <c r="T62" s="193">
        <v>0.9</v>
      </c>
      <c r="U62" s="193">
        <v>0.9</v>
      </c>
      <c r="V62" s="193">
        <v>0.9</v>
      </c>
      <c r="W62" s="193">
        <v>0.9</v>
      </c>
      <c r="X62" s="193">
        <v>0.9</v>
      </c>
      <c r="Y62" s="193">
        <v>0.9</v>
      </c>
      <c r="Z62" s="193">
        <v>0.9</v>
      </c>
      <c r="AA62" s="193">
        <v>0.9</v>
      </c>
      <c r="AB62" s="193">
        <v>0.9</v>
      </c>
      <c r="AC62" s="194">
        <v>0.9</v>
      </c>
      <c r="AD62" s="48"/>
      <c r="AE62" s="48"/>
      <c r="AF62" s="48"/>
      <c r="AG62" s="48"/>
      <c r="AH62" s="48"/>
      <c r="AI62" s="48"/>
      <c r="AJ62" s="48"/>
      <c r="AK62" s="48"/>
      <c r="AL62" s="48"/>
      <c r="AM62" s="48"/>
      <c r="AN62" s="48"/>
      <c r="AO62" s="48"/>
      <c r="AP62" s="48"/>
      <c r="AQ62" s="48"/>
      <c r="AR62" s="48"/>
      <c r="AS62" s="48"/>
      <c r="AT62" s="48"/>
      <c r="AU62" s="48"/>
      <c r="AV62" s="48"/>
      <c r="AW62" s="48"/>
      <c r="AX62" s="48"/>
    </row>
    <row r="63" spans="1:50" ht="39.950000000000003" customHeight="1" x14ac:dyDescent="0.25">
      <c r="A63" s="583"/>
      <c r="B63" s="593"/>
      <c r="C63" s="599"/>
      <c r="D63" s="588"/>
      <c r="E63" s="250" t="s">
        <v>609</v>
      </c>
      <c r="F63" s="192">
        <v>0.9</v>
      </c>
      <c r="G63" s="192">
        <v>0.9</v>
      </c>
      <c r="H63" s="192">
        <v>0.9</v>
      </c>
      <c r="I63" s="192">
        <v>0.9</v>
      </c>
      <c r="J63" s="192">
        <v>0.9</v>
      </c>
      <c r="K63" s="192">
        <v>0.9</v>
      </c>
      <c r="L63" s="192">
        <v>0.9</v>
      </c>
      <c r="M63" s="192">
        <v>0.9</v>
      </c>
      <c r="N63" s="192">
        <v>0.9</v>
      </c>
      <c r="O63" s="192">
        <v>0.9</v>
      </c>
      <c r="P63" s="192">
        <v>0.9</v>
      </c>
      <c r="Q63" s="192">
        <v>0.9</v>
      </c>
      <c r="R63" s="192">
        <v>0.9</v>
      </c>
      <c r="S63" s="192">
        <v>0.9</v>
      </c>
      <c r="T63" s="192">
        <v>0.9</v>
      </c>
      <c r="U63" s="192">
        <v>0.9</v>
      </c>
      <c r="V63" s="192">
        <v>0.9</v>
      </c>
      <c r="W63" s="192">
        <v>0.9</v>
      </c>
      <c r="X63" s="192">
        <v>0.9</v>
      </c>
      <c r="Y63" s="192">
        <v>0.9</v>
      </c>
      <c r="Z63" s="192">
        <v>0.9</v>
      </c>
      <c r="AA63" s="192">
        <v>0.9</v>
      </c>
      <c r="AB63" s="192">
        <v>0.9</v>
      </c>
      <c r="AC63" s="199">
        <v>0.9</v>
      </c>
      <c r="AD63" s="48"/>
      <c r="AE63" s="48"/>
      <c r="AF63" s="48"/>
      <c r="AG63" s="48"/>
      <c r="AH63" s="48"/>
      <c r="AI63" s="48"/>
      <c r="AJ63" s="48"/>
      <c r="AK63" s="48"/>
      <c r="AL63" s="48"/>
      <c r="AM63" s="48"/>
      <c r="AN63" s="48"/>
      <c r="AO63" s="48"/>
      <c r="AP63" s="48"/>
      <c r="AQ63" s="48"/>
      <c r="AR63" s="48"/>
      <c r="AS63" s="48"/>
      <c r="AT63" s="48"/>
      <c r="AU63" s="48"/>
      <c r="AV63" s="48"/>
      <c r="AW63" s="48"/>
      <c r="AX63" s="48"/>
    </row>
    <row r="64" spans="1:50" ht="40.5" customHeight="1" thickBot="1" x14ac:dyDescent="0.3">
      <c r="A64" s="584"/>
      <c r="B64" s="594"/>
      <c r="C64" s="600"/>
      <c r="D64" s="589"/>
      <c r="E64" s="251" t="s">
        <v>610</v>
      </c>
      <c r="F64" s="195">
        <v>0.9</v>
      </c>
      <c r="G64" s="195">
        <v>0.9</v>
      </c>
      <c r="H64" s="195">
        <v>0.9</v>
      </c>
      <c r="I64" s="195">
        <v>0.9</v>
      </c>
      <c r="J64" s="195">
        <v>0.9</v>
      </c>
      <c r="K64" s="195">
        <v>0.9</v>
      </c>
      <c r="L64" s="195">
        <v>0.9</v>
      </c>
      <c r="M64" s="195">
        <v>0.9</v>
      </c>
      <c r="N64" s="195">
        <v>0.9</v>
      </c>
      <c r="O64" s="195">
        <v>0.9</v>
      </c>
      <c r="P64" s="195">
        <v>0.9</v>
      </c>
      <c r="Q64" s="195">
        <v>0.9</v>
      </c>
      <c r="R64" s="195">
        <v>0.9</v>
      </c>
      <c r="S64" s="195">
        <v>0.9</v>
      </c>
      <c r="T64" s="195">
        <v>0.9</v>
      </c>
      <c r="U64" s="195">
        <v>0.9</v>
      </c>
      <c r="V64" s="195">
        <v>0.9</v>
      </c>
      <c r="W64" s="195">
        <v>0.9</v>
      </c>
      <c r="X64" s="195">
        <v>0.9</v>
      </c>
      <c r="Y64" s="195">
        <v>0.9</v>
      </c>
      <c r="Z64" s="195">
        <v>0.9</v>
      </c>
      <c r="AA64" s="195">
        <v>0.9</v>
      </c>
      <c r="AB64" s="195">
        <v>0.9</v>
      </c>
      <c r="AC64" s="196">
        <v>0.9</v>
      </c>
      <c r="AD64" s="48"/>
      <c r="AE64" s="48"/>
      <c r="AF64" s="48"/>
      <c r="AG64" s="48"/>
      <c r="AH64" s="48"/>
      <c r="AI64" s="48"/>
      <c r="AJ64" s="48"/>
      <c r="AK64" s="48"/>
      <c r="AL64" s="48"/>
      <c r="AM64" s="48"/>
      <c r="AN64" s="48"/>
      <c r="AO64" s="48"/>
      <c r="AP64" s="48"/>
      <c r="AQ64" s="48"/>
      <c r="AR64" s="48"/>
      <c r="AS64" s="48"/>
      <c r="AT64" s="48"/>
      <c r="AU64" s="48"/>
      <c r="AV64" s="48"/>
      <c r="AW64" s="48"/>
      <c r="AX64" s="48"/>
    </row>
    <row r="65" spans="1:56" ht="29.25" customHeight="1" thickBot="1" x14ac:dyDescent="0.3">
      <c r="A65" s="566" t="s">
        <v>100</v>
      </c>
      <c r="B65" s="567"/>
      <c r="C65" s="567"/>
      <c r="D65" s="567"/>
      <c r="E65" s="567"/>
      <c r="F65" s="567"/>
      <c r="G65" s="567"/>
      <c r="H65" s="567"/>
      <c r="I65" s="567"/>
      <c r="J65" s="567"/>
      <c r="K65" s="567"/>
      <c r="L65" s="567"/>
      <c r="M65" s="567"/>
      <c r="N65" s="567"/>
      <c r="O65" s="567"/>
      <c r="P65" s="567"/>
      <c r="Q65" s="567"/>
      <c r="R65" s="567"/>
      <c r="S65" s="567"/>
      <c r="T65" s="567"/>
      <c r="U65" s="567"/>
      <c r="V65" s="567"/>
      <c r="W65" s="567"/>
      <c r="X65" s="567"/>
      <c r="Y65" s="567"/>
      <c r="Z65" s="567"/>
      <c r="AA65" s="567"/>
      <c r="AB65" s="567"/>
      <c r="AC65" s="568"/>
      <c r="AD65" s="48"/>
      <c r="AE65" s="48"/>
      <c r="AF65" s="48"/>
      <c r="AG65" s="48"/>
      <c r="AH65" s="48"/>
      <c r="AI65" s="48"/>
      <c r="AJ65" s="48"/>
      <c r="AK65" s="48"/>
      <c r="AL65" s="48"/>
      <c r="AM65" s="48"/>
      <c r="AN65" s="48"/>
      <c r="AO65" s="48"/>
      <c r="AP65" s="48"/>
      <c r="AQ65" s="48"/>
      <c r="AR65" s="48"/>
      <c r="AS65" s="48"/>
      <c r="AT65" s="48"/>
      <c r="AU65" s="48"/>
      <c r="AV65" s="48"/>
      <c r="AW65" s="48"/>
      <c r="AX65" s="48"/>
    </row>
    <row r="66" spans="1:56" ht="39.6" customHeight="1" x14ac:dyDescent="0.25">
      <c r="A66" s="609" t="s">
        <v>100</v>
      </c>
      <c r="B66" s="612" t="s">
        <v>100</v>
      </c>
      <c r="C66" s="614" t="s">
        <v>606</v>
      </c>
      <c r="D66" s="564" t="s">
        <v>621</v>
      </c>
      <c r="E66" s="249" t="s">
        <v>608</v>
      </c>
      <c r="F66" s="193">
        <v>0</v>
      </c>
      <c r="G66" s="193">
        <v>0</v>
      </c>
      <c r="H66" s="193">
        <v>0</v>
      </c>
      <c r="I66" s="193">
        <v>0</v>
      </c>
      <c r="J66" s="193">
        <v>0</v>
      </c>
      <c r="K66" s="193">
        <v>0</v>
      </c>
      <c r="L66" s="193">
        <v>0</v>
      </c>
      <c r="M66" s="193">
        <v>0.1</v>
      </c>
      <c r="N66" s="193">
        <v>0.2</v>
      </c>
      <c r="O66" s="193">
        <v>0.5</v>
      </c>
      <c r="P66" s="193">
        <v>0.5</v>
      </c>
      <c r="Q66" s="193">
        <v>0.7</v>
      </c>
      <c r="R66" s="193">
        <v>0.7</v>
      </c>
      <c r="S66" s="193">
        <v>0.7</v>
      </c>
      <c r="T66" s="193">
        <v>0.7</v>
      </c>
      <c r="U66" s="193">
        <v>0.8</v>
      </c>
      <c r="V66" s="193">
        <v>0.7</v>
      </c>
      <c r="W66" s="193">
        <v>0.5</v>
      </c>
      <c r="X66" s="193">
        <v>0.5</v>
      </c>
      <c r="Y66" s="193">
        <v>0.3</v>
      </c>
      <c r="Z66" s="193">
        <v>0.3</v>
      </c>
      <c r="AA66" s="193">
        <v>0</v>
      </c>
      <c r="AB66" s="193">
        <v>0</v>
      </c>
      <c r="AC66" s="194">
        <v>0</v>
      </c>
      <c r="AD66" s="48"/>
      <c r="AE66" s="48"/>
      <c r="AF66" s="48"/>
      <c r="AG66" s="48"/>
      <c r="AH66" s="48"/>
      <c r="AI66" s="48"/>
      <c r="AJ66" s="48"/>
      <c r="AK66" s="48"/>
      <c r="AL66" s="46"/>
      <c r="AM66" s="46"/>
      <c r="AN66" s="46"/>
      <c r="AO66" s="46"/>
      <c r="AP66" s="46"/>
      <c r="AQ66" s="46"/>
      <c r="AR66" s="46"/>
      <c r="AS66" s="46"/>
      <c r="AT66" s="46"/>
      <c r="AU66" s="46"/>
      <c r="AV66" s="46"/>
      <c r="AW66" s="46"/>
      <c r="AX66" s="46"/>
      <c r="AY66" s="46"/>
      <c r="AZ66" s="46"/>
      <c r="BA66" s="46"/>
      <c r="BB66" s="46"/>
      <c r="BC66" s="46"/>
      <c r="BD66" s="46"/>
    </row>
    <row r="67" spans="1:56" ht="39.6" customHeight="1" x14ac:dyDescent="0.25">
      <c r="A67" s="610"/>
      <c r="B67" s="525"/>
      <c r="C67" s="525"/>
      <c r="D67" s="546"/>
      <c r="E67" s="250" t="s">
        <v>609</v>
      </c>
      <c r="F67" s="192">
        <v>0</v>
      </c>
      <c r="G67" s="192">
        <v>0</v>
      </c>
      <c r="H67" s="192">
        <v>0</v>
      </c>
      <c r="I67" s="192">
        <v>0</v>
      </c>
      <c r="J67" s="192">
        <v>0</v>
      </c>
      <c r="K67" s="192">
        <v>0</v>
      </c>
      <c r="L67" s="192">
        <v>0</v>
      </c>
      <c r="M67" s="192">
        <v>0.1</v>
      </c>
      <c r="N67" s="192">
        <v>0.2</v>
      </c>
      <c r="O67" s="192">
        <v>0.5</v>
      </c>
      <c r="P67" s="192">
        <v>0.6</v>
      </c>
      <c r="Q67" s="192">
        <v>0.8</v>
      </c>
      <c r="R67" s="192">
        <v>0.8</v>
      </c>
      <c r="S67" s="192">
        <v>0.8</v>
      </c>
      <c r="T67" s="192">
        <v>0.8</v>
      </c>
      <c r="U67" s="192">
        <v>0.8</v>
      </c>
      <c r="V67" s="192">
        <v>0.8</v>
      </c>
      <c r="W67" s="192">
        <v>0.6</v>
      </c>
      <c r="X67" s="192">
        <v>0.2</v>
      </c>
      <c r="Y67" s="192">
        <v>0.2</v>
      </c>
      <c r="Z67" s="192">
        <v>0.2</v>
      </c>
      <c r="AA67" s="192">
        <v>0.1</v>
      </c>
      <c r="AB67" s="192">
        <v>0</v>
      </c>
      <c r="AC67" s="199">
        <v>0</v>
      </c>
      <c r="AD67" s="48"/>
      <c r="AE67" s="48"/>
      <c r="AF67" s="48"/>
      <c r="AG67" s="48"/>
      <c r="AH67" s="48"/>
      <c r="AI67" s="48"/>
      <c r="AJ67" s="48"/>
      <c r="AK67" s="48"/>
      <c r="AL67" s="46"/>
      <c r="AM67" s="46"/>
      <c r="AN67" s="46"/>
      <c r="AO67" s="46"/>
      <c r="AP67" s="46"/>
      <c r="AQ67" s="46"/>
      <c r="AR67" s="46"/>
      <c r="AS67" s="46"/>
      <c r="AT67" s="46"/>
      <c r="AU67" s="46"/>
      <c r="AV67" s="46"/>
      <c r="AW67" s="46"/>
      <c r="AX67" s="46"/>
      <c r="AY67" s="46"/>
      <c r="AZ67" s="46"/>
      <c r="BA67" s="46"/>
      <c r="BB67" s="46"/>
      <c r="BC67" s="46"/>
      <c r="BD67" s="46"/>
    </row>
    <row r="68" spans="1:56" ht="39.6" customHeight="1" thickBot="1" x14ac:dyDescent="0.3">
      <c r="A68" s="611"/>
      <c r="B68" s="613"/>
      <c r="C68" s="613"/>
      <c r="D68" s="547"/>
      <c r="E68" s="251" t="s">
        <v>610</v>
      </c>
      <c r="F68" s="195">
        <v>0</v>
      </c>
      <c r="G68" s="195">
        <v>0</v>
      </c>
      <c r="H68" s="195">
        <v>0</v>
      </c>
      <c r="I68" s="195">
        <v>0</v>
      </c>
      <c r="J68" s="195">
        <v>0</v>
      </c>
      <c r="K68" s="195">
        <v>0</v>
      </c>
      <c r="L68" s="195">
        <v>0</v>
      </c>
      <c r="M68" s="195">
        <v>0</v>
      </c>
      <c r="N68" s="195">
        <v>0</v>
      </c>
      <c r="O68" s="195">
        <v>0.1</v>
      </c>
      <c r="P68" s="195">
        <v>0.2</v>
      </c>
      <c r="Q68" s="195">
        <v>0.2</v>
      </c>
      <c r="R68" s="195">
        <v>0.4</v>
      </c>
      <c r="S68" s="195">
        <v>0.4</v>
      </c>
      <c r="T68" s="195">
        <v>0.4</v>
      </c>
      <c r="U68" s="195">
        <v>0.4</v>
      </c>
      <c r="V68" s="195">
        <v>0.4</v>
      </c>
      <c r="W68" s="195">
        <v>0.2</v>
      </c>
      <c r="X68" s="195">
        <v>0.1</v>
      </c>
      <c r="Y68" s="195">
        <v>0</v>
      </c>
      <c r="Z68" s="195">
        <v>0</v>
      </c>
      <c r="AA68" s="195">
        <v>0</v>
      </c>
      <c r="AB68" s="195">
        <v>0</v>
      </c>
      <c r="AC68" s="196">
        <v>0</v>
      </c>
      <c r="AD68" s="48"/>
      <c r="AE68" s="48"/>
      <c r="AF68" s="48"/>
      <c r="AG68" s="48"/>
      <c r="AH68" s="48"/>
      <c r="AI68" s="48"/>
      <c r="AJ68" s="48"/>
      <c r="AK68" s="48"/>
      <c r="AL68" s="46"/>
      <c r="AM68" s="46"/>
      <c r="AN68" s="46"/>
      <c r="AO68" s="46"/>
      <c r="AP68" s="46"/>
      <c r="AQ68" s="46"/>
      <c r="AR68" s="46"/>
      <c r="AS68" s="46"/>
      <c r="AT68" s="46"/>
      <c r="AU68" s="46"/>
      <c r="AV68" s="46"/>
      <c r="AW68" s="46"/>
      <c r="AX68" s="46"/>
      <c r="AY68" s="46"/>
      <c r="AZ68" s="46"/>
      <c r="BA68" s="46"/>
      <c r="BB68" s="46"/>
      <c r="BC68" s="46"/>
      <c r="BD68" s="46"/>
    </row>
    <row r="69" spans="1:56" ht="38.65" customHeight="1" x14ac:dyDescent="0.25">
      <c r="A69" s="548" t="str">
        <f>A$66</f>
        <v>Retail</v>
      </c>
      <c r="B69" s="551" t="str">
        <f>B66</f>
        <v>Retail</v>
      </c>
      <c r="C69" s="524" t="s">
        <v>611</v>
      </c>
      <c r="D69" s="545" t="s">
        <v>621</v>
      </c>
      <c r="E69" s="289" t="s">
        <v>608</v>
      </c>
      <c r="F69" s="290">
        <v>0.05</v>
      </c>
      <c r="G69" s="290">
        <v>0.05</v>
      </c>
      <c r="H69" s="290">
        <v>0.05</v>
      </c>
      <c r="I69" s="290">
        <v>0.05</v>
      </c>
      <c r="J69" s="290">
        <v>0.05</v>
      </c>
      <c r="K69" s="290">
        <v>0.05</v>
      </c>
      <c r="L69" s="290">
        <v>0.05</v>
      </c>
      <c r="M69" s="290">
        <v>0.2</v>
      </c>
      <c r="N69" s="290">
        <v>0.5</v>
      </c>
      <c r="O69" s="290">
        <v>0.85</v>
      </c>
      <c r="P69" s="290">
        <v>0.85</v>
      </c>
      <c r="Q69" s="290">
        <v>0.85</v>
      </c>
      <c r="R69" s="290">
        <v>0.85</v>
      </c>
      <c r="S69" s="290">
        <v>0.85</v>
      </c>
      <c r="T69" s="290">
        <v>0.85</v>
      </c>
      <c r="U69" s="290">
        <v>0.85</v>
      </c>
      <c r="V69" s="290">
        <v>0.85</v>
      </c>
      <c r="W69" s="290">
        <v>0.85</v>
      </c>
      <c r="X69" s="290">
        <v>0.55000000000000004</v>
      </c>
      <c r="Y69" s="290">
        <v>0.55000000000000004</v>
      </c>
      <c r="Z69" s="290">
        <v>0.5</v>
      </c>
      <c r="AA69" s="290">
        <v>0.2</v>
      </c>
      <c r="AB69" s="290">
        <v>0.05</v>
      </c>
      <c r="AC69" s="291">
        <v>0.05</v>
      </c>
      <c r="AD69" s="48"/>
      <c r="AE69" s="48"/>
      <c r="AF69" s="48"/>
      <c r="AG69" s="48"/>
      <c r="AH69" s="48"/>
      <c r="AI69" s="48"/>
      <c r="AJ69" s="48"/>
      <c r="AK69" s="48"/>
      <c r="AL69" s="46"/>
      <c r="AM69" s="292"/>
      <c r="AN69" s="46"/>
      <c r="AO69" s="46"/>
      <c r="AP69" s="46"/>
      <c r="AQ69" s="46"/>
      <c r="AR69" s="46"/>
      <c r="AS69" s="46"/>
      <c r="AT69" s="46"/>
      <c r="AU69" s="46"/>
      <c r="AV69" s="46"/>
      <c r="AW69" s="46"/>
      <c r="AX69" s="46"/>
      <c r="AY69" s="46"/>
      <c r="AZ69" s="46"/>
      <c r="BA69" s="46"/>
      <c r="BB69" s="46"/>
      <c r="BC69" s="46"/>
      <c r="BD69" s="46"/>
    </row>
    <row r="70" spans="1:56" ht="38.65" customHeight="1" x14ac:dyDescent="0.25">
      <c r="A70" s="549"/>
      <c r="B70" s="552"/>
      <c r="C70" s="525"/>
      <c r="D70" s="546"/>
      <c r="E70" s="293" t="s">
        <v>609</v>
      </c>
      <c r="F70" s="294">
        <v>0.05</v>
      </c>
      <c r="G70" s="294">
        <v>0.05</v>
      </c>
      <c r="H70" s="294">
        <v>0.05</v>
      </c>
      <c r="I70" s="294">
        <v>0.05</v>
      </c>
      <c r="J70" s="294">
        <v>0.05</v>
      </c>
      <c r="K70" s="294">
        <v>0.05</v>
      </c>
      <c r="L70" s="294">
        <v>0.05</v>
      </c>
      <c r="M70" s="294">
        <v>0.1</v>
      </c>
      <c r="N70" s="294">
        <v>0.3</v>
      </c>
      <c r="O70" s="294">
        <v>0.55000000000000004</v>
      </c>
      <c r="P70" s="294">
        <v>0.85</v>
      </c>
      <c r="Q70" s="294">
        <v>0.85</v>
      </c>
      <c r="R70" s="294">
        <v>0.85</v>
      </c>
      <c r="S70" s="294">
        <v>0.85</v>
      </c>
      <c r="T70" s="294">
        <v>0.85</v>
      </c>
      <c r="U70" s="294">
        <v>0.85</v>
      </c>
      <c r="V70" s="294">
        <v>0.85</v>
      </c>
      <c r="W70" s="294">
        <v>0.85</v>
      </c>
      <c r="X70" s="294">
        <v>0.5</v>
      </c>
      <c r="Y70" s="294">
        <v>0.3</v>
      </c>
      <c r="Z70" s="294">
        <v>0.3</v>
      </c>
      <c r="AA70" s="294">
        <v>0.1</v>
      </c>
      <c r="AB70" s="294">
        <v>0.05</v>
      </c>
      <c r="AC70" s="295">
        <v>0.05</v>
      </c>
      <c r="AD70" s="48"/>
      <c r="AE70" s="48"/>
      <c r="AF70" s="48"/>
      <c r="AG70" s="48"/>
      <c r="AH70" s="48"/>
      <c r="AI70" s="48"/>
      <c r="AJ70" s="48"/>
      <c r="AK70" s="48"/>
      <c r="AL70" s="46"/>
      <c r="AM70" s="292"/>
      <c r="AN70" s="46"/>
      <c r="AO70" s="46"/>
      <c r="AP70" s="46"/>
      <c r="AQ70" s="46"/>
      <c r="AR70" s="46"/>
      <c r="AS70" s="46"/>
      <c r="AT70" s="46"/>
      <c r="AU70" s="46"/>
      <c r="AV70" s="46"/>
      <c r="AW70" s="46"/>
      <c r="AX70" s="46"/>
      <c r="AY70" s="46"/>
      <c r="AZ70" s="46"/>
      <c r="BA70" s="46"/>
      <c r="BB70" s="46"/>
      <c r="BC70" s="46"/>
      <c r="BD70" s="46"/>
    </row>
    <row r="71" spans="1:56" ht="38.65" customHeight="1" thickBot="1" x14ac:dyDescent="0.3">
      <c r="A71" s="550"/>
      <c r="B71" s="555"/>
      <c r="C71" s="613"/>
      <c r="D71" s="547"/>
      <c r="E71" s="296" t="s">
        <v>610</v>
      </c>
      <c r="F71" s="297">
        <v>0.05</v>
      </c>
      <c r="G71" s="297">
        <v>0.05</v>
      </c>
      <c r="H71" s="297">
        <v>0.05</v>
      </c>
      <c r="I71" s="297">
        <v>0.05</v>
      </c>
      <c r="J71" s="297">
        <v>0.05</v>
      </c>
      <c r="K71" s="297">
        <v>0.05</v>
      </c>
      <c r="L71" s="297">
        <v>0.05</v>
      </c>
      <c r="M71" s="297">
        <v>0.05</v>
      </c>
      <c r="N71" s="297">
        <v>0.1</v>
      </c>
      <c r="O71" s="297">
        <v>0.1</v>
      </c>
      <c r="P71" s="297">
        <v>0.4</v>
      </c>
      <c r="Q71" s="297">
        <v>0.4</v>
      </c>
      <c r="R71" s="297">
        <v>0.55000000000000004</v>
      </c>
      <c r="S71" s="297">
        <v>0.55000000000000004</v>
      </c>
      <c r="T71" s="297">
        <v>0.55000000000000004</v>
      </c>
      <c r="U71" s="297">
        <v>0.55000000000000004</v>
      </c>
      <c r="V71" s="297">
        <v>0.55000000000000004</v>
      </c>
      <c r="W71" s="297">
        <v>0.4</v>
      </c>
      <c r="X71" s="297">
        <v>0.2</v>
      </c>
      <c r="Y71" s="297">
        <v>0.05</v>
      </c>
      <c r="Z71" s="297">
        <v>0.05</v>
      </c>
      <c r="AA71" s="297">
        <v>0.05</v>
      </c>
      <c r="AB71" s="297">
        <v>0.05</v>
      </c>
      <c r="AC71" s="298">
        <v>0.05</v>
      </c>
      <c r="AD71" s="48"/>
      <c r="AE71" s="48"/>
      <c r="AF71" s="48"/>
      <c r="AG71" s="48"/>
      <c r="AH71" s="48"/>
      <c r="AI71" s="48"/>
      <c r="AJ71" s="48"/>
      <c r="AK71" s="48"/>
      <c r="AL71" s="46"/>
      <c r="AM71" s="292"/>
      <c r="AN71" s="46"/>
      <c r="AO71" s="46"/>
      <c r="AP71" s="46"/>
      <c r="AQ71" s="46"/>
      <c r="AR71" s="46"/>
      <c r="AS71" s="46"/>
      <c r="AT71" s="46"/>
      <c r="AU71" s="46"/>
      <c r="AV71" s="46"/>
      <c r="AW71" s="46"/>
      <c r="AX71" s="46"/>
      <c r="AY71" s="46"/>
      <c r="AZ71" s="46"/>
      <c r="BA71" s="46"/>
      <c r="BB71" s="46"/>
      <c r="BC71" s="46"/>
      <c r="BD71" s="46"/>
    </row>
    <row r="72" spans="1:56" ht="36" customHeight="1" x14ac:dyDescent="0.25">
      <c r="A72" s="548" t="str">
        <f>A$66</f>
        <v>Retail</v>
      </c>
      <c r="B72" s="551" t="str">
        <f>B66</f>
        <v>Retail</v>
      </c>
      <c r="C72" s="542" t="s">
        <v>612</v>
      </c>
      <c r="D72" s="615" t="s">
        <v>583</v>
      </c>
      <c r="E72" s="299" t="s">
        <v>608</v>
      </c>
      <c r="F72" s="300">
        <v>0.4</v>
      </c>
      <c r="G72" s="300">
        <v>0.4</v>
      </c>
      <c r="H72" s="300">
        <v>0.4</v>
      </c>
      <c r="I72" s="300">
        <v>0.4</v>
      </c>
      <c r="J72" s="300">
        <v>0.4</v>
      </c>
      <c r="K72" s="300">
        <v>0.4</v>
      </c>
      <c r="L72" s="300">
        <v>0.6</v>
      </c>
      <c r="M72" s="300">
        <v>0.6</v>
      </c>
      <c r="N72" s="300">
        <v>0.9</v>
      </c>
      <c r="O72" s="300">
        <v>0.9</v>
      </c>
      <c r="P72" s="300">
        <v>0.9</v>
      </c>
      <c r="Q72" s="300">
        <v>0.9</v>
      </c>
      <c r="R72" s="300">
        <v>0.9</v>
      </c>
      <c r="S72" s="300">
        <v>0.9</v>
      </c>
      <c r="T72" s="300">
        <v>0.9</v>
      </c>
      <c r="U72" s="300">
        <v>0.9</v>
      </c>
      <c r="V72" s="300">
        <v>0.9</v>
      </c>
      <c r="W72" s="300">
        <v>0.9</v>
      </c>
      <c r="X72" s="300">
        <v>0.9</v>
      </c>
      <c r="Y72" s="300">
        <v>0.6</v>
      </c>
      <c r="Z72" s="300">
        <v>0.6</v>
      </c>
      <c r="AA72" s="300">
        <v>0.4</v>
      </c>
      <c r="AB72" s="300">
        <v>0.4</v>
      </c>
      <c r="AC72" s="301">
        <v>0.4</v>
      </c>
      <c r="AD72" s="49"/>
      <c r="AE72" s="48"/>
      <c r="AF72" s="48"/>
      <c r="AG72" s="48"/>
      <c r="AH72" s="48"/>
      <c r="AI72" s="48"/>
      <c r="AJ72" s="48"/>
      <c r="AK72" s="48"/>
      <c r="AL72" s="46"/>
      <c r="AM72" s="292"/>
      <c r="AN72" s="46"/>
      <c r="AO72" s="46"/>
      <c r="AP72" s="46"/>
      <c r="AQ72" s="46"/>
      <c r="AR72" s="46"/>
      <c r="AS72" s="46"/>
      <c r="AT72" s="46"/>
      <c r="AU72" s="46"/>
      <c r="AV72" s="46"/>
      <c r="AW72" s="46"/>
      <c r="AX72" s="46"/>
      <c r="AY72" s="46"/>
      <c r="AZ72" s="46"/>
      <c r="BA72" s="46"/>
      <c r="BB72" s="46"/>
      <c r="BC72" s="46"/>
      <c r="BD72" s="46"/>
    </row>
    <row r="73" spans="1:56" ht="36" customHeight="1" x14ac:dyDescent="0.25">
      <c r="A73" s="549"/>
      <c r="B73" s="552"/>
      <c r="C73" s="543"/>
      <c r="D73" s="616"/>
      <c r="E73" s="293" t="s">
        <v>609</v>
      </c>
      <c r="F73" s="192">
        <v>0.4</v>
      </c>
      <c r="G73" s="192">
        <v>0.4</v>
      </c>
      <c r="H73" s="192">
        <v>0.4</v>
      </c>
      <c r="I73" s="192">
        <v>0.4</v>
      </c>
      <c r="J73" s="192">
        <v>0.4</v>
      </c>
      <c r="K73" s="192">
        <v>0.4</v>
      </c>
      <c r="L73" s="192">
        <v>0.6</v>
      </c>
      <c r="M73" s="192">
        <v>0.6</v>
      </c>
      <c r="N73" s="192">
        <v>0.9</v>
      </c>
      <c r="O73" s="192">
        <v>0.9</v>
      </c>
      <c r="P73" s="192">
        <v>0.9</v>
      </c>
      <c r="Q73" s="192">
        <v>0.9</v>
      </c>
      <c r="R73" s="192">
        <v>0.9</v>
      </c>
      <c r="S73" s="192">
        <v>0.9</v>
      </c>
      <c r="T73" s="192">
        <v>0.9</v>
      </c>
      <c r="U73" s="192">
        <v>0.9</v>
      </c>
      <c r="V73" s="192">
        <v>0.9</v>
      </c>
      <c r="W73" s="192">
        <v>0.9</v>
      </c>
      <c r="X73" s="192">
        <v>0.9</v>
      </c>
      <c r="Y73" s="192">
        <v>0.6</v>
      </c>
      <c r="Z73" s="192">
        <v>0.6</v>
      </c>
      <c r="AA73" s="192">
        <v>0.4</v>
      </c>
      <c r="AB73" s="192">
        <v>0.4</v>
      </c>
      <c r="AC73" s="302">
        <v>0.4</v>
      </c>
      <c r="AD73" s="49"/>
      <c r="AE73" s="48"/>
      <c r="AF73" s="48"/>
      <c r="AG73" s="48"/>
      <c r="AH73" s="48"/>
      <c r="AI73" s="48"/>
      <c r="AJ73" s="48"/>
      <c r="AK73" s="48"/>
      <c r="AL73" s="46"/>
      <c r="AM73" s="292"/>
      <c r="AN73" s="46"/>
      <c r="AO73" s="46"/>
      <c r="AP73" s="46"/>
      <c r="AQ73" s="46"/>
      <c r="AR73" s="46"/>
      <c r="AS73" s="46"/>
      <c r="AT73" s="46"/>
      <c r="AU73" s="46"/>
      <c r="AV73" s="46"/>
      <c r="AW73" s="46"/>
      <c r="AX73" s="46"/>
      <c r="AY73" s="46"/>
      <c r="AZ73" s="46"/>
      <c r="BA73" s="46"/>
      <c r="BB73" s="46"/>
      <c r="BC73" s="46"/>
      <c r="BD73" s="46"/>
    </row>
    <row r="74" spans="1:56" ht="36" customHeight="1" thickBot="1" x14ac:dyDescent="0.3">
      <c r="A74" s="550"/>
      <c r="B74" s="553"/>
      <c r="C74" s="557"/>
      <c r="D74" s="617"/>
      <c r="E74" s="296" t="s">
        <v>610</v>
      </c>
      <c r="F74" s="197">
        <v>0.4</v>
      </c>
      <c r="G74" s="197">
        <v>0.4</v>
      </c>
      <c r="H74" s="197">
        <v>0.4</v>
      </c>
      <c r="I74" s="197">
        <v>0.4</v>
      </c>
      <c r="J74" s="197">
        <v>0.4</v>
      </c>
      <c r="K74" s="197">
        <v>0.4</v>
      </c>
      <c r="L74" s="197">
        <v>0.4</v>
      </c>
      <c r="M74" s="197">
        <v>0.4</v>
      </c>
      <c r="N74" s="197">
        <v>0.6</v>
      </c>
      <c r="O74" s="197">
        <v>0.6</v>
      </c>
      <c r="P74" s="197">
        <v>0.6</v>
      </c>
      <c r="Q74" s="197">
        <v>0.9</v>
      </c>
      <c r="R74" s="197">
        <v>0.9</v>
      </c>
      <c r="S74" s="197">
        <v>0.9</v>
      </c>
      <c r="T74" s="197">
        <v>0.9</v>
      </c>
      <c r="U74" s="197">
        <v>0.9</v>
      </c>
      <c r="V74" s="197">
        <v>0.9</v>
      </c>
      <c r="W74" s="197">
        <v>0.6</v>
      </c>
      <c r="X74" s="197">
        <v>0.6</v>
      </c>
      <c r="Y74" s="197">
        <v>0.4</v>
      </c>
      <c r="Z74" s="197">
        <v>0.4</v>
      </c>
      <c r="AA74" s="197">
        <v>0.4</v>
      </c>
      <c r="AB74" s="197">
        <v>0.4</v>
      </c>
      <c r="AC74" s="303">
        <v>0.4</v>
      </c>
      <c r="AD74" s="49"/>
      <c r="AE74" s="48"/>
      <c r="AF74" s="48"/>
      <c r="AG74" s="48"/>
      <c r="AH74" s="48"/>
      <c r="AI74" s="48"/>
      <c r="AJ74" s="48"/>
      <c r="AK74" s="48"/>
      <c r="AL74" s="46"/>
      <c r="AM74" s="292"/>
      <c r="AN74" s="46"/>
      <c r="AO74" s="46"/>
      <c r="AP74" s="46"/>
      <c r="AQ74" s="46"/>
      <c r="AR74" s="46"/>
      <c r="AS74" s="46"/>
      <c r="AT74" s="46"/>
      <c r="AU74" s="46"/>
      <c r="AV74" s="46"/>
      <c r="AW74" s="46"/>
      <c r="AX74" s="46"/>
      <c r="AY74" s="46"/>
      <c r="AZ74" s="46"/>
      <c r="BA74" s="46"/>
      <c r="BB74" s="46"/>
      <c r="BC74" s="46"/>
      <c r="BD74" s="46"/>
    </row>
    <row r="75" spans="1:56" ht="26.45" customHeight="1" x14ac:dyDescent="0.25">
      <c r="A75" s="548" t="str">
        <f t="shared" ref="A75" si="0">A$66</f>
        <v>Retail</v>
      </c>
      <c r="B75" s="551" t="str">
        <f t="shared" ref="B75" si="1">B69</f>
        <v>Retail</v>
      </c>
      <c r="C75" s="542" t="s">
        <v>613</v>
      </c>
      <c r="D75" s="545" t="s">
        <v>622</v>
      </c>
      <c r="E75" s="299" t="s">
        <v>608</v>
      </c>
      <c r="F75" s="304">
        <v>0</v>
      </c>
      <c r="G75" s="304">
        <v>0</v>
      </c>
      <c r="H75" s="304">
        <v>0</v>
      </c>
      <c r="I75" s="304">
        <v>0</v>
      </c>
      <c r="J75" s="304">
        <v>0</v>
      </c>
      <c r="K75" s="304">
        <v>0</v>
      </c>
      <c r="L75" s="304">
        <v>1</v>
      </c>
      <c r="M75" s="304">
        <v>1</v>
      </c>
      <c r="N75" s="304">
        <v>1</v>
      </c>
      <c r="O75" s="304">
        <v>1</v>
      </c>
      <c r="P75" s="304">
        <v>1</v>
      </c>
      <c r="Q75" s="304">
        <v>1</v>
      </c>
      <c r="R75" s="304">
        <v>1</v>
      </c>
      <c r="S75" s="304">
        <v>1</v>
      </c>
      <c r="T75" s="304">
        <v>1</v>
      </c>
      <c r="U75" s="304">
        <v>1</v>
      </c>
      <c r="V75" s="304">
        <v>1</v>
      </c>
      <c r="W75" s="304">
        <v>1</v>
      </c>
      <c r="X75" s="304">
        <v>1</v>
      </c>
      <c r="Y75" s="304">
        <v>1</v>
      </c>
      <c r="Z75" s="304">
        <v>1</v>
      </c>
      <c r="AA75" s="304">
        <v>0</v>
      </c>
      <c r="AB75" s="304">
        <v>0</v>
      </c>
      <c r="AC75" s="305">
        <v>0</v>
      </c>
      <c r="AD75" s="46"/>
      <c r="AE75" s="46"/>
      <c r="AL75" s="46"/>
      <c r="AM75" s="46"/>
      <c r="AN75" s="46"/>
      <c r="AO75" s="46"/>
      <c r="AP75" s="46"/>
      <c r="AQ75" s="46"/>
      <c r="AR75" s="46"/>
      <c r="AS75" s="46"/>
      <c r="AT75" s="46"/>
      <c r="AU75" s="46"/>
      <c r="AV75" s="46"/>
      <c r="AW75" s="46"/>
      <c r="AX75" s="46"/>
      <c r="AY75" s="46"/>
      <c r="AZ75" s="46"/>
      <c r="BA75" s="46"/>
      <c r="BB75" s="46"/>
      <c r="BC75" s="46"/>
      <c r="BD75" s="46"/>
    </row>
    <row r="76" spans="1:56" ht="26.45" customHeight="1" x14ac:dyDescent="0.25">
      <c r="A76" s="549"/>
      <c r="B76" s="552"/>
      <c r="C76" s="543"/>
      <c r="D76" s="546"/>
      <c r="E76" s="293" t="s">
        <v>609</v>
      </c>
      <c r="F76" s="306">
        <v>0</v>
      </c>
      <c r="G76" s="306">
        <v>0</v>
      </c>
      <c r="H76" s="306">
        <v>0</v>
      </c>
      <c r="I76" s="306">
        <v>0</v>
      </c>
      <c r="J76" s="306">
        <v>0</v>
      </c>
      <c r="K76" s="306">
        <v>0</v>
      </c>
      <c r="L76" s="306">
        <v>1</v>
      </c>
      <c r="M76" s="306">
        <v>1</v>
      </c>
      <c r="N76" s="306">
        <v>1</v>
      </c>
      <c r="O76" s="306">
        <v>1</v>
      </c>
      <c r="P76" s="306">
        <v>1</v>
      </c>
      <c r="Q76" s="306">
        <v>1</v>
      </c>
      <c r="R76" s="306">
        <v>1</v>
      </c>
      <c r="S76" s="306">
        <v>1</v>
      </c>
      <c r="T76" s="306">
        <v>1</v>
      </c>
      <c r="U76" s="306">
        <v>1</v>
      </c>
      <c r="V76" s="306">
        <v>1</v>
      </c>
      <c r="W76" s="306">
        <v>1</v>
      </c>
      <c r="X76" s="306">
        <v>1</v>
      </c>
      <c r="Y76" s="306">
        <v>1</v>
      </c>
      <c r="Z76" s="306">
        <v>1</v>
      </c>
      <c r="AA76" s="306">
        <v>1</v>
      </c>
      <c r="AB76" s="306">
        <v>0</v>
      </c>
      <c r="AC76" s="307">
        <v>0</v>
      </c>
      <c r="AD76" s="46"/>
      <c r="AE76" s="46"/>
      <c r="AL76" s="46"/>
      <c r="AM76" s="46"/>
      <c r="AN76" s="46"/>
      <c r="AO76" s="46"/>
      <c r="AP76" s="46"/>
      <c r="AQ76" s="46"/>
      <c r="AR76" s="46"/>
      <c r="AS76" s="46"/>
      <c r="AT76" s="46"/>
      <c r="AU76" s="46"/>
      <c r="AV76" s="46"/>
      <c r="AW76" s="46"/>
      <c r="AX76" s="46"/>
      <c r="AY76" s="46"/>
      <c r="AZ76" s="46"/>
      <c r="BA76" s="46"/>
      <c r="BB76" s="46"/>
      <c r="BC76" s="46"/>
      <c r="BD76" s="46"/>
    </row>
    <row r="77" spans="1:56" ht="26.45" customHeight="1" thickBot="1" x14ac:dyDescent="0.3">
      <c r="A77" s="550"/>
      <c r="B77" s="553"/>
      <c r="C77" s="544"/>
      <c r="D77" s="547"/>
      <c r="E77" s="351" t="s">
        <v>610</v>
      </c>
      <c r="F77" s="308">
        <v>0</v>
      </c>
      <c r="G77" s="308">
        <v>0</v>
      </c>
      <c r="H77" s="308">
        <v>0</v>
      </c>
      <c r="I77" s="308">
        <v>0</v>
      </c>
      <c r="J77" s="308">
        <v>0</v>
      </c>
      <c r="K77" s="308">
        <v>0</v>
      </c>
      <c r="L77" s="308">
        <v>0</v>
      </c>
      <c r="M77" s="308">
        <v>0</v>
      </c>
      <c r="N77" s="308">
        <v>1</v>
      </c>
      <c r="O77" s="308">
        <v>1</v>
      </c>
      <c r="P77" s="308">
        <v>1</v>
      </c>
      <c r="Q77" s="308">
        <v>1</v>
      </c>
      <c r="R77" s="308">
        <v>1</v>
      </c>
      <c r="S77" s="308">
        <v>1</v>
      </c>
      <c r="T77" s="308">
        <v>1</v>
      </c>
      <c r="U77" s="308">
        <v>1</v>
      </c>
      <c r="V77" s="308">
        <v>1</v>
      </c>
      <c r="W77" s="308">
        <v>1</v>
      </c>
      <c r="X77" s="308">
        <v>1</v>
      </c>
      <c r="Y77" s="308">
        <v>0</v>
      </c>
      <c r="Z77" s="308">
        <v>0</v>
      </c>
      <c r="AA77" s="308">
        <v>0</v>
      </c>
      <c r="AB77" s="308">
        <v>0</v>
      </c>
      <c r="AC77" s="309">
        <v>0</v>
      </c>
      <c r="AD77" s="46"/>
      <c r="AE77" s="46"/>
      <c r="AL77" s="46"/>
      <c r="AM77" s="46"/>
      <c r="AN77" s="46"/>
      <c r="AO77" s="46"/>
      <c r="AP77" s="46"/>
      <c r="AQ77" s="46"/>
      <c r="AR77" s="46"/>
      <c r="AS77" s="46"/>
      <c r="AT77" s="46"/>
      <c r="AU77" s="46"/>
      <c r="AV77" s="46"/>
      <c r="AW77" s="46"/>
      <c r="AX77" s="46"/>
      <c r="AY77" s="46"/>
      <c r="AZ77" s="46"/>
      <c r="BA77" s="46"/>
      <c r="BB77" s="46"/>
      <c r="BC77" s="46"/>
      <c r="BD77" s="46"/>
    </row>
    <row r="78" spans="1:56" ht="26.45" customHeight="1" x14ac:dyDescent="0.25">
      <c r="A78" s="548" t="str">
        <f t="shared" ref="A78" si="2">A$66</f>
        <v>Retail</v>
      </c>
      <c r="B78" s="551" t="str">
        <f t="shared" ref="B78" si="3">B72</f>
        <v>Retail</v>
      </c>
      <c r="C78" s="554" t="s">
        <v>620</v>
      </c>
      <c r="D78" s="545" t="s">
        <v>622</v>
      </c>
      <c r="E78" s="299" t="s">
        <v>608</v>
      </c>
      <c r="F78" s="304">
        <v>0.04</v>
      </c>
      <c r="G78" s="304">
        <v>0.05</v>
      </c>
      <c r="H78" s="304">
        <v>0.05</v>
      </c>
      <c r="I78" s="304">
        <v>0.04</v>
      </c>
      <c r="J78" s="304">
        <v>0.04</v>
      </c>
      <c r="K78" s="304">
        <v>0.04</v>
      </c>
      <c r="L78" s="304">
        <v>0.04</v>
      </c>
      <c r="M78" s="304">
        <v>0.15</v>
      </c>
      <c r="N78" s="304">
        <v>0.23</v>
      </c>
      <c r="O78" s="304">
        <v>0.32</v>
      </c>
      <c r="P78" s="304">
        <v>0.41</v>
      </c>
      <c r="Q78" s="304">
        <v>0.56999999999999995</v>
      </c>
      <c r="R78" s="304">
        <v>0.62</v>
      </c>
      <c r="S78" s="304">
        <v>0.61</v>
      </c>
      <c r="T78" s="304">
        <v>0.5</v>
      </c>
      <c r="U78" s="304">
        <v>0.45</v>
      </c>
      <c r="V78" s="304">
        <v>0.46</v>
      </c>
      <c r="W78" s="304">
        <v>0.47</v>
      </c>
      <c r="X78" s="304">
        <v>0.42</v>
      </c>
      <c r="Y78" s="304">
        <v>0.34</v>
      </c>
      <c r="Z78" s="304">
        <v>0.33</v>
      </c>
      <c r="AA78" s="304">
        <v>0.23</v>
      </c>
      <c r="AB78" s="304">
        <v>0.13</v>
      </c>
      <c r="AC78" s="305">
        <v>0.08</v>
      </c>
      <c r="AD78" s="46"/>
      <c r="AE78" s="46"/>
      <c r="AL78" s="46"/>
      <c r="AM78" s="46"/>
      <c r="AN78" s="46"/>
      <c r="AO78" s="46"/>
      <c r="AP78" s="46"/>
      <c r="AQ78" s="46"/>
      <c r="AR78" s="46"/>
      <c r="AS78" s="46"/>
      <c r="AT78" s="46"/>
      <c r="AU78" s="46"/>
      <c r="AV78" s="46"/>
      <c r="AW78" s="46"/>
      <c r="AX78" s="46"/>
      <c r="AY78" s="46"/>
      <c r="AZ78" s="46"/>
      <c r="BA78" s="46"/>
      <c r="BB78" s="46"/>
      <c r="BC78" s="46"/>
      <c r="BD78" s="46"/>
    </row>
    <row r="79" spans="1:56" ht="26.45" customHeight="1" x14ac:dyDescent="0.25">
      <c r="A79" s="549"/>
      <c r="B79" s="552"/>
      <c r="C79" s="554"/>
      <c r="D79" s="546"/>
      <c r="E79" s="293" t="s">
        <v>609</v>
      </c>
      <c r="F79" s="306">
        <v>0.11</v>
      </c>
      <c r="G79" s="306">
        <v>0.1</v>
      </c>
      <c r="H79" s="306">
        <v>0.08</v>
      </c>
      <c r="I79" s="306">
        <v>0.06</v>
      </c>
      <c r="J79" s="306">
        <v>0.06</v>
      </c>
      <c r="K79" s="306">
        <v>0.06</v>
      </c>
      <c r="L79" s="306">
        <v>7.0000000000000007E-2</v>
      </c>
      <c r="M79" s="306">
        <v>0.2</v>
      </c>
      <c r="N79" s="306">
        <v>0.24</v>
      </c>
      <c r="O79" s="306">
        <v>0.27</v>
      </c>
      <c r="P79" s="306">
        <v>0.42</v>
      </c>
      <c r="Q79" s="306">
        <v>0.54</v>
      </c>
      <c r="R79" s="306">
        <v>0.59</v>
      </c>
      <c r="S79" s="306">
        <v>0.6</v>
      </c>
      <c r="T79" s="306">
        <v>0.49</v>
      </c>
      <c r="U79" s="306">
        <v>0.48</v>
      </c>
      <c r="V79" s="306">
        <v>0.47</v>
      </c>
      <c r="W79" s="306">
        <v>0.46</v>
      </c>
      <c r="X79" s="306">
        <v>0.44</v>
      </c>
      <c r="Y79" s="306">
        <v>0.36</v>
      </c>
      <c r="Z79" s="306">
        <v>0.28999999999999998</v>
      </c>
      <c r="AA79" s="306">
        <v>0.22</v>
      </c>
      <c r="AB79" s="306">
        <v>0.16</v>
      </c>
      <c r="AC79" s="307">
        <v>0.13</v>
      </c>
      <c r="AD79" s="46"/>
      <c r="AE79" s="46"/>
      <c r="AL79" s="46"/>
      <c r="AM79" s="46"/>
      <c r="AN79" s="46"/>
      <c r="AO79" s="46"/>
      <c r="AP79" s="46"/>
      <c r="AQ79" s="46"/>
      <c r="AR79" s="46"/>
      <c r="AS79" s="46"/>
      <c r="AT79" s="46"/>
      <c r="AU79" s="46"/>
      <c r="AV79" s="46"/>
      <c r="AW79" s="46"/>
      <c r="AX79" s="46"/>
      <c r="AY79" s="46"/>
      <c r="AZ79" s="46"/>
      <c r="BA79" s="46"/>
      <c r="BB79" s="46"/>
      <c r="BC79" s="46"/>
      <c r="BD79" s="46"/>
    </row>
    <row r="80" spans="1:56" ht="26.45" customHeight="1" thickBot="1" x14ac:dyDescent="0.3">
      <c r="A80" s="550"/>
      <c r="B80" s="553"/>
      <c r="C80" s="554"/>
      <c r="D80" s="547"/>
      <c r="E80" s="351" t="s">
        <v>610</v>
      </c>
      <c r="F80" s="308">
        <v>7.0000000000000007E-2</v>
      </c>
      <c r="G80" s="308">
        <v>7.0000000000000007E-2</v>
      </c>
      <c r="H80" s="308">
        <v>7.0000000000000007E-2</v>
      </c>
      <c r="I80" s="308">
        <v>0.06</v>
      </c>
      <c r="J80" s="308">
        <v>0.06</v>
      </c>
      <c r="K80" s="308">
        <v>0.06</v>
      </c>
      <c r="L80" s="308">
        <v>7.0000000000000007E-2</v>
      </c>
      <c r="M80" s="308">
        <v>0.1</v>
      </c>
      <c r="N80" s="308">
        <v>0.12</v>
      </c>
      <c r="O80" s="308">
        <v>0.14000000000000001</v>
      </c>
      <c r="P80" s="308">
        <v>0.28999999999999998</v>
      </c>
      <c r="Q80" s="308">
        <v>0.31</v>
      </c>
      <c r="R80" s="308">
        <v>0.36</v>
      </c>
      <c r="S80" s="308">
        <v>0.36</v>
      </c>
      <c r="T80" s="308">
        <v>0.34</v>
      </c>
      <c r="U80" s="308">
        <v>0.35</v>
      </c>
      <c r="V80" s="308">
        <v>0.37</v>
      </c>
      <c r="W80" s="308">
        <v>0.34</v>
      </c>
      <c r="X80" s="308">
        <v>0.25</v>
      </c>
      <c r="Y80" s="308">
        <v>0.27</v>
      </c>
      <c r="Z80" s="308">
        <v>0.21</v>
      </c>
      <c r="AA80" s="308">
        <v>0.16</v>
      </c>
      <c r="AB80" s="308">
        <v>0.1</v>
      </c>
      <c r="AC80" s="309">
        <v>0.06</v>
      </c>
      <c r="AD80" s="46"/>
      <c r="AE80" s="46"/>
      <c r="AL80" s="46"/>
      <c r="AM80" s="46"/>
      <c r="AN80" s="46"/>
      <c r="AO80" s="46"/>
      <c r="AP80" s="46"/>
      <c r="AQ80" s="46"/>
      <c r="AR80" s="46"/>
      <c r="AS80" s="46"/>
      <c r="AT80" s="46"/>
      <c r="AU80" s="46"/>
      <c r="AV80" s="46"/>
      <c r="AW80" s="46"/>
      <c r="AX80" s="46"/>
      <c r="AY80" s="46"/>
      <c r="AZ80" s="46"/>
      <c r="BA80" s="46"/>
      <c r="BB80" s="46"/>
      <c r="BC80" s="46"/>
      <c r="BD80" s="46"/>
    </row>
    <row r="81" spans="1:56" ht="26.45" customHeight="1" x14ac:dyDescent="0.25">
      <c r="A81" s="548" t="str">
        <f t="shared" ref="A81" si="4">A$66</f>
        <v>Retail</v>
      </c>
      <c r="B81" s="551" t="str">
        <f t="shared" ref="B81" si="5">B75</f>
        <v>Retail</v>
      </c>
      <c r="C81" s="607" t="s">
        <v>379</v>
      </c>
      <c r="D81" s="545" t="s">
        <v>622</v>
      </c>
      <c r="E81" s="299" t="s">
        <v>608</v>
      </c>
      <c r="F81" s="304">
        <v>1</v>
      </c>
      <c r="G81" s="304">
        <v>1</v>
      </c>
      <c r="H81" s="304">
        <v>1</v>
      </c>
      <c r="I81" s="304">
        <v>1</v>
      </c>
      <c r="J81" s="304">
        <v>1</v>
      </c>
      <c r="K81" s="304">
        <v>1</v>
      </c>
      <c r="L81" s="304">
        <v>0.25</v>
      </c>
      <c r="M81" s="304">
        <v>0.25</v>
      </c>
      <c r="N81" s="304">
        <v>0.25</v>
      </c>
      <c r="O81" s="304">
        <v>0.25</v>
      </c>
      <c r="P81" s="304">
        <v>0.25</v>
      </c>
      <c r="Q81" s="304">
        <v>0.25</v>
      </c>
      <c r="R81" s="304">
        <v>0.25</v>
      </c>
      <c r="S81" s="304">
        <v>0.25</v>
      </c>
      <c r="T81" s="304">
        <v>0.25</v>
      </c>
      <c r="U81" s="304">
        <v>0.25</v>
      </c>
      <c r="V81" s="304">
        <v>0.25</v>
      </c>
      <c r="W81" s="304">
        <v>0.25</v>
      </c>
      <c r="X81" s="304">
        <v>0.25</v>
      </c>
      <c r="Y81" s="304">
        <v>0.25</v>
      </c>
      <c r="Z81" s="304">
        <v>0.25</v>
      </c>
      <c r="AA81" s="304">
        <v>1</v>
      </c>
      <c r="AB81" s="304">
        <v>1</v>
      </c>
      <c r="AC81" s="305">
        <v>1</v>
      </c>
      <c r="AD81" s="46"/>
      <c r="AE81" s="46"/>
      <c r="AL81" s="46"/>
      <c r="AM81" s="46"/>
      <c r="AN81" s="46"/>
      <c r="AO81" s="46"/>
      <c r="AP81" s="46"/>
      <c r="AQ81" s="46"/>
      <c r="AR81" s="46"/>
      <c r="AS81" s="46"/>
      <c r="AT81" s="46"/>
      <c r="AU81" s="46"/>
      <c r="AV81" s="46"/>
      <c r="AW81" s="46"/>
      <c r="AX81" s="46"/>
      <c r="AY81" s="46"/>
      <c r="AZ81" s="46"/>
      <c r="BA81" s="46"/>
      <c r="BB81" s="46"/>
      <c r="BC81" s="46"/>
      <c r="BD81" s="46"/>
    </row>
    <row r="82" spans="1:56" ht="26.45" customHeight="1" x14ac:dyDescent="0.25">
      <c r="A82" s="549"/>
      <c r="B82" s="552"/>
      <c r="C82" s="554"/>
      <c r="D82" s="546"/>
      <c r="E82" s="293" t="s">
        <v>609</v>
      </c>
      <c r="F82" s="306">
        <v>1</v>
      </c>
      <c r="G82" s="306">
        <v>1</v>
      </c>
      <c r="H82" s="306">
        <v>1</v>
      </c>
      <c r="I82" s="306">
        <v>1</v>
      </c>
      <c r="J82" s="306">
        <v>1</v>
      </c>
      <c r="K82" s="306">
        <v>1</v>
      </c>
      <c r="L82" s="306">
        <v>0.25</v>
      </c>
      <c r="M82" s="306">
        <v>0.25</v>
      </c>
      <c r="N82" s="306">
        <v>0.25</v>
      </c>
      <c r="O82" s="306">
        <v>0.25</v>
      </c>
      <c r="P82" s="306">
        <v>0.25</v>
      </c>
      <c r="Q82" s="306">
        <v>0.25</v>
      </c>
      <c r="R82" s="306">
        <v>0.25</v>
      </c>
      <c r="S82" s="306">
        <v>0.25</v>
      </c>
      <c r="T82" s="306">
        <v>0.25</v>
      </c>
      <c r="U82" s="306">
        <v>0.25</v>
      </c>
      <c r="V82" s="306">
        <v>0.25</v>
      </c>
      <c r="W82" s="306">
        <v>0.25</v>
      </c>
      <c r="X82" s="306">
        <v>0.25</v>
      </c>
      <c r="Y82" s="306">
        <v>0.25</v>
      </c>
      <c r="Z82" s="306">
        <v>0.25</v>
      </c>
      <c r="AA82" s="306">
        <v>0.25</v>
      </c>
      <c r="AB82" s="306">
        <v>1</v>
      </c>
      <c r="AC82" s="307">
        <v>1</v>
      </c>
      <c r="AD82" s="46"/>
      <c r="AE82" s="46"/>
      <c r="AL82" s="46"/>
      <c r="AM82" s="46"/>
      <c r="AN82" s="46"/>
      <c r="AO82" s="46"/>
      <c r="AP82" s="46"/>
      <c r="AQ82" s="46"/>
      <c r="AR82" s="46"/>
      <c r="AS82" s="46"/>
      <c r="AT82" s="46"/>
      <c r="AU82" s="46"/>
      <c r="AV82" s="46"/>
      <c r="AW82" s="46"/>
      <c r="AX82" s="46"/>
      <c r="AY82" s="46"/>
      <c r="AZ82" s="46"/>
      <c r="BA82" s="46"/>
      <c r="BB82" s="46"/>
      <c r="BC82" s="46"/>
      <c r="BD82" s="46"/>
    </row>
    <row r="83" spans="1:56" ht="26.45" customHeight="1" thickBot="1" x14ac:dyDescent="0.3">
      <c r="A83" s="550"/>
      <c r="B83" s="553"/>
      <c r="C83" s="608"/>
      <c r="D83" s="547"/>
      <c r="E83" s="351" t="s">
        <v>610</v>
      </c>
      <c r="F83" s="308">
        <v>1</v>
      </c>
      <c r="G83" s="308">
        <v>1</v>
      </c>
      <c r="H83" s="308">
        <v>1</v>
      </c>
      <c r="I83" s="308">
        <v>1</v>
      </c>
      <c r="J83" s="308">
        <v>1</v>
      </c>
      <c r="K83" s="308">
        <v>1</v>
      </c>
      <c r="L83" s="308">
        <v>1</v>
      </c>
      <c r="M83" s="308">
        <v>1</v>
      </c>
      <c r="N83" s="308">
        <v>0.25</v>
      </c>
      <c r="O83" s="308">
        <v>0.25</v>
      </c>
      <c r="P83" s="308">
        <v>0.25</v>
      </c>
      <c r="Q83" s="308">
        <v>0.25</v>
      </c>
      <c r="R83" s="308">
        <v>0.25</v>
      </c>
      <c r="S83" s="308">
        <v>0.25</v>
      </c>
      <c r="T83" s="308">
        <v>0.25</v>
      </c>
      <c r="U83" s="308">
        <v>0.25</v>
      </c>
      <c r="V83" s="308">
        <v>0.25</v>
      </c>
      <c r="W83" s="308">
        <v>0.25</v>
      </c>
      <c r="X83" s="308">
        <v>0.25</v>
      </c>
      <c r="Y83" s="308">
        <v>1</v>
      </c>
      <c r="Z83" s="308">
        <v>1</v>
      </c>
      <c r="AA83" s="308">
        <v>1</v>
      </c>
      <c r="AB83" s="308">
        <v>1</v>
      </c>
      <c r="AC83" s="309">
        <v>1</v>
      </c>
      <c r="AD83" s="46"/>
      <c r="AE83" s="46"/>
      <c r="AL83" s="46"/>
      <c r="AM83" s="46"/>
      <c r="AN83" s="46"/>
      <c r="AO83" s="46"/>
      <c r="AP83" s="46"/>
      <c r="AQ83" s="46"/>
      <c r="AR83" s="46"/>
      <c r="AS83" s="46"/>
      <c r="AT83" s="46"/>
      <c r="AU83" s="46"/>
      <c r="AV83" s="46"/>
      <c r="AW83" s="46"/>
      <c r="AX83" s="46"/>
      <c r="AY83" s="46"/>
      <c r="AZ83" s="46"/>
      <c r="BA83" s="46"/>
      <c r="BB83" s="46"/>
      <c r="BC83" s="46"/>
      <c r="BD83" s="46"/>
    </row>
    <row r="84" spans="1:56" ht="26.45" customHeight="1" x14ac:dyDescent="0.25">
      <c r="A84" s="548" t="str">
        <f t="shared" ref="A84" si="6">A$66</f>
        <v>Retail</v>
      </c>
      <c r="B84" s="551" t="str">
        <f t="shared" ref="B84" si="7">B78</f>
        <v>Retail</v>
      </c>
      <c r="C84" s="556" t="s">
        <v>615</v>
      </c>
      <c r="D84" s="545" t="s">
        <v>622</v>
      </c>
      <c r="E84" s="299" t="s">
        <v>608</v>
      </c>
      <c r="F84" s="352">
        <f>IF(F75=0,Thermostat!$B$11,Thermostat!$B$10)</f>
        <v>60</v>
      </c>
      <c r="G84" s="352">
        <f>IF(G75=0,Thermostat!$B$11,Thermostat!$B$10)</f>
        <v>60</v>
      </c>
      <c r="H84" s="352">
        <f>IF(H75=0,Thermostat!$B$11,Thermostat!$B$10)</f>
        <v>60</v>
      </c>
      <c r="I84" s="352">
        <f>IF(I75=0,Thermostat!$B$11,Thermostat!$B$10)</f>
        <v>60</v>
      </c>
      <c r="J84" s="352">
        <f>IF(J75=0,Thermostat!$B$11,Thermostat!$B$10)</f>
        <v>60</v>
      </c>
      <c r="K84" s="352">
        <f>IF(K75=0,Thermostat!$B$11,Thermostat!$B$10)</f>
        <v>60</v>
      </c>
      <c r="L84" s="352">
        <f>IF(L75=0,Thermostat!$B$11,Thermostat!$B$10)</f>
        <v>70</v>
      </c>
      <c r="M84" s="352">
        <f>IF(M75=0,Thermostat!$B$11,Thermostat!$B$10)</f>
        <v>70</v>
      </c>
      <c r="N84" s="352">
        <f>IF(N75=0,Thermostat!$B$11,Thermostat!$B$10)</f>
        <v>70</v>
      </c>
      <c r="O84" s="352">
        <f>IF(O75=0,Thermostat!$B$11,Thermostat!$B$10)</f>
        <v>70</v>
      </c>
      <c r="P84" s="352">
        <f>IF(P75=0,Thermostat!$B$11,Thermostat!$B$10)</f>
        <v>70</v>
      </c>
      <c r="Q84" s="352">
        <f>IF(Q75=0,Thermostat!$B$11,Thermostat!$B$10)</f>
        <v>70</v>
      </c>
      <c r="R84" s="352">
        <f>IF(R75=0,Thermostat!$B$11,Thermostat!$B$10)</f>
        <v>70</v>
      </c>
      <c r="S84" s="352">
        <f>IF(S75=0,Thermostat!$B$11,Thermostat!$B$10)</f>
        <v>70</v>
      </c>
      <c r="T84" s="352">
        <f>IF(T75=0,Thermostat!$B$11,Thermostat!$B$10)</f>
        <v>70</v>
      </c>
      <c r="U84" s="352">
        <f>IF(U75=0,Thermostat!$B$11,Thermostat!$B$10)</f>
        <v>70</v>
      </c>
      <c r="V84" s="352">
        <f>IF(V75=0,Thermostat!$B$11,Thermostat!$B$10)</f>
        <v>70</v>
      </c>
      <c r="W84" s="352">
        <f>IF(W75=0,Thermostat!$B$11,Thermostat!$B$10)</f>
        <v>70</v>
      </c>
      <c r="X84" s="352">
        <f>IF(X75=0,Thermostat!$B$11,Thermostat!$B$10)</f>
        <v>70</v>
      </c>
      <c r="Y84" s="352">
        <f>IF(Y75=0,Thermostat!$B$11,Thermostat!$B$10)</f>
        <v>70</v>
      </c>
      <c r="Z84" s="352">
        <f>IF(Z75=0,Thermostat!$B$11,Thermostat!$B$10)</f>
        <v>70</v>
      </c>
      <c r="AA84" s="352">
        <f>IF(AA75=0,Thermostat!$B$11,Thermostat!$B$10)</f>
        <v>60</v>
      </c>
      <c r="AB84" s="352">
        <f>IF(AB75=0,Thermostat!$B$11,Thermostat!$B$10)</f>
        <v>60</v>
      </c>
      <c r="AC84" s="353">
        <f>IF(AC75=0,Thermostat!$B$11,Thermostat!$B$10)</f>
        <v>60</v>
      </c>
      <c r="AD84" s="46"/>
      <c r="AE84" s="46"/>
      <c r="AL84" s="46"/>
      <c r="AM84" s="46"/>
      <c r="AN84" s="46"/>
      <c r="AO84" s="46"/>
      <c r="AP84" s="46"/>
      <c r="AQ84" s="46"/>
      <c r="AR84" s="46"/>
      <c r="AS84" s="46"/>
      <c r="AT84" s="46"/>
      <c r="AU84" s="46"/>
      <c r="AV84" s="46"/>
      <c r="AW84" s="46"/>
      <c r="AX84" s="46"/>
      <c r="AY84" s="46"/>
      <c r="AZ84" s="46"/>
      <c r="BA84" s="46"/>
      <c r="BB84" s="46"/>
      <c r="BC84" s="46"/>
      <c r="BD84" s="46"/>
    </row>
    <row r="85" spans="1:56" ht="26.45" customHeight="1" x14ac:dyDescent="0.25">
      <c r="A85" s="549"/>
      <c r="B85" s="552"/>
      <c r="C85" s="543"/>
      <c r="D85" s="546"/>
      <c r="E85" s="293" t="s">
        <v>609</v>
      </c>
      <c r="F85" s="354">
        <f>IF(F76=0,Thermostat!$B$11,Thermostat!$B$10)</f>
        <v>60</v>
      </c>
      <c r="G85" s="354">
        <f>IF(G76=0,Thermostat!$B$11,Thermostat!$B$10)</f>
        <v>60</v>
      </c>
      <c r="H85" s="354">
        <f>IF(H76=0,Thermostat!$B$11,Thermostat!$B$10)</f>
        <v>60</v>
      </c>
      <c r="I85" s="354">
        <f>IF(I76=0,Thermostat!$B$11,Thermostat!$B$10)</f>
        <v>60</v>
      </c>
      <c r="J85" s="354">
        <f>IF(J76=0,Thermostat!$B$11,Thermostat!$B$10)</f>
        <v>60</v>
      </c>
      <c r="K85" s="354">
        <f>IF(K76=0,Thermostat!$B$11,Thermostat!$B$10)</f>
        <v>60</v>
      </c>
      <c r="L85" s="354">
        <f>IF(L76=0,Thermostat!$B$11,Thermostat!$B$10)</f>
        <v>70</v>
      </c>
      <c r="M85" s="354">
        <f>IF(M76=0,Thermostat!$B$11,Thermostat!$B$10)</f>
        <v>70</v>
      </c>
      <c r="N85" s="354">
        <f>IF(N76=0,Thermostat!$B$11,Thermostat!$B$10)</f>
        <v>70</v>
      </c>
      <c r="O85" s="354">
        <f>IF(O76=0,Thermostat!$B$11,Thermostat!$B$10)</f>
        <v>70</v>
      </c>
      <c r="P85" s="354">
        <f>IF(P76=0,Thermostat!$B$11,Thermostat!$B$10)</f>
        <v>70</v>
      </c>
      <c r="Q85" s="354">
        <f>IF(Q76=0,Thermostat!$B$11,Thermostat!$B$10)</f>
        <v>70</v>
      </c>
      <c r="R85" s="354">
        <f>IF(R76=0,Thermostat!$B$11,Thermostat!$B$10)</f>
        <v>70</v>
      </c>
      <c r="S85" s="354">
        <f>IF(S76=0,Thermostat!$B$11,Thermostat!$B$10)</f>
        <v>70</v>
      </c>
      <c r="T85" s="354">
        <f>IF(T76=0,Thermostat!$B$11,Thermostat!$B$10)</f>
        <v>70</v>
      </c>
      <c r="U85" s="354">
        <f>IF(U76=0,Thermostat!$B$11,Thermostat!$B$10)</f>
        <v>70</v>
      </c>
      <c r="V85" s="354">
        <f>IF(V76=0,Thermostat!$B$11,Thermostat!$B$10)</f>
        <v>70</v>
      </c>
      <c r="W85" s="354">
        <f>IF(W76=0,Thermostat!$B$11,Thermostat!$B$10)</f>
        <v>70</v>
      </c>
      <c r="X85" s="354">
        <f>IF(X76=0,Thermostat!$B$11,Thermostat!$B$10)</f>
        <v>70</v>
      </c>
      <c r="Y85" s="354">
        <f>IF(Y76=0,Thermostat!$B$11,Thermostat!$B$10)</f>
        <v>70</v>
      </c>
      <c r="Z85" s="354">
        <f>IF(Z76=0,Thermostat!$B$11,Thermostat!$B$10)</f>
        <v>70</v>
      </c>
      <c r="AA85" s="354">
        <f>IF(AA76=0,Thermostat!$B$11,Thermostat!$B$10)</f>
        <v>70</v>
      </c>
      <c r="AB85" s="354">
        <f>IF(AB76=0,Thermostat!$B$11,Thermostat!$B$10)</f>
        <v>60</v>
      </c>
      <c r="AC85" s="355">
        <f>IF(AC76=0,Thermostat!$B$11,Thermostat!$B$10)</f>
        <v>60</v>
      </c>
      <c r="AD85" s="46"/>
      <c r="AE85" s="46"/>
      <c r="AL85" s="46"/>
      <c r="AM85" s="46"/>
      <c r="AN85" s="46"/>
      <c r="AO85" s="46"/>
      <c r="AP85" s="46"/>
      <c r="AQ85" s="46"/>
      <c r="AR85" s="46"/>
      <c r="AS85" s="46"/>
      <c r="AT85" s="46"/>
      <c r="AU85" s="46"/>
      <c r="AV85" s="46"/>
      <c r="AW85" s="46"/>
      <c r="AX85" s="46"/>
      <c r="AY85" s="46"/>
      <c r="AZ85" s="46"/>
      <c r="BA85" s="46"/>
      <c r="BB85" s="46"/>
      <c r="BC85" s="46"/>
      <c r="BD85" s="46"/>
    </row>
    <row r="86" spans="1:56" ht="26.45" customHeight="1" thickBot="1" x14ac:dyDescent="0.3">
      <c r="A86" s="549"/>
      <c r="B86" s="555"/>
      <c r="C86" s="557"/>
      <c r="D86" s="547"/>
      <c r="E86" s="296" t="s">
        <v>610</v>
      </c>
      <c r="F86" s="356">
        <f>IF(F77=0,Thermostat!$B$11,Thermostat!$B$10)</f>
        <v>60</v>
      </c>
      <c r="G86" s="356">
        <f>IF(G77=0,Thermostat!$B$11,Thermostat!$B$10)</f>
        <v>60</v>
      </c>
      <c r="H86" s="356">
        <f>IF(H77=0,Thermostat!$B$11,Thermostat!$B$10)</f>
        <v>60</v>
      </c>
      <c r="I86" s="356">
        <f>IF(I77=0,Thermostat!$B$11,Thermostat!$B$10)</f>
        <v>60</v>
      </c>
      <c r="J86" s="356">
        <f>IF(J77=0,Thermostat!$B$11,Thermostat!$B$10)</f>
        <v>60</v>
      </c>
      <c r="K86" s="356">
        <f>IF(K77=0,Thermostat!$B$11,Thermostat!$B$10)</f>
        <v>60</v>
      </c>
      <c r="L86" s="356">
        <f>IF(L77=0,Thermostat!$B$11,Thermostat!$B$10)</f>
        <v>60</v>
      </c>
      <c r="M86" s="356">
        <f>IF(M77=0,Thermostat!$B$11,Thermostat!$B$10)</f>
        <v>60</v>
      </c>
      <c r="N86" s="356">
        <f>IF(N77=0,Thermostat!$B$11,Thermostat!$B$10)</f>
        <v>70</v>
      </c>
      <c r="O86" s="356">
        <f>IF(O77=0,Thermostat!$B$11,Thermostat!$B$10)</f>
        <v>70</v>
      </c>
      <c r="P86" s="356">
        <f>IF(P77=0,Thermostat!$B$11,Thermostat!$B$10)</f>
        <v>70</v>
      </c>
      <c r="Q86" s="356">
        <f>IF(Q77=0,Thermostat!$B$11,Thermostat!$B$10)</f>
        <v>70</v>
      </c>
      <c r="R86" s="356">
        <f>IF(R77=0,Thermostat!$B$11,Thermostat!$B$10)</f>
        <v>70</v>
      </c>
      <c r="S86" s="356">
        <f>IF(S77=0,Thermostat!$B$11,Thermostat!$B$10)</f>
        <v>70</v>
      </c>
      <c r="T86" s="356">
        <f>IF(T77=0,Thermostat!$B$11,Thermostat!$B$10)</f>
        <v>70</v>
      </c>
      <c r="U86" s="356">
        <f>IF(U77=0,Thermostat!$B$11,Thermostat!$B$10)</f>
        <v>70</v>
      </c>
      <c r="V86" s="356">
        <f>IF(V77=0,Thermostat!$B$11,Thermostat!$B$10)</f>
        <v>70</v>
      </c>
      <c r="W86" s="356">
        <f>IF(W77=0,Thermostat!$B$11,Thermostat!$B$10)</f>
        <v>70</v>
      </c>
      <c r="X86" s="356">
        <f>IF(X77=0,Thermostat!$B$11,Thermostat!$B$10)</f>
        <v>70</v>
      </c>
      <c r="Y86" s="356">
        <f>IF(Y77=0,Thermostat!$B$11,Thermostat!$B$10)</f>
        <v>60</v>
      </c>
      <c r="Z86" s="356">
        <f>IF(Z77=0,Thermostat!$B$11,Thermostat!$B$10)</f>
        <v>60</v>
      </c>
      <c r="AA86" s="356">
        <f>IF(AA77=0,Thermostat!$B$11,Thermostat!$B$10)</f>
        <v>60</v>
      </c>
      <c r="AB86" s="356">
        <f>IF(AB77=0,Thermostat!$B$11,Thermostat!$B$10)</f>
        <v>60</v>
      </c>
      <c r="AC86" s="357">
        <f>IF(AC77=0,Thermostat!$B$11,Thermostat!$B$10)</f>
        <v>60</v>
      </c>
      <c r="AD86" s="46"/>
      <c r="AE86" s="46"/>
      <c r="AL86" s="46"/>
      <c r="AM86" s="46"/>
      <c r="AN86" s="46"/>
      <c r="AO86" s="46"/>
      <c r="AP86" s="46"/>
      <c r="AQ86" s="46"/>
      <c r="AR86" s="46"/>
      <c r="AS86" s="46"/>
      <c r="AT86" s="46"/>
      <c r="AU86" s="46"/>
      <c r="AV86" s="46"/>
      <c r="AW86" s="46"/>
      <c r="AX86" s="46"/>
      <c r="AY86" s="46"/>
      <c r="AZ86" s="46"/>
      <c r="BA86" s="46"/>
      <c r="BB86" s="46"/>
      <c r="BC86" s="46"/>
      <c r="BD86" s="46"/>
    </row>
    <row r="87" spans="1:56" ht="26.45" customHeight="1" x14ac:dyDescent="0.25">
      <c r="A87" s="558" t="str">
        <f t="shared" ref="A87" si="8">A$66</f>
        <v>Retail</v>
      </c>
      <c r="B87" s="560" t="str">
        <f t="shared" ref="B87" si="9">B81</f>
        <v>Retail</v>
      </c>
      <c r="C87" s="562" t="s">
        <v>616</v>
      </c>
      <c r="D87" s="564" t="s">
        <v>622</v>
      </c>
      <c r="E87" s="310" t="s">
        <v>608</v>
      </c>
      <c r="F87" s="352">
        <f>IF(F75=0,Thermostat!$B$13,Thermostat!$B$12)</f>
        <v>85</v>
      </c>
      <c r="G87" s="352">
        <f>IF(G75=0,Thermostat!$B$13,Thermostat!$B$12)</f>
        <v>85</v>
      </c>
      <c r="H87" s="352">
        <f>IF(H75=0,Thermostat!$B$13,Thermostat!$B$12)</f>
        <v>85</v>
      </c>
      <c r="I87" s="352">
        <f>IF(I75=0,Thermostat!$B$13,Thermostat!$B$12)</f>
        <v>85</v>
      </c>
      <c r="J87" s="352">
        <f>IF(J75=0,Thermostat!$B$13,Thermostat!$B$12)</f>
        <v>85</v>
      </c>
      <c r="K87" s="352">
        <f>IF(K75=0,Thermostat!$B$13,Thermostat!$B$12)</f>
        <v>85</v>
      </c>
      <c r="L87" s="352">
        <f>IF(L75=0,Thermostat!$B$13,Thermostat!$B$12)</f>
        <v>75</v>
      </c>
      <c r="M87" s="352">
        <f>IF(M75=0,Thermostat!$B$13,Thermostat!$B$12)</f>
        <v>75</v>
      </c>
      <c r="N87" s="352">
        <f>IF(N75=0,Thermostat!$B$13,Thermostat!$B$12)</f>
        <v>75</v>
      </c>
      <c r="O87" s="352">
        <f>IF(O75=0,Thermostat!$B$13,Thermostat!$B$12)</f>
        <v>75</v>
      </c>
      <c r="P87" s="352">
        <f>IF(P75=0,Thermostat!$B$13,Thermostat!$B$12)</f>
        <v>75</v>
      </c>
      <c r="Q87" s="352">
        <f>IF(Q75=0,Thermostat!$B$13,Thermostat!$B$12)</f>
        <v>75</v>
      </c>
      <c r="R87" s="352">
        <f>IF(R75=0,Thermostat!$B$13,Thermostat!$B$12)</f>
        <v>75</v>
      </c>
      <c r="S87" s="352">
        <f>IF(S75=0,Thermostat!$B$13,Thermostat!$B$12)</f>
        <v>75</v>
      </c>
      <c r="T87" s="352">
        <f>IF(T75=0,Thermostat!$B$13,Thermostat!$B$12)</f>
        <v>75</v>
      </c>
      <c r="U87" s="352">
        <f>IF(U75=0,Thermostat!$B$13,Thermostat!$B$12)</f>
        <v>75</v>
      </c>
      <c r="V87" s="352">
        <f>IF(V75=0,Thermostat!$B$13,Thermostat!$B$12)</f>
        <v>75</v>
      </c>
      <c r="W87" s="352">
        <f>IF(W75=0,Thermostat!$B$13,Thermostat!$B$12)</f>
        <v>75</v>
      </c>
      <c r="X87" s="352">
        <f>IF(X75=0,Thermostat!$B$13,Thermostat!$B$12)</f>
        <v>75</v>
      </c>
      <c r="Y87" s="352">
        <f>IF(Y75=0,Thermostat!$B$13,Thermostat!$B$12)</f>
        <v>75</v>
      </c>
      <c r="Z87" s="352">
        <f>IF(Z75=0,Thermostat!$B$13,Thermostat!$B$12)</f>
        <v>75</v>
      </c>
      <c r="AA87" s="352">
        <f>IF(AA75=0,Thermostat!$B$13,Thermostat!$B$12)</f>
        <v>85</v>
      </c>
      <c r="AB87" s="352">
        <f>IF(AB75=0,Thermostat!$B$13,Thermostat!$B$12)</f>
        <v>85</v>
      </c>
      <c r="AC87" s="353">
        <f>IF(AC75=0,Thermostat!$B$13,Thermostat!$B$12)</f>
        <v>85</v>
      </c>
      <c r="AD87" s="46"/>
      <c r="AE87" s="46"/>
      <c r="AL87" s="46"/>
      <c r="AM87" s="46"/>
      <c r="AN87" s="46"/>
      <c r="AO87" s="46"/>
      <c r="AP87" s="46"/>
      <c r="AQ87" s="46"/>
      <c r="AR87" s="46"/>
      <c r="AS87" s="46"/>
      <c r="AT87" s="46"/>
      <c r="AU87" s="46"/>
      <c r="AV87" s="46"/>
      <c r="AW87" s="46"/>
      <c r="AX87" s="46"/>
      <c r="AY87" s="46"/>
      <c r="AZ87" s="46"/>
      <c r="BA87" s="46"/>
      <c r="BB87" s="46"/>
      <c r="BC87" s="46"/>
      <c r="BD87" s="46"/>
    </row>
    <row r="88" spans="1:56" ht="26.45" customHeight="1" x14ac:dyDescent="0.25">
      <c r="A88" s="549"/>
      <c r="B88" s="552"/>
      <c r="C88" s="543"/>
      <c r="D88" s="546"/>
      <c r="E88" s="311" t="s">
        <v>609</v>
      </c>
      <c r="F88" s="354">
        <f>IF(F76=0,Thermostat!$B$13,Thermostat!$B$12)</f>
        <v>85</v>
      </c>
      <c r="G88" s="354">
        <f>IF(G76=0,Thermostat!$B$13,Thermostat!$B$12)</f>
        <v>85</v>
      </c>
      <c r="H88" s="354">
        <f>IF(H76=0,Thermostat!$B$13,Thermostat!$B$12)</f>
        <v>85</v>
      </c>
      <c r="I88" s="354">
        <f>IF(I76=0,Thermostat!$B$13,Thermostat!$B$12)</f>
        <v>85</v>
      </c>
      <c r="J88" s="354">
        <f>IF(J76=0,Thermostat!$B$13,Thermostat!$B$12)</f>
        <v>85</v>
      </c>
      <c r="K88" s="354">
        <f>IF(K76=0,Thermostat!$B$13,Thermostat!$B$12)</f>
        <v>85</v>
      </c>
      <c r="L88" s="354">
        <f>IF(L76=0,Thermostat!$B$13,Thermostat!$B$12)</f>
        <v>75</v>
      </c>
      <c r="M88" s="354">
        <f>IF(M76=0,Thermostat!$B$13,Thermostat!$B$12)</f>
        <v>75</v>
      </c>
      <c r="N88" s="354">
        <f>IF(N76=0,Thermostat!$B$13,Thermostat!$B$12)</f>
        <v>75</v>
      </c>
      <c r="O88" s="354">
        <f>IF(O76=0,Thermostat!$B$13,Thermostat!$B$12)</f>
        <v>75</v>
      </c>
      <c r="P88" s="354">
        <f>IF(P76=0,Thermostat!$B$13,Thermostat!$B$12)</f>
        <v>75</v>
      </c>
      <c r="Q88" s="354">
        <f>IF(Q76=0,Thermostat!$B$13,Thermostat!$B$12)</f>
        <v>75</v>
      </c>
      <c r="R88" s="354">
        <f>IF(R76=0,Thermostat!$B$13,Thermostat!$B$12)</f>
        <v>75</v>
      </c>
      <c r="S88" s="354">
        <f>IF(S76=0,Thermostat!$B$13,Thermostat!$B$12)</f>
        <v>75</v>
      </c>
      <c r="T88" s="354">
        <f>IF(T76=0,Thermostat!$B$13,Thermostat!$B$12)</f>
        <v>75</v>
      </c>
      <c r="U88" s="354">
        <f>IF(U76=0,Thermostat!$B$13,Thermostat!$B$12)</f>
        <v>75</v>
      </c>
      <c r="V88" s="354">
        <f>IF(V76=0,Thermostat!$B$13,Thermostat!$B$12)</f>
        <v>75</v>
      </c>
      <c r="W88" s="354">
        <f>IF(W76=0,Thermostat!$B$13,Thermostat!$B$12)</f>
        <v>75</v>
      </c>
      <c r="X88" s="354">
        <f>IF(X76=0,Thermostat!$B$13,Thermostat!$B$12)</f>
        <v>75</v>
      </c>
      <c r="Y88" s="354">
        <f>IF(Y76=0,Thermostat!$B$13,Thermostat!$B$12)</f>
        <v>75</v>
      </c>
      <c r="Z88" s="354">
        <f>IF(Z76=0,Thermostat!$B$13,Thermostat!$B$12)</f>
        <v>75</v>
      </c>
      <c r="AA88" s="354">
        <f>IF(AA76=0,Thermostat!$B$13,Thermostat!$B$12)</f>
        <v>75</v>
      </c>
      <c r="AB88" s="354">
        <f>IF(AB76=0,Thermostat!$B$13,Thermostat!$B$12)</f>
        <v>85</v>
      </c>
      <c r="AC88" s="355">
        <f>IF(AC76=0,Thermostat!$B$13,Thermostat!$B$12)</f>
        <v>85</v>
      </c>
      <c r="AD88" s="46"/>
      <c r="AE88" s="46"/>
      <c r="AL88" s="46"/>
      <c r="AM88" s="46"/>
      <c r="AN88" s="46"/>
      <c r="AO88" s="46"/>
      <c r="AP88" s="46"/>
      <c r="AQ88" s="46"/>
      <c r="AR88" s="46"/>
      <c r="AS88" s="46"/>
      <c r="AT88" s="46"/>
      <c r="AU88" s="46"/>
      <c r="AV88" s="46"/>
      <c r="AW88" s="46"/>
      <c r="AX88" s="46"/>
      <c r="AY88" s="46"/>
      <c r="AZ88" s="46"/>
      <c r="BA88" s="46"/>
      <c r="BB88" s="46"/>
      <c r="BC88" s="46"/>
      <c r="BD88" s="46"/>
    </row>
    <row r="89" spans="1:56" ht="26.45" customHeight="1" thickBot="1" x14ac:dyDescent="0.3">
      <c r="A89" s="559"/>
      <c r="B89" s="561"/>
      <c r="C89" s="563"/>
      <c r="D89" s="565"/>
      <c r="E89" s="312" t="s">
        <v>610</v>
      </c>
      <c r="F89" s="356">
        <f>IF(F77=0,Thermostat!$B$13,Thermostat!$B$12)</f>
        <v>85</v>
      </c>
      <c r="G89" s="356">
        <f>IF(G77=0,Thermostat!$B$13,Thermostat!$B$12)</f>
        <v>85</v>
      </c>
      <c r="H89" s="356">
        <f>IF(H77=0,Thermostat!$B$13,Thermostat!$B$12)</f>
        <v>85</v>
      </c>
      <c r="I89" s="356">
        <f>IF(I77=0,Thermostat!$B$13,Thermostat!$B$12)</f>
        <v>85</v>
      </c>
      <c r="J89" s="356">
        <f>IF(J77=0,Thermostat!$B$13,Thermostat!$B$12)</f>
        <v>85</v>
      </c>
      <c r="K89" s="356">
        <f>IF(K77=0,Thermostat!$B$13,Thermostat!$B$12)</f>
        <v>85</v>
      </c>
      <c r="L89" s="356">
        <f>IF(L77=0,Thermostat!$B$13,Thermostat!$B$12)</f>
        <v>85</v>
      </c>
      <c r="M89" s="356">
        <f>IF(M77=0,Thermostat!$B$13,Thermostat!$B$12)</f>
        <v>85</v>
      </c>
      <c r="N89" s="356">
        <f>IF(N77=0,Thermostat!$B$13,Thermostat!$B$12)</f>
        <v>75</v>
      </c>
      <c r="O89" s="356">
        <f>IF(O77=0,Thermostat!$B$13,Thermostat!$B$12)</f>
        <v>75</v>
      </c>
      <c r="P89" s="356">
        <f>IF(P77=0,Thermostat!$B$13,Thermostat!$B$12)</f>
        <v>75</v>
      </c>
      <c r="Q89" s="356">
        <f>IF(Q77=0,Thermostat!$B$13,Thermostat!$B$12)</f>
        <v>75</v>
      </c>
      <c r="R89" s="356">
        <f>IF(R77=0,Thermostat!$B$13,Thermostat!$B$12)</f>
        <v>75</v>
      </c>
      <c r="S89" s="356">
        <f>IF(S77=0,Thermostat!$B$13,Thermostat!$B$12)</f>
        <v>75</v>
      </c>
      <c r="T89" s="356">
        <f>IF(T77=0,Thermostat!$B$13,Thermostat!$B$12)</f>
        <v>75</v>
      </c>
      <c r="U89" s="356">
        <f>IF(U77=0,Thermostat!$B$13,Thermostat!$B$12)</f>
        <v>75</v>
      </c>
      <c r="V89" s="356">
        <f>IF(V77=0,Thermostat!$B$13,Thermostat!$B$12)</f>
        <v>75</v>
      </c>
      <c r="W89" s="356">
        <f>IF(W77=0,Thermostat!$B$13,Thermostat!$B$12)</f>
        <v>75</v>
      </c>
      <c r="X89" s="356">
        <f>IF(X77=0,Thermostat!$B$13,Thermostat!$B$12)</f>
        <v>75</v>
      </c>
      <c r="Y89" s="356">
        <f>IF(Y77=0,Thermostat!$B$13,Thermostat!$B$12)</f>
        <v>85</v>
      </c>
      <c r="Z89" s="356">
        <f>IF(Z77=0,Thermostat!$B$13,Thermostat!$B$12)</f>
        <v>85</v>
      </c>
      <c r="AA89" s="356">
        <f>IF(AA77=0,Thermostat!$B$13,Thermostat!$B$12)</f>
        <v>85</v>
      </c>
      <c r="AB89" s="356">
        <f>IF(AB77=0,Thermostat!$B$13,Thermostat!$B$12)</f>
        <v>85</v>
      </c>
      <c r="AC89" s="357">
        <f>IF(AC77=0,Thermostat!$B$13,Thermostat!$B$12)</f>
        <v>85</v>
      </c>
      <c r="AD89" s="46"/>
      <c r="AE89" s="46"/>
      <c r="AL89" s="46"/>
      <c r="AM89" s="46"/>
      <c r="AN89" s="46"/>
      <c r="AO89" s="46"/>
      <c r="AP89" s="46"/>
      <c r="AQ89" s="46"/>
      <c r="AR89" s="46"/>
      <c r="AS89" s="46"/>
      <c r="AT89" s="46"/>
      <c r="AU89" s="46"/>
      <c r="AV89" s="46"/>
      <c r="AW89" s="46"/>
      <c r="AX89" s="46"/>
      <c r="AY89" s="46"/>
      <c r="AZ89" s="46"/>
      <c r="BA89" s="46"/>
      <c r="BB89" s="46"/>
      <c r="BC89" s="46"/>
      <c r="BD89" s="46"/>
    </row>
    <row r="90" spans="1:56" ht="29.25" customHeight="1" thickBot="1" x14ac:dyDescent="0.3">
      <c r="A90" s="566" t="s">
        <v>623</v>
      </c>
      <c r="B90" s="567"/>
      <c r="C90" s="567"/>
      <c r="D90" s="567"/>
      <c r="E90" s="567"/>
      <c r="F90" s="567"/>
      <c r="G90" s="567"/>
      <c r="H90" s="567"/>
      <c r="I90" s="567"/>
      <c r="J90" s="567"/>
      <c r="K90" s="567"/>
      <c r="L90" s="567"/>
      <c r="M90" s="567"/>
      <c r="N90" s="567"/>
      <c r="O90" s="567"/>
      <c r="P90" s="567"/>
      <c r="Q90" s="567"/>
      <c r="R90" s="567"/>
      <c r="S90" s="567"/>
      <c r="T90" s="567"/>
      <c r="U90" s="567"/>
      <c r="V90" s="567"/>
      <c r="W90" s="567"/>
      <c r="X90" s="567"/>
      <c r="Y90" s="567"/>
      <c r="Z90" s="567"/>
      <c r="AA90" s="567"/>
      <c r="AB90" s="567"/>
      <c r="AC90" s="568"/>
      <c r="AD90" s="48"/>
      <c r="AE90" s="48"/>
      <c r="AF90" s="48"/>
      <c r="AG90" s="48"/>
      <c r="AH90" s="48"/>
      <c r="AI90" s="48"/>
      <c r="AJ90" s="48"/>
      <c r="AK90" s="48"/>
      <c r="AL90" s="48"/>
      <c r="AM90" s="48"/>
      <c r="AN90" s="48"/>
      <c r="AO90" s="48"/>
      <c r="AP90" s="48"/>
      <c r="AQ90" s="48"/>
      <c r="AR90" s="48"/>
      <c r="AS90" s="48"/>
      <c r="AT90" s="48"/>
      <c r="AU90" s="48"/>
      <c r="AV90" s="48"/>
      <c r="AW90" s="48"/>
      <c r="AX90" s="48"/>
    </row>
    <row r="91" spans="1:56" ht="27" customHeight="1" x14ac:dyDescent="0.25">
      <c r="A91" s="569"/>
      <c r="B91" s="572" t="s">
        <v>624</v>
      </c>
      <c r="C91" s="574" t="s">
        <v>585</v>
      </c>
      <c r="D91" s="576" t="s">
        <v>625</v>
      </c>
      <c r="E91" s="313" t="s">
        <v>608</v>
      </c>
      <c r="F91" s="314">
        <v>0</v>
      </c>
      <c r="G91" s="314">
        <v>0</v>
      </c>
      <c r="H91" s="314">
        <v>0</v>
      </c>
      <c r="I91" s="314">
        <v>0</v>
      </c>
      <c r="J91" s="314">
        <v>0</v>
      </c>
      <c r="K91" s="314">
        <v>0</v>
      </c>
      <c r="L91" s="314">
        <v>0</v>
      </c>
      <c r="M91" s="314">
        <v>0.35</v>
      </c>
      <c r="N91" s="314">
        <v>0.69</v>
      </c>
      <c r="O91" s="314">
        <v>0.43</v>
      </c>
      <c r="P91" s="314">
        <v>0.37</v>
      </c>
      <c r="Q91" s="314">
        <v>0.43</v>
      </c>
      <c r="R91" s="314">
        <v>0.57999999999999996</v>
      </c>
      <c r="S91" s="314">
        <v>0.48</v>
      </c>
      <c r="T91" s="314">
        <v>0.37</v>
      </c>
      <c r="U91" s="314">
        <v>0.37</v>
      </c>
      <c r="V91" s="314">
        <v>0.46</v>
      </c>
      <c r="W91" s="314">
        <v>0.62</v>
      </c>
      <c r="X91" s="314">
        <v>0.2</v>
      </c>
      <c r="Y91" s="314">
        <v>0.12</v>
      </c>
      <c r="Z91" s="314">
        <v>0.04</v>
      </c>
      <c r="AA91" s="314">
        <v>0.04</v>
      </c>
      <c r="AB91" s="314">
        <v>0</v>
      </c>
      <c r="AC91" s="315">
        <v>0</v>
      </c>
      <c r="AD91" s="46">
        <v>0</v>
      </c>
      <c r="AE91" s="46"/>
      <c r="AL91" s="46"/>
      <c r="AM91" s="46"/>
      <c r="AN91" s="46"/>
      <c r="AO91" s="46"/>
      <c r="AP91" s="46"/>
      <c r="AQ91" s="46"/>
      <c r="AR91" s="46"/>
      <c r="AS91" s="46"/>
      <c r="AT91" s="46"/>
      <c r="AU91" s="46"/>
      <c r="AV91" s="46"/>
      <c r="AW91" s="46"/>
      <c r="AX91" s="46"/>
      <c r="AY91" s="46"/>
      <c r="AZ91" s="46"/>
      <c r="BA91" s="46"/>
      <c r="BB91" s="46"/>
      <c r="BC91" s="46"/>
      <c r="BD91" s="46"/>
    </row>
    <row r="92" spans="1:56" ht="27" customHeight="1" x14ac:dyDescent="0.25">
      <c r="A92" s="570"/>
      <c r="B92" s="525"/>
      <c r="C92" s="528"/>
      <c r="D92" s="577"/>
      <c r="E92" s="316" t="s">
        <v>609</v>
      </c>
      <c r="F92" s="317">
        <v>0</v>
      </c>
      <c r="G92" s="317">
        <v>0</v>
      </c>
      <c r="H92" s="317">
        <v>0</v>
      </c>
      <c r="I92" s="317">
        <v>0</v>
      </c>
      <c r="J92" s="317">
        <v>0</v>
      </c>
      <c r="K92" s="317">
        <v>0</v>
      </c>
      <c r="L92" s="317">
        <v>0</v>
      </c>
      <c r="M92" s="317">
        <v>0.35</v>
      </c>
      <c r="N92" s="317">
        <v>0.69</v>
      </c>
      <c r="O92" s="317">
        <v>0.43</v>
      </c>
      <c r="P92" s="317">
        <v>0.37</v>
      </c>
      <c r="Q92" s="317">
        <v>0.43</v>
      </c>
      <c r="R92" s="317">
        <v>0.57999999999999996</v>
      </c>
      <c r="S92" s="317">
        <v>0.48</v>
      </c>
      <c r="T92" s="317">
        <v>0.37</v>
      </c>
      <c r="U92" s="317">
        <v>0.37</v>
      </c>
      <c r="V92" s="317">
        <v>0.46</v>
      </c>
      <c r="W92" s="317">
        <v>0.62</v>
      </c>
      <c r="X92" s="317">
        <v>0.2</v>
      </c>
      <c r="Y92" s="317">
        <v>0.12</v>
      </c>
      <c r="Z92" s="317">
        <v>0.04</v>
      </c>
      <c r="AA92" s="317">
        <v>0.04</v>
      </c>
      <c r="AB92" s="317">
        <v>0</v>
      </c>
      <c r="AC92" s="318">
        <v>0</v>
      </c>
      <c r="AD92" s="46">
        <v>0</v>
      </c>
      <c r="AE92" s="46"/>
      <c r="AL92" s="46"/>
      <c r="AM92" s="46"/>
      <c r="AN92" s="46"/>
      <c r="AO92" s="46"/>
      <c r="AP92" s="46"/>
      <c r="AQ92" s="46"/>
      <c r="AR92" s="46"/>
      <c r="AS92" s="46"/>
      <c r="AT92" s="46"/>
      <c r="AU92" s="46"/>
      <c r="AV92" s="46"/>
      <c r="AW92" s="46"/>
      <c r="AX92" s="46"/>
      <c r="AY92" s="46"/>
      <c r="AZ92" s="46"/>
      <c r="BA92" s="46"/>
      <c r="BB92" s="46"/>
      <c r="BC92" s="46"/>
      <c r="BD92" s="46"/>
    </row>
    <row r="93" spans="1:56" ht="27" customHeight="1" thickBot="1" x14ac:dyDescent="0.3">
      <c r="A93" s="571"/>
      <c r="B93" s="573"/>
      <c r="C93" s="575"/>
      <c r="D93" s="578"/>
      <c r="E93" s="319" t="s">
        <v>610</v>
      </c>
      <c r="F93" s="320">
        <v>0</v>
      </c>
      <c r="G93" s="320">
        <v>0</v>
      </c>
      <c r="H93" s="320">
        <v>0</v>
      </c>
      <c r="I93" s="320">
        <v>0</v>
      </c>
      <c r="J93" s="320">
        <v>0</v>
      </c>
      <c r="K93" s="320">
        <v>0</v>
      </c>
      <c r="L93" s="320">
        <v>0</v>
      </c>
      <c r="M93" s="320">
        <v>0.35</v>
      </c>
      <c r="N93" s="320">
        <v>0.69</v>
      </c>
      <c r="O93" s="320">
        <v>0.43</v>
      </c>
      <c r="P93" s="320">
        <v>0.37</v>
      </c>
      <c r="Q93" s="320">
        <v>0.43</v>
      </c>
      <c r="R93" s="320">
        <v>0.57999999999999996</v>
      </c>
      <c r="S93" s="320">
        <v>0.48</v>
      </c>
      <c r="T93" s="320">
        <v>0.37</v>
      </c>
      <c r="U93" s="320">
        <v>0.37</v>
      </c>
      <c r="V93" s="320">
        <v>0.46</v>
      </c>
      <c r="W93" s="320">
        <v>0.62</v>
      </c>
      <c r="X93" s="320">
        <v>0.2</v>
      </c>
      <c r="Y93" s="320">
        <v>0.12</v>
      </c>
      <c r="Z93" s="320">
        <v>0.04</v>
      </c>
      <c r="AA93" s="320">
        <v>0.04</v>
      </c>
      <c r="AB93" s="320">
        <v>0</v>
      </c>
      <c r="AC93" s="321">
        <v>0</v>
      </c>
      <c r="AD93" s="46">
        <v>0</v>
      </c>
      <c r="AE93" s="46"/>
      <c r="AL93" s="46"/>
      <c r="AM93" s="46"/>
      <c r="AN93" s="46"/>
      <c r="AO93" s="46"/>
      <c r="AP93" s="46"/>
      <c r="AQ93" s="46"/>
      <c r="AR93" s="46"/>
      <c r="AS93" s="46"/>
      <c r="AT93" s="46"/>
      <c r="AU93" s="46"/>
      <c r="AV93" s="46"/>
      <c r="AW93" s="46"/>
      <c r="AX93" s="46"/>
      <c r="AY93" s="46"/>
      <c r="AZ93" s="46"/>
      <c r="BA93" s="46"/>
      <c r="BB93" s="46"/>
      <c r="BC93" s="46"/>
      <c r="BD93" s="46"/>
    </row>
    <row r="94" spans="1:56" ht="27" customHeight="1" x14ac:dyDescent="0.25">
      <c r="A94" s="579"/>
      <c r="B94" s="580" t="s">
        <v>624</v>
      </c>
      <c r="C94" s="581" t="s">
        <v>626</v>
      </c>
      <c r="D94" s="531"/>
      <c r="E94" s="322" t="s">
        <v>608</v>
      </c>
      <c r="F94" s="323">
        <v>1</v>
      </c>
      <c r="G94" s="323">
        <v>1</v>
      </c>
      <c r="H94" s="323">
        <v>1</v>
      </c>
      <c r="I94" s="323">
        <v>1</v>
      </c>
      <c r="J94" s="323">
        <v>1</v>
      </c>
      <c r="K94" s="323">
        <v>1</v>
      </c>
      <c r="L94" s="323">
        <v>1</v>
      </c>
      <c r="M94" s="323">
        <v>1</v>
      </c>
      <c r="N94" s="323">
        <v>1</v>
      </c>
      <c r="O94" s="323">
        <v>1</v>
      </c>
      <c r="P94" s="323">
        <v>1</v>
      </c>
      <c r="Q94" s="323">
        <v>1</v>
      </c>
      <c r="R94" s="323">
        <v>1</v>
      </c>
      <c r="S94" s="323">
        <v>1</v>
      </c>
      <c r="T94" s="323">
        <v>1</v>
      </c>
      <c r="U94" s="323">
        <v>1</v>
      </c>
      <c r="V94" s="323">
        <v>1</v>
      </c>
      <c r="W94" s="323">
        <v>1</v>
      </c>
      <c r="X94" s="323">
        <v>1</v>
      </c>
      <c r="Y94" s="323">
        <v>1</v>
      </c>
      <c r="Z94" s="323">
        <v>1</v>
      </c>
      <c r="AA94" s="323">
        <v>1</v>
      </c>
      <c r="AB94" s="323">
        <v>1</v>
      </c>
      <c r="AC94" s="324">
        <v>1</v>
      </c>
      <c r="AD94" s="46"/>
      <c r="AE94" s="46"/>
      <c r="AL94" s="46"/>
      <c r="AM94" s="46"/>
      <c r="AN94" s="46"/>
      <c r="AO94" s="46"/>
      <c r="AP94" s="46"/>
      <c r="AQ94" s="46"/>
      <c r="AR94" s="46"/>
      <c r="AS94" s="46"/>
      <c r="AT94" s="46"/>
      <c r="AU94" s="46"/>
      <c r="AV94" s="46"/>
      <c r="AW94" s="46"/>
      <c r="AX94" s="46"/>
      <c r="AY94" s="46"/>
      <c r="AZ94" s="46"/>
      <c r="BA94" s="46"/>
      <c r="BB94" s="46"/>
      <c r="BC94" s="46"/>
      <c r="BD94" s="46"/>
    </row>
    <row r="95" spans="1:56" ht="27" customHeight="1" x14ac:dyDescent="0.25">
      <c r="A95" s="522"/>
      <c r="B95" s="525"/>
      <c r="C95" s="528"/>
      <c r="D95" s="531"/>
      <c r="E95" s="316" t="s">
        <v>609</v>
      </c>
      <c r="F95" s="325">
        <v>1</v>
      </c>
      <c r="G95" s="325">
        <v>1</v>
      </c>
      <c r="H95" s="325">
        <v>1</v>
      </c>
      <c r="I95" s="325">
        <v>1</v>
      </c>
      <c r="J95" s="325">
        <v>1</v>
      </c>
      <c r="K95" s="325">
        <v>1</v>
      </c>
      <c r="L95" s="325">
        <v>1</v>
      </c>
      <c r="M95" s="325">
        <v>1</v>
      </c>
      <c r="N95" s="325">
        <v>1</v>
      </c>
      <c r="O95" s="325">
        <v>1</v>
      </c>
      <c r="P95" s="325">
        <v>1</v>
      </c>
      <c r="Q95" s="325">
        <v>1</v>
      </c>
      <c r="R95" s="325">
        <v>1</v>
      </c>
      <c r="S95" s="325">
        <v>1</v>
      </c>
      <c r="T95" s="325">
        <v>1</v>
      </c>
      <c r="U95" s="325">
        <v>1</v>
      </c>
      <c r="V95" s="325">
        <v>1</v>
      </c>
      <c r="W95" s="325">
        <v>1</v>
      </c>
      <c r="X95" s="325">
        <v>1</v>
      </c>
      <c r="Y95" s="325">
        <v>1</v>
      </c>
      <c r="Z95" s="325">
        <v>1</v>
      </c>
      <c r="AA95" s="325">
        <v>1</v>
      </c>
      <c r="AB95" s="325">
        <v>1</v>
      </c>
      <c r="AC95" s="326">
        <v>1</v>
      </c>
      <c r="AD95" s="46"/>
      <c r="AE95" s="46"/>
      <c r="AL95" s="46"/>
      <c r="AM95" s="46"/>
      <c r="AN95" s="46"/>
      <c r="AO95" s="46"/>
      <c r="AP95" s="46"/>
      <c r="AQ95" s="46"/>
      <c r="AR95" s="46"/>
      <c r="AS95" s="46"/>
      <c r="AT95" s="46"/>
      <c r="AU95" s="46"/>
      <c r="AV95" s="46"/>
      <c r="AW95" s="46"/>
      <c r="AX95" s="46"/>
      <c r="AY95" s="46"/>
      <c r="AZ95" s="46"/>
      <c r="BA95" s="46"/>
      <c r="BB95" s="46"/>
      <c r="BC95" s="46"/>
      <c r="BD95" s="46"/>
    </row>
    <row r="96" spans="1:56" ht="27" customHeight="1" thickBot="1" x14ac:dyDescent="0.3">
      <c r="A96" s="523"/>
      <c r="B96" s="526"/>
      <c r="C96" s="529"/>
      <c r="D96" s="532"/>
      <c r="E96" s="327" t="s">
        <v>610</v>
      </c>
      <c r="F96" s="328">
        <v>1</v>
      </c>
      <c r="G96" s="328">
        <v>1</v>
      </c>
      <c r="H96" s="328">
        <v>1</v>
      </c>
      <c r="I96" s="328">
        <v>1</v>
      </c>
      <c r="J96" s="328">
        <v>1</v>
      </c>
      <c r="K96" s="328">
        <v>1</v>
      </c>
      <c r="L96" s="328">
        <v>1</v>
      </c>
      <c r="M96" s="328">
        <v>1</v>
      </c>
      <c r="N96" s="328">
        <v>1</v>
      </c>
      <c r="O96" s="328">
        <v>1</v>
      </c>
      <c r="P96" s="328">
        <v>1</v>
      </c>
      <c r="Q96" s="328">
        <v>1</v>
      </c>
      <c r="R96" s="328">
        <v>1</v>
      </c>
      <c r="S96" s="328">
        <v>1</v>
      </c>
      <c r="T96" s="328">
        <v>1</v>
      </c>
      <c r="U96" s="328">
        <v>1</v>
      </c>
      <c r="V96" s="328">
        <v>1</v>
      </c>
      <c r="W96" s="328">
        <v>1</v>
      </c>
      <c r="X96" s="328">
        <v>1</v>
      </c>
      <c r="Y96" s="328">
        <v>1</v>
      </c>
      <c r="Z96" s="328">
        <v>1</v>
      </c>
      <c r="AA96" s="328">
        <v>1</v>
      </c>
      <c r="AB96" s="328">
        <v>1</v>
      </c>
      <c r="AC96" s="329">
        <v>1</v>
      </c>
      <c r="AD96" s="46"/>
      <c r="AE96" s="46"/>
      <c r="AL96" s="46"/>
      <c r="AM96" s="46"/>
      <c r="AN96" s="46"/>
      <c r="AO96" s="46"/>
      <c r="AP96" s="46"/>
      <c r="AQ96" s="46"/>
      <c r="AR96" s="46"/>
      <c r="AS96" s="46"/>
      <c r="AT96" s="46"/>
      <c r="AU96" s="46"/>
      <c r="AV96" s="46"/>
      <c r="AW96" s="46"/>
      <c r="AX96" s="46"/>
      <c r="AY96" s="46"/>
      <c r="AZ96" s="46"/>
      <c r="BA96" s="46"/>
      <c r="BB96" s="46"/>
      <c r="BC96" s="46"/>
      <c r="BD96" s="46"/>
    </row>
    <row r="97" spans="1:56" ht="27" customHeight="1" x14ac:dyDescent="0.25">
      <c r="A97" s="521"/>
      <c r="B97" s="524" t="s">
        <v>624</v>
      </c>
      <c r="C97" s="527" t="s">
        <v>627</v>
      </c>
      <c r="D97" s="530"/>
      <c r="E97" s="330" t="s">
        <v>608</v>
      </c>
      <c r="F97" s="331">
        <v>0</v>
      </c>
      <c r="G97" s="331">
        <v>0</v>
      </c>
      <c r="H97" s="331">
        <v>0</v>
      </c>
      <c r="I97" s="331">
        <v>0</v>
      </c>
      <c r="J97" s="331">
        <v>0</v>
      </c>
      <c r="K97" s="331">
        <v>1</v>
      </c>
      <c r="L97" s="331">
        <v>1</v>
      </c>
      <c r="M97" s="331">
        <v>1</v>
      </c>
      <c r="N97" s="331">
        <v>1</v>
      </c>
      <c r="O97" s="331">
        <v>1</v>
      </c>
      <c r="P97" s="331">
        <v>1</v>
      </c>
      <c r="Q97" s="331">
        <v>1</v>
      </c>
      <c r="R97" s="331">
        <v>1</v>
      </c>
      <c r="S97" s="331">
        <v>1</v>
      </c>
      <c r="T97" s="331">
        <v>1</v>
      </c>
      <c r="U97" s="331">
        <v>1</v>
      </c>
      <c r="V97" s="331">
        <v>1</v>
      </c>
      <c r="W97" s="331">
        <v>1</v>
      </c>
      <c r="X97" s="331">
        <v>1</v>
      </c>
      <c r="Y97" s="331">
        <v>1</v>
      </c>
      <c r="Z97" s="331">
        <v>1</v>
      </c>
      <c r="AA97" s="331">
        <v>1</v>
      </c>
      <c r="AB97" s="331">
        <v>0</v>
      </c>
      <c r="AC97" s="332">
        <v>0</v>
      </c>
      <c r="AD97" s="46"/>
      <c r="AE97" s="46"/>
      <c r="AL97" s="46"/>
      <c r="AM97" s="46"/>
      <c r="AN97" s="46"/>
      <c r="AO97" s="46"/>
      <c r="AP97" s="46"/>
      <c r="AQ97" s="46"/>
      <c r="AR97" s="46"/>
      <c r="AS97" s="46"/>
      <c r="AT97" s="46"/>
      <c r="AU97" s="46"/>
      <c r="AV97" s="46"/>
      <c r="AW97" s="46"/>
      <c r="AX97" s="46"/>
      <c r="AY97" s="46"/>
      <c r="AZ97" s="46"/>
      <c r="BA97" s="46"/>
      <c r="BB97" s="46"/>
      <c r="BC97" s="46"/>
      <c r="BD97" s="46"/>
    </row>
    <row r="98" spans="1:56" ht="27" customHeight="1" x14ac:dyDescent="0.25">
      <c r="A98" s="522"/>
      <c r="B98" s="525"/>
      <c r="C98" s="528"/>
      <c r="D98" s="531"/>
      <c r="E98" s="316" t="s">
        <v>609</v>
      </c>
      <c r="F98" s="325">
        <v>0</v>
      </c>
      <c r="G98" s="325">
        <v>0</v>
      </c>
      <c r="H98" s="325">
        <v>0</v>
      </c>
      <c r="I98" s="325">
        <v>0</v>
      </c>
      <c r="J98" s="325">
        <v>0</v>
      </c>
      <c r="K98" s="325">
        <v>1</v>
      </c>
      <c r="L98" s="325">
        <v>1</v>
      </c>
      <c r="M98" s="325">
        <v>1</v>
      </c>
      <c r="N98" s="325">
        <v>1</v>
      </c>
      <c r="O98" s="325">
        <v>1</v>
      </c>
      <c r="P98" s="325">
        <v>1</v>
      </c>
      <c r="Q98" s="325">
        <v>1</v>
      </c>
      <c r="R98" s="325">
        <v>1</v>
      </c>
      <c r="S98" s="325">
        <v>1</v>
      </c>
      <c r="T98" s="325">
        <v>1</v>
      </c>
      <c r="U98" s="325">
        <v>1</v>
      </c>
      <c r="V98" s="325">
        <v>1</v>
      </c>
      <c r="W98" s="325">
        <v>1</v>
      </c>
      <c r="X98" s="325">
        <v>1</v>
      </c>
      <c r="Y98" s="325">
        <v>1</v>
      </c>
      <c r="Z98" s="325">
        <v>1</v>
      </c>
      <c r="AA98" s="325">
        <v>1</v>
      </c>
      <c r="AB98" s="325">
        <v>1</v>
      </c>
      <c r="AC98" s="326">
        <v>1</v>
      </c>
      <c r="AD98" s="46"/>
      <c r="AE98" s="46"/>
      <c r="AL98" s="46"/>
      <c r="AM98" s="46"/>
      <c r="AN98" s="46"/>
      <c r="AO98" s="46"/>
      <c r="AP98" s="46"/>
      <c r="AQ98" s="46"/>
      <c r="AR98" s="46"/>
      <c r="AS98" s="46"/>
      <c r="AT98" s="46"/>
      <c r="AU98" s="46"/>
      <c r="AV98" s="46"/>
      <c r="AW98" s="46"/>
      <c r="AX98" s="46"/>
      <c r="AY98" s="46"/>
      <c r="AZ98" s="46"/>
      <c r="BA98" s="46"/>
      <c r="BB98" s="46"/>
      <c r="BC98" s="46"/>
      <c r="BD98" s="46"/>
    </row>
    <row r="99" spans="1:56" ht="27" customHeight="1" thickBot="1" x14ac:dyDescent="0.3">
      <c r="A99" s="523"/>
      <c r="B99" s="526"/>
      <c r="C99" s="529"/>
      <c r="D99" s="532"/>
      <c r="E99" s="327" t="s">
        <v>610</v>
      </c>
      <c r="F99" s="328">
        <v>0</v>
      </c>
      <c r="G99" s="328">
        <v>0</v>
      </c>
      <c r="H99" s="328">
        <v>0</v>
      </c>
      <c r="I99" s="328">
        <v>0</v>
      </c>
      <c r="J99" s="328">
        <v>0</v>
      </c>
      <c r="K99" s="328">
        <v>1</v>
      </c>
      <c r="L99" s="328">
        <v>1</v>
      </c>
      <c r="M99" s="328">
        <v>1</v>
      </c>
      <c r="N99" s="328">
        <v>1</v>
      </c>
      <c r="O99" s="328">
        <v>1</v>
      </c>
      <c r="P99" s="328">
        <v>1</v>
      </c>
      <c r="Q99" s="328">
        <v>1</v>
      </c>
      <c r="R99" s="328">
        <v>1</v>
      </c>
      <c r="S99" s="328">
        <v>1</v>
      </c>
      <c r="T99" s="328">
        <v>1</v>
      </c>
      <c r="U99" s="328">
        <v>1</v>
      </c>
      <c r="V99" s="328">
        <v>1</v>
      </c>
      <c r="W99" s="328">
        <v>1</v>
      </c>
      <c r="X99" s="328">
        <v>1</v>
      </c>
      <c r="Y99" s="328">
        <v>1</v>
      </c>
      <c r="Z99" s="328">
        <v>1</v>
      </c>
      <c r="AA99" s="328">
        <v>1</v>
      </c>
      <c r="AB99" s="328">
        <v>1</v>
      </c>
      <c r="AC99" s="329">
        <v>1</v>
      </c>
      <c r="AD99" s="46"/>
      <c r="AE99" s="46"/>
      <c r="AL99" s="46"/>
      <c r="AM99" s="46"/>
      <c r="AN99" s="46"/>
      <c r="AO99" s="46"/>
      <c r="AP99" s="46"/>
      <c r="AQ99" s="46"/>
      <c r="AR99" s="46"/>
      <c r="AS99" s="46"/>
      <c r="AT99" s="46"/>
      <c r="AU99" s="46"/>
      <c r="AV99" s="46"/>
      <c r="AW99" s="46"/>
      <c r="AX99" s="46"/>
      <c r="AY99" s="46"/>
      <c r="AZ99" s="46"/>
      <c r="BA99" s="46"/>
      <c r="BB99" s="46"/>
      <c r="BC99" s="46"/>
      <c r="BD99" s="46"/>
    </row>
    <row r="100" spans="1:56" ht="27" customHeight="1" x14ac:dyDescent="0.25">
      <c r="A100" s="533" t="s">
        <v>111</v>
      </c>
      <c r="B100" s="536" t="s">
        <v>624</v>
      </c>
      <c r="C100" s="539" t="s">
        <v>722</v>
      </c>
      <c r="D100" s="530" t="s">
        <v>628</v>
      </c>
      <c r="E100" s="330" t="s">
        <v>608</v>
      </c>
      <c r="F100" s="331">
        <v>110</v>
      </c>
      <c r="G100" s="331">
        <v>110</v>
      </c>
      <c r="H100" s="331">
        <v>110</v>
      </c>
      <c r="I100" s="331">
        <v>110</v>
      </c>
      <c r="J100" s="331">
        <v>110</v>
      </c>
      <c r="K100" s="331">
        <v>110</v>
      </c>
      <c r="L100" s="331">
        <v>110</v>
      </c>
      <c r="M100" s="331">
        <v>130</v>
      </c>
      <c r="N100" s="331">
        <v>130</v>
      </c>
      <c r="O100" s="331">
        <v>130</v>
      </c>
      <c r="P100" s="331">
        <v>130</v>
      </c>
      <c r="Q100" s="331">
        <v>140</v>
      </c>
      <c r="R100" s="331">
        <v>140</v>
      </c>
      <c r="S100" s="331">
        <v>140</v>
      </c>
      <c r="T100" s="331">
        <v>140</v>
      </c>
      <c r="U100" s="331">
        <v>140</v>
      </c>
      <c r="V100" s="331">
        <v>110</v>
      </c>
      <c r="W100" s="331">
        <v>110</v>
      </c>
      <c r="X100" s="331">
        <v>110</v>
      </c>
      <c r="Y100" s="331">
        <v>110</v>
      </c>
      <c r="Z100" s="331">
        <v>110</v>
      </c>
      <c r="AA100" s="331">
        <v>110</v>
      </c>
      <c r="AB100" s="331">
        <v>110</v>
      </c>
      <c r="AC100" s="332">
        <v>110</v>
      </c>
      <c r="AD100" s="46"/>
      <c r="AE100" s="46"/>
      <c r="AL100" s="46"/>
      <c r="AM100" s="46"/>
      <c r="AN100" s="46"/>
      <c r="AO100" s="46"/>
      <c r="AP100" s="46"/>
      <c r="AQ100" s="46"/>
      <c r="AR100" s="46"/>
      <c r="AS100" s="46"/>
      <c r="AT100" s="46"/>
      <c r="AU100" s="46"/>
      <c r="AV100" s="46"/>
      <c r="AW100" s="46"/>
      <c r="AX100" s="46"/>
      <c r="AY100" s="46"/>
      <c r="AZ100" s="46"/>
      <c r="BA100" s="46"/>
      <c r="BB100" s="46"/>
      <c r="BC100" s="46"/>
      <c r="BD100" s="46"/>
    </row>
    <row r="101" spans="1:56" ht="27" customHeight="1" x14ac:dyDescent="0.25">
      <c r="A101" s="534"/>
      <c r="B101" s="537"/>
      <c r="C101" s="540"/>
      <c r="D101" s="531"/>
      <c r="E101" s="316" t="s">
        <v>609</v>
      </c>
      <c r="F101" s="325">
        <v>110</v>
      </c>
      <c r="G101" s="325">
        <v>110</v>
      </c>
      <c r="H101" s="325">
        <v>110</v>
      </c>
      <c r="I101" s="325">
        <v>110</v>
      </c>
      <c r="J101" s="325">
        <v>110</v>
      </c>
      <c r="K101" s="325">
        <v>110</v>
      </c>
      <c r="L101" s="325">
        <v>110</v>
      </c>
      <c r="M101" s="325">
        <v>130</v>
      </c>
      <c r="N101" s="325">
        <v>130</v>
      </c>
      <c r="O101" s="325">
        <v>130</v>
      </c>
      <c r="P101" s="325">
        <v>130</v>
      </c>
      <c r="Q101" s="325">
        <v>140</v>
      </c>
      <c r="R101" s="325">
        <v>140</v>
      </c>
      <c r="S101" s="325">
        <v>140</v>
      </c>
      <c r="T101" s="325">
        <v>140</v>
      </c>
      <c r="U101" s="325">
        <v>140</v>
      </c>
      <c r="V101" s="325">
        <v>110</v>
      </c>
      <c r="W101" s="325">
        <v>110</v>
      </c>
      <c r="X101" s="325">
        <v>110</v>
      </c>
      <c r="Y101" s="325">
        <v>110</v>
      </c>
      <c r="Z101" s="325">
        <v>110</v>
      </c>
      <c r="AA101" s="325">
        <v>110</v>
      </c>
      <c r="AB101" s="325">
        <v>110</v>
      </c>
      <c r="AC101" s="326">
        <v>110</v>
      </c>
      <c r="AD101" s="46"/>
      <c r="AE101" s="46"/>
      <c r="AL101" s="46"/>
      <c r="AM101" s="46"/>
      <c r="AN101" s="46"/>
      <c r="AO101" s="46"/>
      <c r="AP101" s="46"/>
      <c r="AQ101" s="46"/>
      <c r="AR101" s="46"/>
      <c r="AS101" s="46"/>
      <c r="AT101" s="46"/>
      <c r="AU101" s="46"/>
      <c r="AV101" s="46"/>
      <c r="AW101" s="46"/>
      <c r="AX101" s="46"/>
      <c r="AY101" s="46"/>
      <c r="AZ101" s="46"/>
      <c r="BA101" s="46"/>
      <c r="BB101" s="46"/>
      <c r="BC101" s="46"/>
      <c r="BD101" s="46"/>
    </row>
    <row r="102" spans="1:56" ht="27" customHeight="1" thickBot="1" x14ac:dyDescent="0.3">
      <c r="A102" s="535"/>
      <c r="B102" s="538"/>
      <c r="C102" s="541"/>
      <c r="D102" s="532"/>
      <c r="E102" s="327" t="s">
        <v>610</v>
      </c>
      <c r="F102" s="328">
        <v>110</v>
      </c>
      <c r="G102" s="328">
        <v>110</v>
      </c>
      <c r="H102" s="328">
        <v>110</v>
      </c>
      <c r="I102" s="328">
        <v>110</v>
      </c>
      <c r="J102" s="328">
        <v>110</v>
      </c>
      <c r="K102" s="328">
        <v>110</v>
      </c>
      <c r="L102" s="328">
        <v>110</v>
      </c>
      <c r="M102" s="328">
        <v>130</v>
      </c>
      <c r="N102" s="328">
        <v>130</v>
      </c>
      <c r="O102" s="328">
        <v>130</v>
      </c>
      <c r="P102" s="328">
        <v>130</v>
      </c>
      <c r="Q102" s="328">
        <v>140</v>
      </c>
      <c r="R102" s="328">
        <v>140</v>
      </c>
      <c r="S102" s="328">
        <v>140</v>
      </c>
      <c r="T102" s="328">
        <v>140</v>
      </c>
      <c r="U102" s="328">
        <v>140</v>
      </c>
      <c r="V102" s="328">
        <v>110</v>
      </c>
      <c r="W102" s="328">
        <v>110</v>
      </c>
      <c r="X102" s="328">
        <v>110</v>
      </c>
      <c r="Y102" s="328">
        <v>110</v>
      </c>
      <c r="Z102" s="328">
        <v>110</v>
      </c>
      <c r="AA102" s="328">
        <v>110</v>
      </c>
      <c r="AB102" s="328">
        <v>110</v>
      </c>
      <c r="AC102" s="329">
        <v>110</v>
      </c>
      <c r="AD102" s="46"/>
      <c r="AE102" s="46"/>
      <c r="AL102" s="46"/>
      <c r="AM102" s="46"/>
      <c r="AN102" s="46"/>
      <c r="AO102" s="46"/>
      <c r="AP102" s="46"/>
      <c r="AQ102" s="46"/>
      <c r="AR102" s="46"/>
      <c r="AS102" s="46"/>
      <c r="AT102" s="46"/>
      <c r="AU102" s="46"/>
      <c r="AV102" s="46"/>
      <c r="AW102" s="46"/>
      <c r="AX102" s="46"/>
      <c r="AY102" s="46"/>
      <c r="AZ102" s="46"/>
      <c r="BA102" s="46"/>
      <c r="BB102" s="46"/>
      <c r="BC102" s="46"/>
      <c r="BD102" s="46"/>
    </row>
    <row r="103" spans="1:56" ht="27" customHeight="1" x14ac:dyDescent="0.25">
      <c r="A103" s="521" t="s">
        <v>100</v>
      </c>
      <c r="B103" s="524" t="s">
        <v>624</v>
      </c>
      <c r="C103" s="527" t="s">
        <v>629</v>
      </c>
      <c r="D103" s="530" t="s">
        <v>628</v>
      </c>
      <c r="E103" s="330" t="s">
        <v>608</v>
      </c>
      <c r="F103" s="331">
        <v>131.9</v>
      </c>
      <c r="G103" s="331">
        <v>131.9</v>
      </c>
      <c r="H103" s="331">
        <v>131.9</v>
      </c>
      <c r="I103" s="331">
        <v>131.9</v>
      </c>
      <c r="J103" s="331">
        <v>131.9</v>
      </c>
      <c r="K103" s="331">
        <v>131.9</v>
      </c>
      <c r="L103" s="331">
        <v>131.9</v>
      </c>
      <c r="M103" s="331">
        <v>131.9</v>
      </c>
      <c r="N103" s="331">
        <v>131.9</v>
      </c>
      <c r="O103" s="331">
        <v>131.9</v>
      </c>
      <c r="P103" s="331">
        <v>131.9</v>
      </c>
      <c r="Q103" s="331">
        <v>131.9</v>
      </c>
      <c r="R103" s="331">
        <v>131.9</v>
      </c>
      <c r="S103" s="331">
        <v>131.9</v>
      </c>
      <c r="T103" s="331">
        <v>131.9</v>
      </c>
      <c r="U103" s="331">
        <v>131.9</v>
      </c>
      <c r="V103" s="331">
        <v>131.9</v>
      </c>
      <c r="W103" s="331">
        <v>131.9</v>
      </c>
      <c r="X103" s="331">
        <v>131.9</v>
      </c>
      <c r="Y103" s="331">
        <v>131.9</v>
      </c>
      <c r="Z103" s="331">
        <v>131.9</v>
      </c>
      <c r="AA103" s="331">
        <v>131.9</v>
      </c>
      <c r="AB103" s="331">
        <v>131.9</v>
      </c>
      <c r="AC103" s="332">
        <v>131.9</v>
      </c>
      <c r="AD103" s="46"/>
      <c r="AE103" s="46"/>
      <c r="AL103" s="46"/>
      <c r="AM103" s="46"/>
      <c r="AN103" s="46"/>
      <c r="AO103" s="46"/>
      <c r="AP103" s="46"/>
      <c r="AQ103" s="46"/>
      <c r="AR103" s="46"/>
      <c r="AS103" s="46"/>
      <c r="AT103" s="46"/>
      <c r="AU103" s="46"/>
      <c r="AV103" s="46"/>
      <c r="AW103" s="46"/>
      <c r="AX103" s="46"/>
      <c r="AY103" s="46"/>
      <c r="AZ103" s="46"/>
      <c r="BA103" s="46"/>
      <c r="BB103" s="46"/>
      <c r="BC103" s="46"/>
      <c r="BD103" s="46"/>
    </row>
    <row r="104" spans="1:56" ht="27" customHeight="1" x14ac:dyDescent="0.25">
      <c r="A104" s="522"/>
      <c r="B104" s="525"/>
      <c r="C104" s="528"/>
      <c r="D104" s="531"/>
      <c r="E104" s="316" t="s">
        <v>609</v>
      </c>
      <c r="F104" s="325">
        <v>131.9</v>
      </c>
      <c r="G104" s="325">
        <v>131.9</v>
      </c>
      <c r="H104" s="325">
        <v>131.9</v>
      </c>
      <c r="I104" s="325">
        <v>131.9</v>
      </c>
      <c r="J104" s="325">
        <v>131.9</v>
      </c>
      <c r="K104" s="325">
        <v>131.9</v>
      </c>
      <c r="L104" s="325">
        <v>131.9</v>
      </c>
      <c r="M104" s="325">
        <v>131.9</v>
      </c>
      <c r="N104" s="325">
        <v>131.9</v>
      </c>
      <c r="O104" s="325">
        <v>131.9</v>
      </c>
      <c r="P104" s="325">
        <v>131.9</v>
      </c>
      <c r="Q104" s="325">
        <v>131.9</v>
      </c>
      <c r="R104" s="325">
        <v>131.9</v>
      </c>
      <c r="S104" s="325">
        <v>131.9</v>
      </c>
      <c r="T104" s="325">
        <v>131.9</v>
      </c>
      <c r="U104" s="325">
        <v>131.9</v>
      </c>
      <c r="V104" s="325">
        <v>131.9</v>
      </c>
      <c r="W104" s="325">
        <v>131.9</v>
      </c>
      <c r="X104" s="325">
        <v>131.9</v>
      </c>
      <c r="Y104" s="325">
        <v>131.9</v>
      </c>
      <c r="Z104" s="325">
        <v>131.9</v>
      </c>
      <c r="AA104" s="325">
        <v>131.9</v>
      </c>
      <c r="AB104" s="325">
        <v>131.9</v>
      </c>
      <c r="AC104" s="326">
        <v>131.9</v>
      </c>
      <c r="AD104" s="46"/>
      <c r="AE104" s="46"/>
      <c r="AL104" s="46"/>
      <c r="AM104" s="46"/>
      <c r="AN104" s="46"/>
      <c r="AO104" s="46"/>
      <c r="AP104" s="46"/>
      <c r="AQ104" s="46"/>
      <c r="AR104" s="46"/>
      <c r="AS104" s="46"/>
      <c r="AT104" s="46"/>
      <c r="AU104" s="46"/>
      <c r="AV104" s="46"/>
      <c r="AW104" s="46"/>
      <c r="AX104" s="46"/>
      <c r="AY104" s="46"/>
      <c r="AZ104" s="46"/>
      <c r="BA104" s="46"/>
      <c r="BB104" s="46"/>
      <c r="BC104" s="46"/>
      <c r="BD104" s="46"/>
    </row>
    <row r="105" spans="1:56" ht="27" customHeight="1" thickBot="1" x14ac:dyDescent="0.3">
      <c r="A105" s="523"/>
      <c r="B105" s="526"/>
      <c r="C105" s="529"/>
      <c r="D105" s="532"/>
      <c r="E105" s="327" t="s">
        <v>610</v>
      </c>
      <c r="F105" s="328">
        <v>131.9</v>
      </c>
      <c r="G105" s="328">
        <v>131.9</v>
      </c>
      <c r="H105" s="328">
        <v>131.9</v>
      </c>
      <c r="I105" s="328">
        <v>131.9</v>
      </c>
      <c r="J105" s="328">
        <v>131.9</v>
      </c>
      <c r="K105" s="328">
        <v>131.9</v>
      </c>
      <c r="L105" s="328">
        <v>131.9</v>
      </c>
      <c r="M105" s="328">
        <v>131.9</v>
      </c>
      <c r="N105" s="328">
        <v>131.9</v>
      </c>
      <c r="O105" s="328">
        <v>131.9</v>
      </c>
      <c r="P105" s="328">
        <v>131.9</v>
      </c>
      <c r="Q105" s="328">
        <v>131.9</v>
      </c>
      <c r="R105" s="328">
        <v>131.9</v>
      </c>
      <c r="S105" s="328">
        <v>131.9</v>
      </c>
      <c r="T105" s="328">
        <v>131.9</v>
      </c>
      <c r="U105" s="328">
        <v>131.9</v>
      </c>
      <c r="V105" s="328">
        <v>131.9</v>
      </c>
      <c r="W105" s="328">
        <v>131.9</v>
      </c>
      <c r="X105" s="328">
        <v>131.9</v>
      </c>
      <c r="Y105" s="328">
        <v>131.9</v>
      </c>
      <c r="Z105" s="328">
        <v>131.9</v>
      </c>
      <c r="AA105" s="328">
        <v>131.9</v>
      </c>
      <c r="AB105" s="328">
        <v>131.9</v>
      </c>
      <c r="AC105" s="329">
        <v>131.9</v>
      </c>
      <c r="AD105" s="46"/>
      <c r="AE105" s="46"/>
      <c r="AL105" s="46"/>
      <c r="AM105" s="46"/>
      <c r="AN105" s="46"/>
      <c r="AO105" s="46"/>
      <c r="AP105" s="46"/>
      <c r="AQ105" s="46"/>
      <c r="AR105" s="46"/>
      <c r="AS105" s="46"/>
      <c r="AT105" s="46"/>
      <c r="AU105" s="46"/>
      <c r="AV105" s="46"/>
      <c r="AW105" s="46"/>
      <c r="AX105" s="46"/>
      <c r="AY105" s="46"/>
      <c r="AZ105" s="46"/>
      <c r="BA105" s="46"/>
      <c r="BB105" s="46"/>
      <c r="BC105" s="46"/>
      <c r="BD105" s="46"/>
    </row>
    <row r="106" spans="1:56" ht="27" customHeight="1" x14ac:dyDescent="0.25">
      <c r="A106" s="533" t="s">
        <v>630</v>
      </c>
      <c r="B106" s="536" t="s">
        <v>624</v>
      </c>
      <c r="C106" s="606" t="s">
        <v>631</v>
      </c>
      <c r="D106" s="530" t="s">
        <v>628</v>
      </c>
      <c r="E106" s="330" t="s">
        <v>608</v>
      </c>
      <c r="F106" s="331">
        <v>117.2</v>
      </c>
      <c r="G106" s="331">
        <v>117.2</v>
      </c>
      <c r="H106" s="331">
        <v>117.2</v>
      </c>
      <c r="I106" s="331">
        <v>117.2</v>
      </c>
      <c r="J106" s="331">
        <v>117.2</v>
      </c>
      <c r="K106" s="331">
        <v>117.2</v>
      </c>
      <c r="L106" s="331">
        <v>117.2</v>
      </c>
      <c r="M106" s="331">
        <v>117.2</v>
      </c>
      <c r="N106" s="331">
        <v>117.2</v>
      </c>
      <c r="O106" s="331">
        <v>117.2</v>
      </c>
      <c r="P106" s="331">
        <v>117.2</v>
      </c>
      <c r="Q106" s="331">
        <v>117.2</v>
      </c>
      <c r="R106" s="331">
        <v>117.2</v>
      </c>
      <c r="S106" s="331">
        <v>117.2</v>
      </c>
      <c r="T106" s="331">
        <v>117.2</v>
      </c>
      <c r="U106" s="331">
        <v>117.2</v>
      </c>
      <c r="V106" s="331">
        <v>117.2</v>
      </c>
      <c r="W106" s="331">
        <v>117.2</v>
      </c>
      <c r="X106" s="331">
        <v>117.2</v>
      </c>
      <c r="Y106" s="331">
        <v>117.2</v>
      </c>
      <c r="Z106" s="331">
        <v>117.2</v>
      </c>
      <c r="AA106" s="331">
        <v>117.2</v>
      </c>
      <c r="AB106" s="331">
        <v>117.2</v>
      </c>
      <c r="AC106" s="332">
        <v>117.2</v>
      </c>
      <c r="AD106" s="46"/>
      <c r="AE106" s="46"/>
      <c r="AL106" s="46"/>
      <c r="AM106" s="46"/>
      <c r="AN106" s="46"/>
      <c r="AO106" s="46"/>
      <c r="AP106" s="46"/>
      <c r="AQ106" s="46"/>
      <c r="AR106" s="46"/>
      <c r="AS106" s="46"/>
      <c r="AT106" s="46"/>
      <c r="AU106" s="46"/>
      <c r="AV106" s="46"/>
      <c r="AW106" s="46"/>
      <c r="AX106" s="46"/>
      <c r="AY106" s="46"/>
      <c r="AZ106" s="46"/>
      <c r="BA106" s="46"/>
      <c r="BB106" s="46"/>
      <c r="BC106" s="46"/>
      <c r="BD106" s="46"/>
    </row>
    <row r="107" spans="1:56" ht="27" customHeight="1" x14ac:dyDescent="0.25">
      <c r="A107" s="534"/>
      <c r="B107" s="537"/>
      <c r="C107" s="528"/>
      <c r="D107" s="531"/>
      <c r="E107" s="316" t="s">
        <v>609</v>
      </c>
      <c r="F107" s="325">
        <v>117.2</v>
      </c>
      <c r="G107" s="325">
        <v>117.2</v>
      </c>
      <c r="H107" s="325">
        <v>117.2</v>
      </c>
      <c r="I107" s="325">
        <v>117.2</v>
      </c>
      <c r="J107" s="325">
        <v>117.2</v>
      </c>
      <c r="K107" s="325">
        <v>117.2</v>
      </c>
      <c r="L107" s="325">
        <v>117.2</v>
      </c>
      <c r="M107" s="325">
        <v>117.2</v>
      </c>
      <c r="N107" s="325">
        <v>117.2</v>
      </c>
      <c r="O107" s="325">
        <v>117.2</v>
      </c>
      <c r="P107" s="325">
        <v>117.2</v>
      </c>
      <c r="Q107" s="325">
        <v>117.2</v>
      </c>
      <c r="R107" s="325">
        <v>117.2</v>
      </c>
      <c r="S107" s="325">
        <v>117.2</v>
      </c>
      <c r="T107" s="325">
        <v>117.2</v>
      </c>
      <c r="U107" s="325">
        <v>117.2</v>
      </c>
      <c r="V107" s="325">
        <v>117.2</v>
      </c>
      <c r="W107" s="325">
        <v>117.2</v>
      </c>
      <c r="X107" s="325">
        <v>117.2</v>
      </c>
      <c r="Y107" s="325">
        <v>117.2</v>
      </c>
      <c r="Z107" s="325">
        <v>117.2</v>
      </c>
      <c r="AA107" s="325">
        <v>117.2</v>
      </c>
      <c r="AB107" s="325">
        <v>117.2</v>
      </c>
      <c r="AC107" s="326">
        <v>117.2</v>
      </c>
      <c r="AD107" s="46"/>
      <c r="AE107" s="46"/>
      <c r="AL107" s="46"/>
      <c r="AM107" s="46"/>
      <c r="AN107" s="46"/>
      <c r="AO107" s="46"/>
      <c r="AP107" s="46"/>
      <c r="AQ107" s="46"/>
      <c r="AR107" s="46"/>
      <c r="AS107" s="46"/>
      <c r="AT107" s="46"/>
      <c r="AU107" s="46"/>
      <c r="AV107" s="46"/>
      <c r="AW107" s="46"/>
      <c r="AX107" s="46"/>
      <c r="AY107" s="46"/>
      <c r="AZ107" s="46"/>
      <c r="BA107" s="46"/>
      <c r="BB107" s="46"/>
      <c r="BC107" s="46"/>
      <c r="BD107" s="46"/>
    </row>
    <row r="108" spans="1:56" ht="27" customHeight="1" thickBot="1" x14ac:dyDescent="0.3">
      <c r="A108" s="535"/>
      <c r="B108" s="538"/>
      <c r="C108" s="529"/>
      <c r="D108" s="532"/>
      <c r="E108" s="327" t="s">
        <v>610</v>
      </c>
      <c r="F108" s="328">
        <v>117.2</v>
      </c>
      <c r="G108" s="328">
        <v>117.2</v>
      </c>
      <c r="H108" s="328">
        <v>117.2</v>
      </c>
      <c r="I108" s="328">
        <v>117.2</v>
      </c>
      <c r="J108" s="328">
        <v>117.2</v>
      </c>
      <c r="K108" s="328">
        <v>117.2</v>
      </c>
      <c r="L108" s="328">
        <v>117.2</v>
      </c>
      <c r="M108" s="328">
        <v>117.2</v>
      </c>
      <c r="N108" s="328">
        <v>117.2</v>
      </c>
      <c r="O108" s="328">
        <v>117.2</v>
      </c>
      <c r="P108" s="328">
        <v>117.2</v>
      </c>
      <c r="Q108" s="328">
        <v>117.2</v>
      </c>
      <c r="R108" s="328">
        <v>117.2</v>
      </c>
      <c r="S108" s="328">
        <v>117.2</v>
      </c>
      <c r="T108" s="328">
        <v>117.2</v>
      </c>
      <c r="U108" s="328">
        <v>117.2</v>
      </c>
      <c r="V108" s="328">
        <v>117.2</v>
      </c>
      <c r="W108" s="328">
        <v>117.2</v>
      </c>
      <c r="X108" s="328">
        <v>117.2</v>
      </c>
      <c r="Y108" s="328">
        <v>117.2</v>
      </c>
      <c r="Z108" s="328">
        <v>117.2</v>
      </c>
      <c r="AA108" s="328">
        <v>117.2</v>
      </c>
      <c r="AB108" s="328">
        <v>117.2</v>
      </c>
      <c r="AC108" s="329">
        <v>117.2</v>
      </c>
      <c r="AD108" s="46"/>
      <c r="AE108" s="46"/>
      <c r="AL108" s="46"/>
      <c r="AM108" s="46"/>
      <c r="AN108" s="46"/>
      <c r="AO108" s="46"/>
      <c r="AP108" s="46"/>
      <c r="AQ108" s="46"/>
      <c r="AR108" s="46"/>
      <c r="AS108" s="46"/>
      <c r="AT108" s="46"/>
      <c r="AU108" s="46"/>
      <c r="AV108" s="46"/>
      <c r="AW108" s="46"/>
      <c r="AX108" s="46"/>
      <c r="AY108" s="46"/>
      <c r="AZ108" s="46"/>
      <c r="BA108" s="46"/>
      <c r="BB108" s="46"/>
      <c r="BC108" s="46"/>
      <c r="BD108" s="46"/>
    </row>
    <row r="109" spans="1:56" ht="27" customHeight="1" x14ac:dyDescent="0.25">
      <c r="A109" s="521" t="s">
        <v>632</v>
      </c>
      <c r="B109" s="524" t="s">
        <v>624</v>
      </c>
      <c r="C109" s="527" t="s">
        <v>633</v>
      </c>
      <c r="D109" s="530" t="s">
        <v>628</v>
      </c>
      <c r="E109" s="330" t="s">
        <v>608</v>
      </c>
      <c r="F109" s="331">
        <v>131.9</v>
      </c>
      <c r="G109" s="331">
        <v>131.9</v>
      </c>
      <c r="H109" s="331">
        <v>131.9</v>
      </c>
      <c r="I109" s="331">
        <v>131.9</v>
      </c>
      <c r="J109" s="331">
        <v>131.9</v>
      </c>
      <c r="K109" s="331">
        <v>131.9</v>
      </c>
      <c r="L109" s="331">
        <v>131.9</v>
      </c>
      <c r="M109" s="331">
        <v>131.9</v>
      </c>
      <c r="N109" s="331">
        <v>131.9</v>
      </c>
      <c r="O109" s="331">
        <v>131.9</v>
      </c>
      <c r="P109" s="331">
        <v>131.9</v>
      </c>
      <c r="Q109" s="331">
        <v>131.9</v>
      </c>
      <c r="R109" s="331">
        <v>131.9</v>
      </c>
      <c r="S109" s="331">
        <v>131.9</v>
      </c>
      <c r="T109" s="331">
        <v>131.9</v>
      </c>
      <c r="U109" s="331">
        <v>131.9</v>
      </c>
      <c r="V109" s="331">
        <v>131.9</v>
      </c>
      <c r="W109" s="331">
        <v>131.9</v>
      </c>
      <c r="X109" s="331">
        <v>131.9</v>
      </c>
      <c r="Y109" s="331">
        <v>131.9</v>
      </c>
      <c r="Z109" s="331">
        <v>131.9</v>
      </c>
      <c r="AA109" s="331">
        <v>131.9</v>
      </c>
      <c r="AB109" s="331">
        <v>131.9</v>
      </c>
      <c r="AC109" s="332">
        <v>131.9</v>
      </c>
      <c r="AD109" s="46"/>
      <c r="AE109" s="46"/>
      <c r="AL109" s="46"/>
      <c r="AM109" s="46"/>
      <c r="AN109" s="46"/>
      <c r="AO109" s="46"/>
      <c r="AP109" s="46"/>
      <c r="AQ109" s="46"/>
      <c r="AR109" s="46"/>
      <c r="AS109" s="46"/>
      <c r="AT109" s="46"/>
      <c r="AU109" s="46"/>
      <c r="AV109" s="46"/>
      <c r="AW109" s="46"/>
      <c r="AX109" s="46"/>
      <c r="AY109" s="46"/>
      <c r="AZ109" s="46"/>
      <c r="BA109" s="46"/>
      <c r="BB109" s="46"/>
      <c r="BC109" s="46"/>
      <c r="BD109" s="46"/>
    </row>
    <row r="110" spans="1:56" ht="27" customHeight="1" x14ac:dyDescent="0.25">
      <c r="A110" s="522"/>
      <c r="B110" s="525"/>
      <c r="C110" s="528"/>
      <c r="D110" s="531"/>
      <c r="E110" s="316" t="s">
        <v>609</v>
      </c>
      <c r="F110" s="325">
        <v>131.9</v>
      </c>
      <c r="G110" s="325">
        <v>131.9</v>
      </c>
      <c r="H110" s="325">
        <v>131.9</v>
      </c>
      <c r="I110" s="325">
        <v>131.9</v>
      </c>
      <c r="J110" s="325">
        <v>131.9</v>
      </c>
      <c r="K110" s="325">
        <v>131.9</v>
      </c>
      <c r="L110" s="325">
        <v>131.9</v>
      </c>
      <c r="M110" s="325">
        <v>131.9</v>
      </c>
      <c r="N110" s="325">
        <v>131.9</v>
      </c>
      <c r="O110" s="325">
        <v>131.9</v>
      </c>
      <c r="P110" s="325">
        <v>131.9</v>
      </c>
      <c r="Q110" s="325">
        <v>131.9</v>
      </c>
      <c r="R110" s="325">
        <v>131.9</v>
      </c>
      <c r="S110" s="325">
        <v>131.9</v>
      </c>
      <c r="T110" s="325">
        <v>131.9</v>
      </c>
      <c r="U110" s="325">
        <v>131.9</v>
      </c>
      <c r="V110" s="325">
        <v>131.9</v>
      </c>
      <c r="W110" s="325">
        <v>131.9</v>
      </c>
      <c r="X110" s="325">
        <v>131.9</v>
      </c>
      <c r="Y110" s="325">
        <v>131.9</v>
      </c>
      <c r="Z110" s="325">
        <v>131.9</v>
      </c>
      <c r="AA110" s="325">
        <v>131.9</v>
      </c>
      <c r="AB110" s="325">
        <v>131.9</v>
      </c>
      <c r="AC110" s="326">
        <v>131.9</v>
      </c>
      <c r="AD110" s="46"/>
      <c r="AE110" s="46"/>
      <c r="AL110" s="46"/>
      <c r="AM110" s="46"/>
      <c r="AN110" s="46"/>
      <c r="AO110" s="46"/>
      <c r="AP110" s="46"/>
      <c r="AQ110" s="46"/>
      <c r="AR110" s="46"/>
      <c r="AS110" s="46"/>
      <c r="AT110" s="46"/>
      <c r="AU110" s="46"/>
      <c r="AV110" s="46"/>
      <c r="AW110" s="46"/>
      <c r="AX110" s="46"/>
      <c r="AY110" s="46"/>
      <c r="AZ110" s="46"/>
      <c r="BA110" s="46"/>
      <c r="BB110" s="46"/>
      <c r="BC110" s="46"/>
      <c r="BD110" s="46"/>
    </row>
    <row r="111" spans="1:56" ht="27" customHeight="1" thickBot="1" x14ac:dyDescent="0.3">
      <c r="A111" s="523"/>
      <c r="B111" s="526"/>
      <c r="C111" s="529"/>
      <c r="D111" s="532"/>
      <c r="E111" s="327" t="s">
        <v>610</v>
      </c>
      <c r="F111" s="328">
        <v>131.9</v>
      </c>
      <c r="G111" s="328">
        <v>131.9</v>
      </c>
      <c r="H111" s="328">
        <v>131.9</v>
      </c>
      <c r="I111" s="328">
        <v>131.9</v>
      </c>
      <c r="J111" s="328">
        <v>131.9</v>
      </c>
      <c r="K111" s="328">
        <v>131.9</v>
      </c>
      <c r="L111" s="328">
        <v>131.9</v>
      </c>
      <c r="M111" s="328">
        <v>131.9</v>
      </c>
      <c r="N111" s="328">
        <v>131.9</v>
      </c>
      <c r="O111" s="328">
        <v>131.9</v>
      </c>
      <c r="P111" s="328">
        <v>131.9</v>
      </c>
      <c r="Q111" s="328">
        <v>131.9</v>
      </c>
      <c r="R111" s="328">
        <v>131.9</v>
      </c>
      <c r="S111" s="328">
        <v>131.9</v>
      </c>
      <c r="T111" s="328">
        <v>131.9</v>
      </c>
      <c r="U111" s="328">
        <v>131.9</v>
      </c>
      <c r="V111" s="328">
        <v>131.9</v>
      </c>
      <c r="W111" s="328">
        <v>131.9</v>
      </c>
      <c r="X111" s="328">
        <v>131.9</v>
      </c>
      <c r="Y111" s="328">
        <v>131.9</v>
      </c>
      <c r="Z111" s="328">
        <v>131.9</v>
      </c>
      <c r="AA111" s="328">
        <v>131.9</v>
      </c>
      <c r="AB111" s="328">
        <v>131.9</v>
      </c>
      <c r="AC111" s="329">
        <v>131.9</v>
      </c>
      <c r="AD111" s="46"/>
      <c r="AE111" s="46"/>
      <c r="AL111" s="46"/>
      <c r="AM111" s="46"/>
      <c r="AN111" s="46"/>
      <c r="AO111" s="46"/>
      <c r="AP111" s="46"/>
      <c r="AQ111" s="46"/>
      <c r="AR111" s="46"/>
      <c r="AS111" s="46"/>
      <c r="AT111" s="46"/>
      <c r="AU111" s="46"/>
      <c r="AV111" s="46"/>
      <c r="AW111" s="46"/>
      <c r="AX111" s="46"/>
      <c r="AY111" s="46"/>
      <c r="AZ111" s="46"/>
      <c r="BA111" s="46"/>
      <c r="BB111" s="46"/>
      <c r="BC111" s="46"/>
      <c r="BD111" s="46"/>
    </row>
    <row r="112" spans="1:56" ht="27" customHeight="1" x14ac:dyDescent="0.25">
      <c r="A112" s="521" t="s">
        <v>634</v>
      </c>
      <c r="B112" s="524" t="s">
        <v>624</v>
      </c>
      <c r="C112" s="527" t="s">
        <v>635</v>
      </c>
      <c r="D112" s="530" t="s">
        <v>628</v>
      </c>
      <c r="E112" s="330" t="s">
        <v>608</v>
      </c>
      <c r="F112" s="331">
        <v>146.5</v>
      </c>
      <c r="G112" s="331">
        <v>146.5</v>
      </c>
      <c r="H112" s="331">
        <v>146.5</v>
      </c>
      <c r="I112" s="331">
        <v>146.5</v>
      </c>
      <c r="J112" s="331">
        <v>146.5</v>
      </c>
      <c r="K112" s="331">
        <v>146.5</v>
      </c>
      <c r="L112" s="331">
        <v>146.5</v>
      </c>
      <c r="M112" s="331">
        <v>146.5</v>
      </c>
      <c r="N112" s="331">
        <v>146.5</v>
      </c>
      <c r="O112" s="331">
        <v>146.5</v>
      </c>
      <c r="P112" s="331">
        <v>146.5</v>
      </c>
      <c r="Q112" s="331">
        <v>146.5</v>
      </c>
      <c r="R112" s="331">
        <v>146.5</v>
      </c>
      <c r="S112" s="331">
        <v>146.5</v>
      </c>
      <c r="T112" s="331">
        <v>146.5</v>
      </c>
      <c r="U112" s="331">
        <v>146.5</v>
      </c>
      <c r="V112" s="331">
        <v>146.5</v>
      </c>
      <c r="W112" s="331">
        <v>146.5</v>
      </c>
      <c r="X112" s="331">
        <v>146.5</v>
      </c>
      <c r="Y112" s="331">
        <v>146.5</v>
      </c>
      <c r="Z112" s="331">
        <v>146.5</v>
      </c>
      <c r="AA112" s="331">
        <v>146.5</v>
      </c>
      <c r="AB112" s="331">
        <v>146.5</v>
      </c>
      <c r="AC112" s="332">
        <v>146.5</v>
      </c>
      <c r="AD112" s="46"/>
      <c r="AE112" s="46"/>
      <c r="AL112" s="46"/>
      <c r="AM112" s="46"/>
      <c r="AN112" s="46"/>
      <c r="AO112" s="46"/>
      <c r="AP112" s="46"/>
      <c r="AQ112" s="46"/>
      <c r="AR112" s="46"/>
      <c r="AS112" s="46"/>
      <c r="AT112" s="46"/>
      <c r="AU112" s="46"/>
      <c r="AV112" s="46"/>
      <c r="AW112" s="46"/>
      <c r="AX112" s="46"/>
      <c r="AY112" s="46"/>
      <c r="AZ112" s="46"/>
      <c r="BA112" s="46"/>
      <c r="BB112" s="46"/>
      <c r="BC112" s="46"/>
      <c r="BD112" s="46"/>
    </row>
    <row r="113" spans="1:56" ht="27" customHeight="1" x14ac:dyDescent="0.25">
      <c r="A113" s="522"/>
      <c r="B113" s="525"/>
      <c r="C113" s="528"/>
      <c r="D113" s="531"/>
      <c r="E113" s="316" t="s">
        <v>609</v>
      </c>
      <c r="F113" s="325">
        <v>146.5</v>
      </c>
      <c r="G113" s="325">
        <v>146.5</v>
      </c>
      <c r="H113" s="325">
        <v>146.5</v>
      </c>
      <c r="I113" s="325">
        <v>146.5</v>
      </c>
      <c r="J113" s="325">
        <v>146.5</v>
      </c>
      <c r="K113" s="325">
        <v>146.5</v>
      </c>
      <c r="L113" s="325">
        <v>146.5</v>
      </c>
      <c r="M113" s="325">
        <v>146.5</v>
      </c>
      <c r="N113" s="325">
        <v>146.5</v>
      </c>
      <c r="O113" s="325">
        <v>146.5</v>
      </c>
      <c r="P113" s="325">
        <v>146.5</v>
      </c>
      <c r="Q113" s="325">
        <v>146.5</v>
      </c>
      <c r="R113" s="325">
        <v>146.5</v>
      </c>
      <c r="S113" s="325">
        <v>146.5</v>
      </c>
      <c r="T113" s="325">
        <v>146.5</v>
      </c>
      <c r="U113" s="325">
        <v>146.5</v>
      </c>
      <c r="V113" s="325">
        <v>146.5</v>
      </c>
      <c r="W113" s="325">
        <v>146.5</v>
      </c>
      <c r="X113" s="325">
        <v>146.5</v>
      </c>
      <c r="Y113" s="325">
        <v>146.5</v>
      </c>
      <c r="Z113" s="325">
        <v>146.5</v>
      </c>
      <c r="AA113" s="325">
        <v>146.5</v>
      </c>
      <c r="AB113" s="325">
        <v>146.5</v>
      </c>
      <c r="AC113" s="326">
        <v>146.5</v>
      </c>
      <c r="AD113" s="46"/>
      <c r="AE113" s="46"/>
      <c r="AL113" s="46"/>
      <c r="AM113" s="46"/>
      <c r="AN113" s="46"/>
      <c r="AO113" s="46"/>
      <c r="AP113" s="46"/>
      <c r="AQ113" s="46"/>
      <c r="AR113" s="46"/>
      <c r="AS113" s="46"/>
      <c r="AT113" s="46"/>
      <c r="AU113" s="46"/>
      <c r="AV113" s="46"/>
      <c r="AW113" s="46"/>
      <c r="AX113" s="46"/>
      <c r="AY113" s="46"/>
      <c r="AZ113" s="46"/>
      <c r="BA113" s="46"/>
      <c r="BB113" s="46"/>
      <c r="BC113" s="46"/>
      <c r="BD113" s="46"/>
    </row>
    <row r="114" spans="1:56" ht="27" customHeight="1" thickBot="1" x14ac:dyDescent="0.3">
      <c r="A114" s="523"/>
      <c r="B114" s="526"/>
      <c r="C114" s="529"/>
      <c r="D114" s="532"/>
      <c r="E114" s="327" t="s">
        <v>610</v>
      </c>
      <c r="F114" s="328">
        <v>146.5</v>
      </c>
      <c r="G114" s="328">
        <v>146.5</v>
      </c>
      <c r="H114" s="328">
        <v>146.5</v>
      </c>
      <c r="I114" s="328">
        <v>146.5</v>
      </c>
      <c r="J114" s="328">
        <v>146.5</v>
      </c>
      <c r="K114" s="328">
        <v>146.5</v>
      </c>
      <c r="L114" s="328">
        <v>146.5</v>
      </c>
      <c r="M114" s="328">
        <v>146.5</v>
      </c>
      <c r="N114" s="328">
        <v>146.5</v>
      </c>
      <c r="O114" s="328">
        <v>146.5</v>
      </c>
      <c r="P114" s="328">
        <v>146.5</v>
      </c>
      <c r="Q114" s="328">
        <v>146.5</v>
      </c>
      <c r="R114" s="328">
        <v>146.5</v>
      </c>
      <c r="S114" s="328">
        <v>146.5</v>
      </c>
      <c r="T114" s="328">
        <v>146.5</v>
      </c>
      <c r="U114" s="328">
        <v>146.5</v>
      </c>
      <c r="V114" s="328">
        <v>146.5</v>
      </c>
      <c r="W114" s="328">
        <v>146.5</v>
      </c>
      <c r="X114" s="328">
        <v>146.5</v>
      </c>
      <c r="Y114" s="328">
        <v>146.5</v>
      </c>
      <c r="Z114" s="328">
        <v>146.5</v>
      </c>
      <c r="AA114" s="328">
        <v>146.5</v>
      </c>
      <c r="AB114" s="328">
        <v>146.5</v>
      </c>
      <c r="AC114" s="329">
        <v>146.5</v>
      </c>
      <c r="AD114" s="46"/>
      <c r="AE114" s="46"/>
      <c r="AL114" s="46"/>
      <c r="AM114" s="46"/>
      <c r="AN114" s="46"/>
      <c r="AO114" s="46"/>
      <c r="AP114" s="46"/>
      <c r="AQ114" s="46"/>
      <c r="AR114" s="46"/>
      <c r="AS114" s="46"/>
      <c r="AT114" s="46"/>
      <c r="AU114" s="46"/>
      <c r="AV114" s="46"/>
      <c r="AW114" s="46"/>
      <c r="AX114" s="46"/>
      <c r="AY114" s="46"/>
      <c r="AZ114" s="46"/>
      <c r="BA114" s="46"/>
      <c r="BB114" s="46"/>
      <c r="BC114" s="46"/>
      <c r="BD114" s="46"/>
    </row>
    <row r="116" spans="1:56" x14ac:dyDescent="0.25">
      <c r="A116" s="358" t="s">
        <v>175</v>
      </c>
      <c r="B116" s="358"/>
      <c r="C116" s="358"/>
      <c r="D116" s="358" t="s">
        <v>636</v>
      </c>
      <c r="E116" s="358" t="s">
        <v>636</v>
      </c>
      <c r="F116" s="358" t="s">
        <v>636</v>
      </c>
      <c r="G116" s="358" t="s">
        <v>636</v>
      </c>
      <c r="H116" s="358" t="s">
        <v>636</v>
      </c>
      <c r="I116" s="358" t="s">
        <v>636</v>
      </c>
      <c r="J116" s="358" t="s">
        <v>636</v>
      </c>
      <c r="K116" s="358" t="s">
        <v>636</v>
      </c>
      <c r="L116" s="358" t="s">
        <v>636</v>
      </c>
      <c r="M116" s="358" t="s">
        <v>636</v>
      </c>
      <c r="N116" s="358" t="s">
        <v>636</v>
      </c>
      <c r="O116" s="358" t="s">
        <v>636</v>
      </c>
      <c r="P116" s="358" t="s">
        <v>636</v>
      </c>
      <c r="Q116" s="358" t="s">
        <v>636</v>
      </c>
      <c r="R116" s="358" t="s">
        <v>636</v>
      </c>
      <c r="S116" s="358" t="s">
        <v>636</v>
      </c>
      <c r="T116" s="358" t="s">
        <v>636</v>
      </c>
      <c r="U116" s="358" t="s">
        <v>636</v>
      </c>
      <c r="V116" s="358" t="s">
        <v>636</v>
      </c>
      <c r="W116" s="358" t="s">
        <v>636</v>
      </c>
      <c r="X116" s="358" t="s">
        <v>636</v>
      </c>
      <c r="Y116" s="358" t="s">
        <v>636</v>
      </c>
      <c r="Z116" s="358" t="s">
        <v>636</v>
      </c>
      <c r="AA116" s="358" t="s">
        <v>636</v>
      </c>
      <c r="AB116" s="358" t="s">
        <v>636</v>
      </c>
      <c r="AC116" s="358" t="s">
        <v>636</v>
      </c>
      <c r="AD116" s="358" t="s">
        <v>636</v>
      </c>
      <c r="AE116" s="358" t="s">
        <v>636</v>
      </c>
      <c r="AF116" s="358" t="s">
        <v>636</v>
      </c>
      <c r="AG116" s="358" t="s">
        <v>636</v>
      </c>
      <c r="AH116" s="358" t="s">
        <v>636</v>
      </c>
      <c r="AI116" s="358" t="s">
        <v>636</v>
      </c>
      <c r="AJ116" s="358" t="s">
        <v>636</v>
      </c>
      <c r="AK116" s="358" t="s">
        <v>636</v>
      </c>
      <c r="AL116" s="358" t="s">
        <v>636</v>
      </c>
      <c r="AM116" s="358" t="s">
        <v>636</v>
      </c>
    </row>
  </sheetData>
  <mergeCells count="154">
    <mergeCell ref="A62:A64"/>
    <mergeCell ref="A59:A61"/>
    <mergeCell ref="A81:A83"/>
    <mergeCell ref="B81:B83"/>
    <mergeCell ref="C81:C83"/>
    <mergeCell ref="D81:D83"/>
    <mergeCell ref="A66:A68"/>
    <mergeCell ref="B66:B68"/>
    <mergeCell ref="C66:C68"/>
    <mergeCell ref="D66:D68"/>
    <mergeCell ref="A69:A71"/>
    <mergeCell ref="D59:D61"/>
    <mergeCell ref="D62:D64"/>
    <mergeCell ref="B62:B64"/>
    <mergeCell ref="B69:B71"/>
    <mergeCell ref="C69:C71"/>
    <mergeCell ref="D69:D71"/>
    <mergeCell ref="A72:A74"/>
    <mergeCell ref="B72:B74"/>
    <mergeCell ref="C72:C74"/>
    <mergeCell ref="D72:D74"/>
    <mergeCell ref="A65:AC65"/>
    <mergeCell ref="A75:A77"/>
    <mergeCell ref="B75:B77"/>
    <mergeCell ref="A106:A108"/>
    <mergeCell ref="B106:B108"/>
    <mergeCell ref="C106:C108"/>
    <mergeCell ref="D106:D108"/>
    <mergeCell ref="A112:A114"/>
    <mergeCell ref="B112:B114"/>
    <mergeCell ref="C112:C114"/>
    <mergeCell ref="D112:D114"/>
    <mergeCell ref="A109:A111"/>
    <mergeCell ref="B109:B111"/>
    <mergeCell ref="C109:C111"/>
    <mergeCell ref="D109:D111"/>
    <mergeCell ref="D2:D3"/>
    <mergeCell ref="C25:C27"/>
    <mergeCell ref="C28:C30"/>
    <mergeCell ref="C31:C33"/>
    <mergeCell ref="C13:C15"/>
    <mergeCell ref="C16:C18"/>
    <mergeCell ref="C19:C21"/>
    <mergeCell ref="C22:C24"/>
    <mergeCell ref="B38:B40"/>
    <mergeCell ref="D19:D21"/>
    <mergeCell ref="D22:D24"/>
    <mergeCell ref="C10:C12"/>
    <mergeCell ref="C4:C6"/>
    <mergeCell ref="C7:C9"/>
    <mergeCell ref="B28:B30"/>
    <mergeCell ref="B31:B33"/>
    <mergeCell ref="B13:B15"/>
    <mergeCell ref="D31:D33"/>
    <mergeCell ref="D28:D30"/>
    <mergeCell ref="C62:C64"/>
    <mergeCell ref="C56:C58"/>
    <mergeCell ref="C59:C61"/>
    <mergeCell ref="C47:C49"/>
    <mergeCell ref="C53:C55"/>
    <mergeCell ref="C44:C46"/>
    <mergeCell ref="C41:C43"/>
    <mergeCell ref="D47:D49"/>
    <mergeCell ref="D53:D55"/>
    <mergeCell ref="B59:B61"/>
    <mergeCell ref="B35:B37"/>
    <mergeCell ref="B2:B3"/>
    <mergeCell ref="A1:AC1"/>
    <mergeCell ref="B4:B6"/>
    <mergeCell ref="B7:B9"/>
    <mergeCell ref="B10:B12"/>
    <mergeCell ref="B16:B18"/>
    <mergeCell ref="B19:B21"/>
    <mergeCell ref="B22:B24"/>
    <mergeCell ref="B25:B27"/>
    <mergeCell ref="C2:C3"/>
    <mergeCell ref="F2:AC2"/>
    <mergeCell ref="E2:E3"/>
    <mergeCell ref="D4:D6"/>
    <mergeCell ref="D7:D9"/>
    <mergeCell ref="D10:D12"/>
    <mergeCell ref="D13:D15"/>
    <mergeCell ref="D25:D27"/>
    <mergeCell ref="D16:D18"/>
    <mergeCell ref="C35:C37"/>
    <mergeCell ref="C38:C40"/>
    <mergeCell ref="A2:A3"/>
    <mergeCell ref="A4:A6"/>
    <mergeCell ref="A7:A9"/>
    <mergeCell ref="A10:A12"/>
    <mergeCell ref="A13:A15"/>
    <mergeCell ref="A31:A33"/>
    <mergeCell ref="A35:A37"/>
    <mergeCell ref="A16:A18"/>
    <mergeCell ref="A19:A21"/>
    <mergeCell ref="A22:A24"/>
    <mergeCell ref="A25:A27"/>
    <mergeCell ref="A28:A30"/>
    <mergeCell ref="A44:A46"/>
    <mergeCell ref="A47:A49"/>
    <mergeCell ref="A34:AC34"/>
    <mergeCell ref="A53:A55"/>
    <mergeCell ref="A56:A58"/>
    <mergeCell ref="D38:D40"/>
    <mergeCell ref="A38:A40"/>
    <mergeCell ref="D41:D43"/>
    <mergeCell ref="A50:A52"/>
    <mergeCell ref="B50:B52"/>
    <mergeCell ref="C50:C52"/>
    <mergeCell ref="D50:D52"/>
    <mergeCell ref="D44:D46"/>
    <mergeCell ref="D35:D37"/>
    <mergeCell ref="D56:D58"/>
    <mergeCell ref="B44:B46"/>
    <mergeCell ref="B47:B49"/>
    <mergeCell ref="B53:B55"/>
    <mergeCell ref="B56:B58"/>
    <mergeCell ref="A41:A43"/>
    <mergeCell ref="B41:B43"/>
    <mergeCell ref="C75:C77"/>
    <mergeCell ref="D75:D77"/>
    <mergeCell ref="A78:A80"/>
    <mergeCell ref="B78:B80"/>
    <mergeCell ref="C78:C80"/>
    <mergeCell ref="D78:D80"/>
    <mergeCell ref="D94:D96"/>
    <mergeCell ref="A84:A86"/>
    <mergeCell ref="B84:B86"/>
    <mergeCell ref="C84:C86"/>
    <mergeCell ref="D84:D86"/>
    <mergeCell ref="A87:A89"/>
    <mergeCell ref="B87:B89"/>
    <mergeCell ref="C87:C89"/>
    <mergeCell ref="D87:D89"/>
    <mergeCell ref="A90:AC90"/>
    <mergeCell ref="A91:A93"/>
    <mergeCell ref="B91:B93"/>
    <mergeCell ref="C91:C93"/>
    <mergeCell ref="D91:D93"/>
    <mergeCell ref="A94:A96"/>
    <mergeCell ref="B94:B96"/>
    <mergeCell ref="C94:C96"/>
    <mergeCell ref="A97:A99"/>
    <mergeCell ref="B97:B99"/>
    <mergeCell ref="C97:C99"/>
    <mergeCell ref="D97:D99"/>
    <mergeCell ref="A103:A105"/>
    <mergeCell ref="B103:B105"/>
    <mergeCell ref="C103:C105"/>
    <mergeCell ref="D103:D105"/>
    <mergeCell ref="A100:A102"/>
    <mergeCell ref="B100:B102"/>
    <mergeCell ref="C100:C102"/>
    <mergeCell ref="D100:D10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G25"/>
  <sheetViews>
    <sheetView zoomScaleNormal="100" workbookViewId="0">
      <selection sqref="A1:E1"/>
    </sheetView>
  </sheetViews>
  <sheetFormatPr defaultColWidth="8.7109375" defaultRowHeight="12.75" x14ac:dyDescent="0.2"/>
  <cols>
    <col min="1" max="1" width="28.7109375" style="4" customWidth="1"/>
    <col min="2" max="2" width="15.42578125" style="4" customWidth="1"/>
    <col min="3" max="3" width="19.28515625" style="4" customWidth="1"/>
    <col min="4" max="5" width="18.28515625" style="4" customWidth="1"/>
    <col min="6" max="8" width="13.7109375" style="4" customWidth="1"/>
    <col min="9" max="9" width="10.7109375" style="4" customWidth="1"/>
    <col min="10" max="11" width="8.7109375" style="4"/>
    <col min="12" max="12" width="13.7109375" style="4" customWidth="1"/>
    <col min="13" max="15" width="8.7109375" style="4"/>
    <col min="16" max="16" width="12.42578125" style="4" customWidth="1"/>
    <col min="17" max="16384" width="8.7109375" style="4"/>
  </cols>
  <sheetData>
    <row r="1" spans="1:5" ht="27" customHeight="1" x14ac:dyDescent="0.2">
      <c r="A1" s="400" t="str">
        <f>"Energy Consumption - "&amp;Prototype!A2</f>
        <v>Energy Consumption - ApartmentHighRise</v>
      </c>
      <c r="B1" s="400"/>
      <c r="C1" s="400"/>
      <c r="D1" s="400"/>
      <c r="E1" s="400"/>
    </row>
    <row r="2" spans="1:5" ht="39.6" customHeight="1" x14ac:dyDescent="0.2">
      <c r="A2" s="42" t="s">
        <v>6</v>
      </c>
      <c r="B2" s="50" t="s">
        <v>637</v>
      </c>
      <c r="C2" s="50" t="s">
        <v>638</v>
      </c>
      <c r="D2" s="50" t="s">
        <v>639</v>
      </c>
      <c r="E2" s="50" t="s">
        <v>640</v>
      </c>
    </row>
    <row r="3" spans="1:5" ht="19.149999999999999" customHeight="1" x14ac:dyDescent="0.2">
      <c r="A3" s="618" t="str">
        <f>Prototype!A2</f>
        <v>ApartmentHighRise</v>
      </c>
      <c r="B3" s="40">
        <v>1</v>
      </c>
      <c r="C3" s="51"/>
      <c r="D3" s="45"/>
      <c r="E3" s="45"/>
    </row>
    <row r="4" spans="1:5" ht="19.149999999999999" customHeight="1" x14ac:dyDescent="0.2">
      <c r="A4" s="619"/>
      <c r="B4" s="40">
        <v>2</v>
      </c>
      <c r="C4" s="51"/>
      <c r="D4" s="45"/>
      <c r="E4" s="45"/>
    </row>
    <row r="5" spans="1:5" ht="19.149999999999999" customHeight="1" x14ac:dyDescent="0.2">
      <c r="A5" s="619"/>
      <c r="B5" s="40">
        <v>3</v>
      </c>
      <c r="C5" s="51"/>
      <c r="D5" s="45"/>
      <c r="E5" s="45"/>
    </row>
    <row r="6" spans="1:5" ht="19.149999999999999" customHeight="1" x14ac:dyDescent="0.2">
      <c r="A6" s="619"/>
      <c r="B6" s="40">
        <v>4</v>
      </c>
      <c r="C6" s="51"/>
      <c r="D6" s="45"/>
      <c r="E6" s="45"/>
    </row>
    <row r="7" spans="1:5" ht="19.149999999999999" customHeight="1" x14ac:dyDescent="0.2">
      <c r="A7" s="619"/>
      <c r="B7" s="40">
        <v>5</v>
      </c>
      <c r="C7" s="51"/>
      <c r="D7" s="45"/>
      <c r="E7" s="45"/>
    </row>
    <row r="8" spans="1:5" ht="19.149999999999999" customHeight="1" x14ac:dyDescent="0.2">
      <c r="A8" s="619"/>
      <c r="B8" s="40">
        <v>6</v>
      </c>
      <c r="C8" s="51"/>
      <c r="D8" s="45"/>
      <c r="E8" s="45"/>
    </row>
    <row r="9" spans="1:5" ht="19.149999999999999" customHeight="1" x14ac:dyDescent="0.2">
      <c r="A9" s="619"/>
      <c r="B9" s="40">
        <v>7</v>
      </c>
      <c r="C9" s="51"/>
      <c r="D9" s="45"/>
      <c r="E9" s="45"/>
    </row>
    <row r="10" spans="1:5" ht="19.149999999999999" customHeight="1" x14ac:dyDescent="0.2">
      <c r="A10" s="619"/>
      <c r="B10" s="40">
        <v>8</v>
      </c>
      <c r="C10" s="51"/>
      <c r="D10" s="45"/>
      <c r="E10" s="45"/>
    </row>
    <row r="11" spans="1:5" ht="19.149999999999999" customHeight="1" x14ac:dyDescent="0.2">
      <c r="A11" s="619"/>
      <c r="B11" s="40">
        <v>9</v>
      </c>
      <c r="C11" s="51"/>
      <c r="D11" s="45"/>
      <c r="E11" s="45"/>
    </row>
    <row r="12" spans="1:5" ht="19.149999999999999" customHeight="1" x14ac:dyDescent="0.2">
      <c r="A12" s="619"/>
      <c r="B12" s="40">
        <v>10</v>
      </c>
      <c r="C12" s="51"/>
      <c r="D12" s="45"/>
      <c r="E12" s="45"/>
    </row>
    <row r="13" spans="1:5" ht="19.149999999999999" customHeight="1" x14ac:dyDescent="0.2">
      <c r="A13" s="619"/>
      <c r="B13" s="40">
        <v>11</v>
      </c>
      <c r="C13" s="51"/>
      <c r="D13" s="45"/>
      <c r="E13" s="45"/>
    </row>
    <row r="14" spans="1:5" ht="19.149999999999999" customHeight="1" x14ac:dyDescent="0.2">
      <c r="A14" s="619"/>
      <c r="B14" s="40">
        <v>12</v>
      </c>
      <c r="C14" s="51"/>
      <c r="D14" s="45"/>
      <c r="E14" s="45"/>
    </row>
    <row r="15" spans="1:5" ht="19.149999999999999" customHeight="1" x14ac:dyDescent="0.2">
      <c r="A15" s="619"/>
      <c r="B15" s="40">
        <v>13</v>
      </c>
      <c r="C15" s="51"/>
      <c r="D15" s="45"/>
      <c r="E15" s="45"/>
    </row>
    <row r="16" spans="1:5" ht="19.149999999999999" customHeight="1" x14ac:dyDescent="0.2">
      <c r="A16" s="619"/>
      <c r="B16" s="40">
        <v>14</v>
      </c>
      <c r="C16" s="51"/>
      <c r="D16" s="45"/>
      <c r="E16" s="45"/>
    </row>
    <row r="17" spans="1:7" ht="19.149999999999999" customHeight="1" x14ac:dyDescent="0.2">
      <c r="A17" s="619"/>
      <c r="B17" s="40">
        <v>15</v>
      </c>
      <c r="C17" s="51"/>
      <c r="D17" s="45"/>
      <c r="E17" s="45"/>
    </row>
    <row r="18" spans="1:7" ht="19.149999999999999" customHeight="1" x14ac:dyDescent="0.2">
      <c r="A18" s="620"/>
      <c r="B18" s="40">
        <v>16</v>
      </c>
      <c r="C18" s="51"/>
      <c r="D18" s="45"/>
      <c r="E18" s="45"/>
    </row>
    <row r="25" spans="1:7" s="25" customFormat="1" hidden="1" x14ac:dyDescent="0.2">
      <c r="A25" s="25" t="s">
        <v>175</v>
      </c>
      <c r="E25" s="26"/>
      <c r="F25" s="27"/>
      <c r="G25" s="28"/>
    </row>
  </sheetData>
  <mergeCells count="2">
    <mergeCell ref="A3:A18"/>
    <mergeCell ref="A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29"/>
  <sheetViews>
    <sheetView zoomScaleNormal="100" workbookViewId="0">
      <selection sqref="A1:G1"/>
    </sheetView>
  </sheetViews>
  <sheetFormatPr defaultColWidth="8.7109375" defaultRowHeight="12.75" x14ac:dyDescent="0.2"/>
  <cols>
    <col min="1" max="1" width="20.5703125" style="4" customWidth="1"/>
    <col min="2" max="2" width="12" style="4" customWidth="1"/>
    <col min="3" max="6" width="13.7109375" style="4" customWidth="1"/>
    <col min="7" max="7" width="13.28515625" style="4" customWidth="1"/>
    <col min="8" max="8" width="12.7109375" style="4" bestFit="1" customWidth="1"/>
    <col min="9" max="9" width="8.7109375" style="4"/>
    <col min="10" max="10" width="20.5703125" style="4" customWidth="1"/>
    <col min="11" max="11" width="14.140625" style="4" customWidth="1"/>
    <col min="12" max="12" width="10.28515625" style="4" customWidth="1"/>
    <col min="13" max="27" width="5.7109375" style="4" customWidth="1"/>
    <col min="28" max="16384" width="8.7109375" style="4"/>
  </cols>
  <sheetData>
    <row r="1" spans="1:29" ht="28.9" customHeight="1" x14ac:dyDescent="0.25">
      <c r="A1" s="462" t="str">
        <f>"% of Floor Area per CZ and Vintage Bin - "&amp;Prototype!A2</f>
        <v>% of Floor Area per CZ and Vintage Bin - ApartmentHighRise</v>
      </c>
      <c r="B1" s="462"/>
      <c r="C1" s="462"/>
      <c r="D1" s="462"/>
      <c r="E1" s="462"/>
      <c r="F1" s="462"/>
      <c r="G1" s="462"/>
      <c r="I1"/>
      <c r="J1"/>
      <c r="K1"/>
      <c r="L1"/>
      <c r="M1"/>
      <c r="N1"/>
      <c r="O1"/>
      <c r="P1"/>
      <c r="Q1"/>
      <c r="R1"/>
      <c r="S1"/>
      <c r="T1"/>
      <c r="U1"/>
      <c r="V1"/>
      <c r="W1"/>
      <c r="X1"/>
      <c r="Y1"/>
      <c r="Z1"/>
      <c r="AA1"/>
      <c r="AB1"/>
      <c r="AC1"/>
    </row>
    <row r="2" spans="1:29" ht="21" customHeight="1" x14ac:dyDescent="0.25">
      <c r="A2" s="623" t="s">
        <v>6</v>
      </c>
      <c r="B2" s="623" t="s">
        <v>637</v>
      </c>
      <c r="C2" s="623" t="s">
        <v>641</v>
      </c>
      <c r="D2" s="623"/>
      <c r="E2" s="623"/>
      <c r="F2" s="623"/>
      <c r="G2" s="623"/>
      <c r="I2"/>
      <c r="J2"/>
      <c r="K2"/>
      <c r="L2"/>
      <c r="M2"/>
      <c r="N2"/>
      <c r="O2"/>
      <c r="P2"/>
      <c r="Q2"/>
      <c r="R2"/>
      <c r="S2"/>
      <c r="T2"/>
      <c r="U2"/>
      <c r="V2"/>
      <c r="W2"/>
      <c r="X2"/>
      <c r="Y2"/>
      <c r="Z2"/>
      <c r="AA2"/>
      <c r="AB2"/>
      <c r="AC2"/>
    </row>
    <row r="3" spans="1:29" ht="21" customHeight="1" x14ac:dyDescent="0.25">
      <c r="A3" s="623"/>
      <c r="B3" s="623"/>
      <c r="C3" s="377" t="s">
        <v>642</v>
      </c>
      <c r="D3" s="377" t="s">
        <v>340</v>
      </c>
      <c r="E3" s="377" t="s">
        <v>341</v>
      </c>
      <c r="F3" s="377" t="s">
        <v>343</v>
      </c>
      <c r="G3" s="377" t="s">
        <v>643</v>
      </c>
      <c r="I3"/>
      <c r="J3"/>
      <c r="K3"/>
      <c r="L3"/>
      <c r="M3"/>
      <c r="N3"/>
      <c r="O3"/>
      <c r="P3"/>
      <c r="Q3"/>
      <c r="R3"/>
      <c r="S3"/>
      <c r="T3"/>
      <c r="U3"/>
      <c r="V3"/>
      <c r="W3"/>
      <c r="X3"/>
      <c r="Y3"/>
      <c r="Z3"/>
      <c r="AA3"/>
      <c r="AB3"/>
      <c r="AC3"/>
    </row>
    <row r="4" spans="1:29" ht="16.899999999999999" customHeight="1" x14ac:dyDescent="0.25">
      <c r="A4" s="621" t="str">
        <f>Prototype!A2</f>
        <v>ApartmentHighRise</v>
      </c>
      <c r="B4" s="248">
        <v>1</v>
      </c>
      <c r="C4" s="376"/>
      <c r="D4" s="376"/>
      <c r="E4" s="376"/>
      <c r="F4" s="376"/>
      <c r="G4" s="61"/>
      <c r="H4" s="70">
        <f>SUM(C4:G4)</f>
        <v>0</v>
      </c>
      <c r="I4"/>
      <c r="J4"/>
      <c r="K4"/>
      <c r="L4"/>
      <c r="M4"/>
      <c r="N4"/>
      <c r="O4"/>
      <c r="P4"/>
      <c r="Q4"/>
      <c r="R4"/>
      <c r="S4"/>
      <c r="T4"/>
      <c r="U4"/>
      <c r="V4"/>
      <c r="W4"/>
      <c r="X4"/>
      <c r="Y4"/>
      <c r="Z4"/>
      <c r="AA4"/>
      <c r="AB4"/>
      <c r="AC4"/>
    </row>
    <row r="5" spans="1:29" ht="16.899999999999999" customHeight="1" x14ac:dyDescent="0.25">
      <c r="A5" s="622"/>
      <c r="B5" s="40">
        <v>2</v>
      </c>
      <c r="C5" s="43"/>
      <c r="D5" s="43"/>
      <c r="E5" s="43"/>
      <c r="F5" s="43"/>
      <c r="G5" s="57"/>
      <c r="H5" s="70">
        <f t="shared" ref="H5:H19" si="0">SUM(C5:G5)</f>
        <v>0</v>
      </c>
      <c r="I5"/>
      <c r="J5"/>
      <c r="K5"/>
      <c r="L5"/>
      <c r="M5"/>
      <c r="N5"/>
      <c r="O5"/>
      <c r="P5"/>
      <c r="Q5"/>
      <c r="R5"/>
      <c r="S5"/>
      <c r="T5"/>
      <c r="U5"/>
      <c r="V5"/>
      <c r="W5"/>
      <c r="X5"/>
      <c r="Y5"/>
      <c r="Z5"/>
      <c r="AA5"/>
      <c r="AB5"/>
      <c r="AC5"/>
    </row>
    <row r="6" spans="1:29" ht="16.899999999999999" customHeight="1" x14ac:dyDescent="0.25">
      <c r="A6" s="622"/>
      <c r="B6" s="40">
        <v>3</v>
      </c>
      <c r="C6" s="43"/>
      <c r="D6" s="43"/>
      <c r="E6" s="43"/>
      <c r="F6" s="43"/>
      <c r="G6" s="57"/>
      <c r="H6" s="70">
        <f t="shared" si="0"/>
        <v>0</v>
      </c>
      <c r="I6"/>
      <c r="J6"/>
      <c r="K6"/>
      <c r="L6"/>
      <c r="M6"/>
      <c r="N6"/>
      <c r="O6"/>
      <c r="P6"/>
      <c r="Q6"/>
      <c r="R6"/>
      <c r="S6"/>
      <c r="T6"/>
      <c r="U6"/>
      <c r="V6"/>
      <c r="W6"/>
      <c r="X6"/>
      <c r="Y6"/>
      <c r="Z6"/>
      <c r="AA6"/>
      <c r="AB6"/>
      <c r="AC6"/>
    </row>
    <row r="7" spans="1:29" ht="16.899999999999999" customHeight="1" x14ac:dyDescent="0.25">
      <c r="A7" s="622"/>
      <c r="B7" s="40">
        <v>4</v>
      </c>
      <c r="C7" s="43"/>
      <c r="D7" s="43"/>
      <c r="E7" s="43"/>
      <c r="F7" s="43"/>
      <c r="G7" s="57"/>
      <c r="H7" s="70">
        <f t="shared" si="0"/>
        <v>0</v>
      </c>
      <c r="I7"/>
      <c r="J7"/>
      <c r="K7"/>
      <c r="L7"/>
      <c r="M7"/>
      <c r="N7"/>
      <c r="O7"/>
      <c r="P7"/>
      <c r="Q7"/>
      <c r="R7"/>
      <c r="S7"/>
      <c r="T7"/>
      <c r="U7"/>
      <c r="V7"/>
      <c r="W7"/>
      <c r="X7"/>
      <c r="Y7"/>
      <c r="Z7"/>
      <c r="AA7"/>
      <c r="AB7"/>
      <c r="AC7"/>
    </row>
    <row r="8" spans="1:29" ht="16.899999999999999" customHeight="1" x14ac:dyDescent="0.25">
      <c r="A8" s="622"/>
      <c r="B8" s="40">
        <v>5</v>
      </c>
      <c r="C8" s="43"/>
      <c r="D8" s="43"/>
      <c r="E8" s="43"/>
      <c r="F8" s="43"/>
      <c r="G8" s="57"/>
      <c r="H8" s="70">
        <f t="shared" si="0"/>
        <v>0</v>
      </c>
      <c r="I8"/>
      <c r="J8"/>
      <c r="K8"/>
      <c r="L8"/>
      <c r="M8"/>
      <c r="N8"/>
      <c r="O8"/>
      <c r="P8"/>
      <c r="Q8"/>
      <c r="R8"/>
      <c r="S8"/>
      <c r="T8"/>
      <c r="U8"/>
      <c r="V8"/>
      <c r="W8"/>
      <c r="X8"/>
      <c r="Y8"/>
      <c r="Z8"/>
      <c r="AA8"/>
      <c r="AB8"/>
      <c r="AC8"/>
    </row>
    <row r="9" spans="1:29" ht="16.899999999999999" customHeight="1" x14ac:dyDescent="0.25">
      <c r="A9" s="622"/>
      <c r="B9" s="40">
        <v>6</v>
      </c>
      <c r="C9" s="43"/>
      <c r="D9" s="43"/>
      <c r="E9" s="43"/>
      <c r="F9" s="43"/>
      <c r="G9" s="57"/>
      <c r="H9" s="70">
        <f t="shared" si="0"/>
        <v>0</v>
      </c>
      <c r="I9"/>
      <c r="J9"/>
      <c r="K9"/>
      <c r="L9"/>
      <c r="M9"/>
      <c r="N9"/>
      <c r="O9"/>
      <c r="P9"/>
      <c r="Q9"/>
      <c r="R9"/>
      <c r="S9"/>
      <c r="T9"/>
      <c r="U9"/>
      <c r="V9"/>
      <c r="W9"/>
      <c r="X9"/>
      <c r="Y9"/>
      <c r="Z9"/>
      <c r="AA9"/>
      <c r="AB9"/>
      <c r="AC9"/>
    </row>
    <row r="10" spans="1:29" ht="16.899999999999999" customHeight="1" x14ac:dyDescent="0.25">
      <c r="A10" s="622"/>
      <c r="B10" s="40">
        <v>7</v>
      </c>
      <c r="C10" s="43"/>
      <c r="D10" s="43"/>
      <c r="E10" s="43"/>
      <c r="F10" s="43"/>
      <c r="G10" s="57"/>
      <c r="H10" s="70">
        <f t="shared" si="0"/>
        <v>0</v>
      </c>
      <c r="I10"/>
      <c r="J10"/>
      <c r="K10"/>
      <c r="L10"/>
      <c r="M10"/>
      <c r="N10"/>
      <c r="O10"/>
      <c r="P10"/>
      <c r="Q10"/>
      <c r="R10"/>
      <c r="S10"/>
      <c r="T10"/>
      <c r="U10"/>
      <c r="V10"/>
      <c r="W10"/>
      <c r="X10"/>
      <c r="Y10"/>
      <c r="Z10"/>
      <c r="AA10"/>
      <c r="AB10"/>
      <c r="AC10"/>
    </row>
    <row r="11" spans="1:29" ht="16.899999999999999" customHeight="1" x14ac:dyDescent="0.25">
      <c r="A11" s="622"/>
      <c r="B11" s="40">
        <v>8</v>
      </c>
      <c r="C11" s="43"/>
      <c r="D11" s="43"/>
      <c r="E11" s="43"/>
      <c r="F11" s="43"/>
      <c r="G11" s="57"/>
      <c r="H11" s="70">
        <f t="shared" si="0"/>
        <v>0</v>
      </c>
      <c r="I11"/>
      <c r="J11"/>
      <c r="K11"/>
      <c r="L11"/>
      <c r="M11"/>
      <c r="N11"/>
      <c r="O11"/>
      <c r="P11"/>
      <c r="Q11"/>
      <c r="R11"/>
      <c r="S11"/>
      <c r="T11"/>
      <c r="U11"/>
      <c r="V11"/>
      <c r="W11"/>
      <c r="X11"/>
      <c r="Y11"/>
      <c r="Z11"/>
      <c r="AA11"/>
      <c r="AB11"/>
      <c r="AC11"/>
    </row>
    <row r="12" spans="1:29" ht="16.899999999999999" customHeight="1" x14ac:dyDescent="0.25">
      <c r="A12" s="622"/>
      <c r="B12" s="40">
        <v>9</v>
      </c>
      <c r="C12" s="43"/>
      <c r="D12" s="43"/>
      <c r="E12" s="43"/>
      <c r="F12" s="43"/>
      <c r="G12" s="57"/>
      <c r="H12" s="70">
        <f t="shared" si="0"/>
        <v>0</v>
      </c>
      <c r="I12"/>
      <c r="J12"/>
      <c r="K12"/>
      <c r="L12"/>
      <c r="M12"/>
      <c r="N12"/>
      <c r="O12"/>
      <c r="P12"/>
      <c r="Q12"/>
      <c r="R12"/>
      <c r="S12"/>
      <c r="T12"/>
      <c r="U12"/>
      <c r="V12"/>
      <c r="W12"/>
      <c r="X12"/>
      <c r="Y12"/>
      <c r="Z12"/>
      <c r="AA12"/>
      <c r="AB12"/>
      <c r="AC12"/>
    </row>
    <row r="13" spans="1:29" ht="16.899999999999999" customHeight="1" x14ac:dyDescent="0.2">
      <c r="A13" s="622"/>
      <c r="B13" s="40">
        <v>10</v>
      </c>
      <c r="C13" s="43"/>
      <c r="D13" s="43"/>
      <c r="E13" s="43"/>
      <c r="F13" s="43"/>
      <c r="G13" s="57"/>
      <c r="H13" s="70">
        <f t="shared" si="0"/>
        <v>0</v>
      </c>
      <c r="J13" s="7"/>
      <c r="K13" s="68"/>
      <c r="L13" s="31"/>
      <c r="M13" s="31"/>
      <c r="N13" s="31"/>
      <c r="O13" s="31"/>
      <c r="P13" s="69"/>
    </row>
    <row r="14" spans="1:29" ht="16.899999999999999" customHeight="1" x14ac:dyDescent="0.2">
      <c r="A14" s="622"/>
      <c r="B14" s="40">
        <v>11</v>
      </c>
      <c r="C14" s="43"/>
      <c r="D14" s="43"/>
      <c r="E14" s="43"/>
      <c r="F14" s="43"/>
      <c r="G14" s="57"/>
      <c r="H14" s="70">
        <f t="shared" si="0"/>
        <v>0</v>
      </c>
      <c r="J14" s="7"/>
      <c r="K14" s="68"/>
      <c r="L14" s="31"/>
      <c r="M14" s="31"/>
      <c r="N14" s="31"/>
      <c r="O14" s="31"/>
      <c r="P14" s="69"/>
    </row>
    <row r="15" spans="1:29" ht="16.899999999999999" customHeight="1" x14ac:dyDescent="0.2">
      <c r="A15" s="622"/>
      <c r="B15" s="40">
        <v>12</v>
      </c>
      <c r="C15" s="43"/>
      <c r="D15" s="43"/>
      <c r="E15" s="43"/>
      <c r="F15" s="43"/>
      <c r="G15" s="57"/>
      <c r="H15" s="70">
        <f t="shared" si="0"/>
        <v>0</v>
      </c>
      <c r="J15" s="7"/>
      <c r="K15" s="68"/>
      <c r="L15" s="31"/>
      <c r="M15" s="31"/>
      <c r="N15" s="31"/>
      <c r="O15" s="31"/>
      <c r="P15" s="69"/>
    </row>
    <row r="16" spans="1:29" ht="16.899999999999999" customHeight="1" x14ac:dyDescent="0.2">
      <c r="A16" s="622"/>
      <c r="B16" s="40">
        <v>13</v>
      </c>
      <c r="C16" s="43"/>
      <c r="D16" s="43"/>
      <c r="E16" s="43"/>
      <c r="F16" s="43"/>
      <c r="G16" s="57"/>
      <c r="H16" s="70">
        <f t="shared" si="0"/>
        <v>0</v>
      </c>
      <c r="J16" s="7"/>
      <c r="K16" s="68"/>
      <c r="L16" s="31"/>
      <c r="M16" s="31"/>
      <c r="N16" s="31"/>
      <c r="O16" s="31"/>
      <c r="P16" s="69"/>
    </row>
    <row r="17" spans="1:16" ht="16.899999999999999" customHeight="1" x14ac:dyDescent="0.2">
      <c r="A17" s="622"/>
      <c r="B17" s="40">
        <v>14</v>
      </c>
      <c r="C17" s="43"/>
      <c r="D17" s="43"/>
      <c r="E17" s="43"/>
      <c r="F17" s="43"/>
      <c r="G17" s="57"/>
      <c r="H17" s="70">
        <f t="shared" si="0"/>
        <v>0</v>
      </c>
      <c r="J17" s="7"/>
      <c r="K17" s="68"/>
      <c r="L17" s="31"/>
      <c r="M17" s="31"/>
      <c r="N17" s="31"/>
      <c r="O17" s="31"/>
      <c r="P17" s="69"/>
    </row>
    <row r="18" spans="1:16" ht="16.899999999999999" customHeight="1" x14ac:dyDescent="0.2">
      <c r="A18" s="622"/>
      <c r="B18" s="40">
        <v>15</v>
      </c>
      <c r="C18" s="43"/>
      <c r="D18" s="43"/>
      <c r="E18" s="43"/>
      <c r="F18" s="43"/>
      <c r="G18" s="57"/>
      <c r="H18" s="70">
        <f t="shared" si="0"/>
        <v>0</v>
      </c>
      <c r="J18" s="7"/>
      <c r="K18" s="68"/>
      <c r="L18" s="31"/>
      <c r="M18" s="31"/>
      <c r="N18" s="31"/>
      <c r="O18" s="31"/>
      <c r="P18" s="69"/>
    </row>
    <row r="19" spans="1:16" ht="16.899999999999999" customHeight="1" x14ac:dyDescent="0.2">
      <c r="A19" s="622"/>
      <c r="B19" s="40">
        <v>16</v>
      </c>
      <c r="C19" s="57"/>
      <c r="D19" s="57"/>
      <c r="E19" s="57"/>
      <c r="F19" s="57"/>
      <c r="G19" s="57"/>
      <c r="H19" s="70">
        <f t="shared" si="0"/>
        <v>0</v>
      </c>
      <c r="J19" s="7"/>
      <c r="K19" s="68"/>
      <c r="L19" s="31"/>
      <c r="M19" s="31"/>
      <c r="N19" s="31"/>
      <c r="O19" s="31"/>
      <c r="P19" s="69"/>
    </row>
    <row r="20" spans="1:16" x14ac:dyDescent="0.2">
      <c r="A20" s="622"/>
      <c r="B20" s="57" t="s">
        <v>644</v>
      </c>
      <c r="C20" s="57"/>
      <c r="D20" s="57"/>
      <c r="E20" s="57"/>
      <c r="F20" s="57"/>
      <c r="G20" s="57"/>
    </row>
    <row r="29" spans="1:16" s="25" customFormat="1" x14ac:dyDescent="0.2">
      <c r="A29" s="25" t="s">
        <v>175</v>
      </c>
      <c r="E29" s="26"/>
      <c r="F29" s="27"/>
      <c r="G29" s="28"/>
    </row>
  </sheetData>
  <mergeCells count="5">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8"/>
  <dimension ref="A1:J2"/>
  <sheetViews>
    <sheetView workbookViewId="0">
      <selection sqref="A1:J1"/>
    </sheetView>
  </sheetViews>
  <sheetFormatPr defaultRowHeight="15" x14ac:dyDescent="0.25"/>
  <sheetData>
    <row r="1" spans="1:10" ht="21" customHeight="1" x14ac:dyDescent="0.25">
      <c r="A1" s="462" t="str">
        <f>"PV - "&amp;Prototype!A2</f>
        <v>PV - ApartmentHighRise</v>
      </c>
      <c r="B1" s="462"/>
      <c r="C1" s="462"/>
      <c r="D1" s="462"/>
      <c r="E1" s="462"/>
      <c r="F1" s="462"/>
      <c r="G1" s="462"/>
      <c r="H1" s="462"/>
      <c r="I1" s="462"/>
      <c r="J1" s="462"/>
    </row>
    <row r="2" spans="1:10" x14ac:dyDescent="0.25">
      <c r="A2" t="s">
        <v>645</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7109375" defaultRowHeight="12.75" x14ac:dyDescent="0.2"/>
  <cols>
    <col min="1" max="1" width="21" style="4" customWidth="1"/>
    <col min="2" max="2" width="14.28515625" style="4" customWidth="1"/>
    <col min="3" max="3" width="14.5703125" style="4" customWidth="1"/>
    <col min="4" max="8" width="8.7109375" style="4"/>
    <col min="9" max="9" width="13.7109375" style="4" customWidth="1"/>
    <col min="10" max="10" width="14.42578125" style="4" customWidth="1"/>
    <col min="11" max="16384" width="8.7109375" style="4"/>
  </cols>
  <sheetData>
    <row r="1" spans="1:8" ht="19.149999999999999" customHeight="1" x14ac:dyDescent="0.2">
      <c r="A1" s="462" t="str">
        <f>"EV Charger - "&amp;Prototype!A2</f>
        <v>EV Charger - ApartmentHighRise</v>
      </c>
      <c r="B1" s="462"/>
      <c r="C1" s="462"/>
      <c r="D1" s="462"/>
      <c r="E1" s="462"/>
      <c r="F1" s="462"/>
      <c r="G1" s="462"/>
      <c r="H1" s="462"/>
    </row>
    <row r="2" spans="1:8" x14ac:dyDescent="0.2">
      <c r="A2" s="4" t="s">
        <v>645</v>
      </c>
      <c r="B2" s="53"/>
      <c r="C2" s="54"/>
      <c r="D2" s="55"/>
      <c r="E2" s="55"/>
    </row>
    <row r="3" spans="1:8" x14ac:dyDescent="0.2">
      <c r="A3" s="38"/>
      <c r="B3" s="52"/>
      <c r="C3" s="361"/>
      <c r="D3" s="56"/>
      <c r="E3" s="56"/>
    </row>
    <row r="11" spans="1:8" s="25" customFormat="1" hidden="1" x14ac:dyDescent="0.2">
      <c r="A11" s="25" t="s">
        <v>175</v>
      </c>
      <c r="E11" s="26"/>
      <c r="F11" s="27"/>
      <c r="G11" s="28"/>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BEC87-1C1E-4310-B4A9-3006DBEE34A4}">
  <sheetPr codeName="Sheet11"/>
  <dimension ref="A1:G83"/>
  <sheetViews>
    <sheetView workbookViewId="0"/>
  </sheetViews>
  <sheetFormatPr defaultRowHeight="15" x14ac:dyDescent="0.25"/>
  <cols>
    <col min="1" max="1" width="58.7109375" customWidth="1"/>
    <col min="2" max="2" width="30.85546875" customWidth="1"/>
    <col min="3" max="3" width="30.28515625" customWidth="1"/>
  </cols>
  <sheetData>
    <row r="1" spans="1:7" x14ac:dyDescent="0.25">
      <c r="A1" t="s">
        <v>646</v>
      </c>
      <c r="B1" t="s">
        <v>647</v>
      </c>
      <c r="C1" t="s">
        <v>647</v>
      </c>
      <c r="D1" s="624" t="s">
        <v>648</v>
      </c>
      <c r="E1" s="624"/>
      <c r="F1" s="624"/>
      <c r="G1" s="624"/>
    </row>
    <row r="2" spans="1:7" x14ac:dyDescent="0.25">
      <c r="A2" s="360" t="s">
        <v>649</v>
      </c>
      <c r="D2">
        <v>2013</v>
      </c>
      <c r="E2">
        <v>2016</v>
      </c>
      <c r="F2">
        <v>2019</v>
      </c>
      <c r="G2">
        <v>2025</v>
      </c>
    </row>
    <row r="3" spans="1:7" x14ac:dyDescent="0.25">
      <c r="A3" s="360" t="s">
        <v>650</v>
      </c>
    </row>
    <row r="4" spans="1:7" x14ac:dyDescent="0.25">
      <c r="A4" t="s">
        <v>651</v>
      </c>
    </row>
    <row r="5" spans="1:7" x14ac:dyDescent="0.25">
      <c r="A5" t="s">
        <v>652</v>
      </c>
    </row>
    <row r="6" spans="1:7" x14ac:dyDescent="0.25">
      <c r="A6" t="s">
        <v>653</v>
      </c>
    </row>
    <row r="7" spans="1:7" x14ac:dyDescent="0.25">
      <c r="A7" t="s">
        <v>654</v>
      </c>
    </row>
    <row r="8" spans="1:7" x14ac:dyDescent="0.25">
      <c r="A8" t="s">
        <v>655</v>
      </c>
    </row>
    <row r="9" spans="1:7" x14ac:dyDescent="0.25">
      <c r="A9" t="s">
        <v>656</v>
      </c>
    </row>
    <row r="10" spans="1:7" x14ac:dyDescent="0.25">
      <c r="A10" t="s">
        <v>657</v>
      </c>
    </row>
    <row r="11" spans="1:7" x14ac:dyDescent="0.25">
      <c r="A11" t="s">
        <v>658</v>
      </c>
    </row>
    <row r="12" spans="1:7" x14ac:dyDescent="0.25">
      <c r="A12" t="s">
        <v>659</v>
      </c>
    </row>
    <row r="13" spans="1:7" x14ac:dyDescent="0.25">
      <c r="A13" t="s">
        <v>660</v>
      </c>
    </row>
    <row r="14" spans="1:7" x14ac:dyDescent="0.25">
      <c r="A14" t="s">
        <v>661</v>
      </c>
    </row>
    <row r="15" spans="1:7" x14ac:dyDescent="0.25">
      <c r="A15" t="s">
        <v>662</v>
      </c>
    </row>
    <row r="16" spans="1:7" x14ac:dyDescent="0.25">
      <c r="A16" t="s">
        <v>663</v>
      </c>
    </row>
    <row r="17" spans="1:1" x14ac:dyDescent="0.25">
      <c r="A17" t="s">
        <v>81</v>
      </c>
    </row>
    <row r="18" spans="1:1" x14ac:dyDescent="0.25">
      <c r="A18" t="s">
        <v>664</v>
      </c>
    </row>
    <row r="19" spans="1:1" x14ac:dyDescent="0.25">
      <c r="A19" t="s">
        <v>130</v>
      </c>
    </row>
    <row r="20" spans="1:1" x14ac:dyDescent="0.25">
      <c r="A20" t="s">
        <v>665</v>
      </c>
    </row>
    <row r="21" spans="1:1" x14ac:dyDescent="0.25">
      <c r="A21" t="s">
        <v>666</v>
      </c>
    </row>
    <row r="22" spans="1:1" x14ac:dyDescent="0.25">
      <c r="A22" t="s">
        <v>667</v>
      </c>
    </row>
    <row r="23" spans="1:1" x14ac:dyDescent="0.25">
      <c r="A23" t="s">
        <v>668</v>
      </c>
    </row>
    <row r="24" spans="1:1" x14ac:dyDescent="0.25">
      <c r="A24" t="s">
        <v>89</v>
      </c>
    </row>
    <row r="25" spans="1:1" x14ac:dyDescent="0.25">
      <c r="A25" t="s">
        <v>669</v>
      </c>
    </row>
    <row r="26" spans="1:1" x14ac:dyDescent="0.25">
      <c r="A26" t="s">
        <v>670</v>
      </c>
    </row>
    <row r="27" spans="1:1" x14ac:dyDescent="0.25">
      <c r="A27" t="s">
        <v>671</v>
      </c>
    </row>
    <row r="28" spans="1:1" x14ac:dyDescent="0.25">
      <c r="A28" t="s">
        <v>672</v>
      </c>
    </row>
    <row r="29" spans="1:1" x14ac:dyDescent="0.25">
      <c r="A29" t="s">
        <v>673</v>
      </c>
    </row>
    <row r="30" spans="1:1" x14ac:dyDescent="0.25">
      <c r="A30" t="s">
        <v>674</v>
      </c>
    </row>
    <row r="31" spans="1:1" x14ac:dyDescent="0.25">
      <c r="A31" t="s">
        <v>675</v>
      </c>
    </row>
    <row r="32" spans="1:1" x14ac:dyDescent="0.25">
      <c r="A32" t="s">
        <v>676</v>
      </c>
    </row>
    <row r="33" spans="1:1" x14ac:dyDescent="0.25">
      <c r="A33" t="s">
        <v>677</v>
      </c>
    </row>
    <row r="34" spans="1:1" x14ac:dyDescent="0.25">
      <c r="A34" t="s">
        <v>678</v>
      </c>
    </row>
    <row r="35" spans="1:1" x14ac:dyDescent="0.25">
      <c r="A35" t="s">
        <v>679</v>
      </c>
    </row>
    <row r="36" spans="1:1" x14ac:dyDescent="0.25">
      <c r="A36" t="s">
        <v>680</v>
      </c>
    </row>
    <row r="37" spans="1:1" x14ac:dyDescent="0.25">
      <c r="A37" t="s">
        <v>681</v>
      </c>
    </row>
    <row r="38" spans="1:1" x14ac:dyDescent="0.25">
      <c r="A38" t="s">
        <v>682</v>
      </c>
    </row>
    <row r="39" spans="1:1" x14ac:dyDescent="0.25">
      <c r="A39" t="s">
        <v>133</v>
      </c>
    </row>
    <row r="40" spans="1:1" x14ac:dyDescent="0.25">
      <c r="A40" t="s">
        <v>683</v>
      </c>
    </row>
    <row r="41" spans="1:1" x14ac:dyDescent="0.25">
      <c r="A41" t="s">
        <v>684</v>
      </c>
    </row>
    <row r="42" spans="1:1" x14ac:dyDescent="0.25">
      <c r="A42" t="s">
        <v>95</v>
      </c>
    </row>
    <row r="43" spans="1:1" x14ac:dyDescent="0.25">
      <c r="A43" t="s">
        <v>685</v>
      </c>
    </row>
    <row r="44" spans="1:1" x14ac:dyDescent="0.25">
      <c r="A44" t="s">
        <v>686</v>
      </c>
    </row>
    <row r="45" spans="1:1" x14ac:dyDescent="0.25">
      <c r="A45" t="s">
        <v>687</v>
      </c>
    </row>
    <row r="46" spans="1:1" x14ac:dyDescent="0.25">
      <c r="A46" t="s">
        <v>688</v>
      </c>
    </row>
    <row r="47" spans="1:1" x14ac:dyDescent="0.25">
      <c r="A47" t="s">
        <v>689</v>
      </c>
    </row>
    <row r="48" spans="1:1" x14ac:dyDescent="0.25">
      <c r="A48" t="s">
        <v>690</v>
      </c>
    </row>
    <row r="49" spans="1:1" x14ac:dyDescent="0.25">
      <c r="A49" t="s">
        <v>691</v>
      </c>
    </row>
    <row r="50" spans="1:1" x14ac:dyDescent="0.25">
      <c r="A50" t="s">
        <v>92</v>
      </c>
    </row>
    <row r="51" spans="1:1" x14ac:dyDescent="0.25">
      <c r="A51" t="s">
        <v>692</v>
      </c>
    </row>
    <row r="52" spans="1:1" x14ac:dyDescent="0.25">
      <c r="A52" t="s">
        <v>165</v>
      </c>
    </row>
    <row r="53" spans="1:1" x14ac:dyDescent="0.25">
      <c r="A53" t="s">
        <v>693</v>
      </c>
    </row>
    <row r="54" spans="1:1" x14ac:dyDescent="0.25">
      <c r="A54" t="s">
        <v>694</v>
      </c>
    </row>
    <row r="55" spans="1:1" x14ac:dyDescent="0.25">
      <c r="A55" t="s">
        <v>695</v>
      </c>
    </row>
    <row r="56" spans="1:1" x14ac:dyDescent="0.25">
      <c r="A56" t="s">
        <v>696</v>
      </c>
    </row>
    <row r="57" spans="1:1" x14ac:dyDescent="0.25">
      <c r="A57" t="s">
        <v>697</v>
      </c>
    </row>
    <row r="58" spans="1:1" x14ac:dyDescent="0.25">
      <c r="A58" t="s">
        <v>698</v>
      </c>
    </row>
    <row r="59" spans="1:1" x14ac:dyDescent="0.25">
      <c r="A59" t="s">
        <v>699</v>
      </c>
    </row>
    <row r="60" spans="1:1" x14ac:dyDescent="0.25">
      <c r="A60" t="s">
        <v>700</v>
      </c>
    </row>
    <row r="61" spans="1:1" x14ac:dyDescent="0.25">
      <c r="A61" t="s">
        <v>701</v>
      </c>
    </row>
    <row r="62" spans="1:1" x14ac:dyDescent="0.25">
      <c r="A62" t="s">
        <v>702</v>
      </c>
    </row>
    <row r="63" spans="1:1" x14ac:dyDescent="0.25">
      <c r="A63" t="s">
        <v>703</v>
      </c>
    </row>
    <row r="64" spans="1:1" x14ac:dyDescent="0.25">
      <c r="A64" t="s">
        <v>704</v>
      </c>
    </row>
    <row r="65" spans="1:1" x14ac:dyDescent="0.25">
      <c r="A65" t="s">
        <v>705</v>
      </c>
    </row>
    <row r="66" spans="1:1" x14ac:dyDescent="0.25">
      <c r="A66" t="s">
        <v>706</v>
      </c>
    </row>
    <row r="67" spans="1:1" x14ac:dyDescent="0.25">
      <c r="A67" t="s">
        <v>707</v>
      </c>
    </row>
    <row r="68" spans="1:1" x14ac:dyDescent="0.25">
      <c r="A68" t="s">
        <v>708</v>
      </c>
    </row>
    <row r="69" spans="1:1" x14ac:dyDescent="0.25">
      <c r="A69" t="s">
        <v>709</v>
      </c>
    </row>
    <row r="70" spans="1:1" x14ac:dyDescent="0.25">
      <c r="A70" t="s">
        <v>710</v>
      </c>
    </row>
    <row r="71" spans="1:1" x14ac:dyDescent="0.25">
      <c r="A71" t="s">
        <v>711</v>
      </c>
    </row>
    <row r="72" spans="1:1" x14ac:dyDescent="0.25">
      <c r="A72" t="s">
        <v>712</v>
      </c>
    </row>
    <row r="73" spans="1:1" x14ac:dyDescent="0.25">
      <c r="A73" t="s">
        <v>713</v>
      </c>
    </row>
    <row r="74" spans="1:1" x14ac:dyDescent="0.25">
      <c r="A74" t="s">
        <v>108</v>
      </c>
    </row>
    <row r="75" spans="1:1" x14ac:dyDescent="0.25">
      <c r="A75" t="s">
        <v>714</v>
      </c>
    </row>
    <row r="76" spans="1:1" x14ac:dyDescent="0.25">
      <c r="A76" t="s">
        <v>715</v>
      </c>
    </row>
    <row r="77" spans="1:1" x14ac:dyDescent="0.25">
      <c r="A77" t="s">
        <v>716</v>
      </c>
    </row>
    <row r="78" spans="1:1" x14ac:dyDescent="0.25">
      <c r="A78" t="s">
        <v>717</v>
      </c>
    </row>
    <row r="79" spans="1:1" x14ac:dyDescent="0.25">
      <c r="A79" t="s">
        <v>585</v>
      </c>
    </row>
    <row r="80" spans="1:1" x14ac:dyDescent="0.25">
      <c r="A80" t="s">
        <v>718</v>
      </c>
    </row>
    <row r="81" spans="1:1" x14ac:dyDescent="0.25">
      <c r="A81" t="s">
        <v>719</v>
      </c>
    </row>
    <row r="82" spans="1:1" x14ac:dyDescent="0.25">
      <c r="A82" t="s">
        <v>720</v>
      </c>
    </row>
    <row r="83" spans="1:1" x14ac:dyDescent="0.25">
      <c r="A83" t="s">
        <v>721</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717B472A-B5FA-4DF6-8A7C-FA8BDD0E81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816333-575B-4274-8A3E-18699B071E90}">
  <ds:schemaRefs>
    <ds:schemaRef ds:uri="http://purl.org/dc/elements/1.1/"/>
    <ds:schemaRef ds:uri="http://schemas.microsoft.com/office/infopath/2007/PartnerControls"/>
    <ds:schemaRef ds:uri="ea1b199f-450f-4d51-8ad4-88f218385cd9"/>
    <ds:schemaRef ds:uri="http://www.w3.org/XML/1998/namespace"/>
    <ds:schemaRef ds:uri="http://purl.org/dc/dcmitype/"/>
    <ds:schemaRef ds:uri="http://schemas.openxmlformats.org/package/2006/metadata/core-properties"/>
    <ds:schemaRef ds:uri="http://schemas.microsoft.com/office/2006/documentManagement/types"/>
    <ds:schemaRef ds:uri="f3a47e91-274c-46a0-ba98-7b939b571e5b"/>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Dabbagh, Mohammad</cp:lastModifiedBy>
  <cp:revision/>
  <dcterms:created xsi:type="dcterms:W3CDTF">2024-06-21T17:19:36Z</dcterms:created>
  <dcterms:modified xsi:type="dcterms:W3CDTF">2025-12-24T09:37:08Z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